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AA50776F-9880-4815-B38E-E059ADD21A39}" xr6:coauthVersionLast="47" xr6:coauthVersionMax="47" xr10:uidLastSave="{00000000-0000-0000-0000-000000000000}"/>
  <bookViews>
    <workbookView xWindow="-120" yWindow="-120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5" l="1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F16" i="5" s="1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F28" i="5" s="1"/>
  <c r="C29" i="5"/>
  <c r="D29" i="5"/>
  <c r="E29" i="5"/>
  <c r="C30" i="5"/>
  <c r="D30" i="5"/>
  <c r="E30" i="5"/>
  <c r="C31" i="5"/>
  <c r="D31" i="5"/>
  <c r="E31" i="5"/>
  <c r="C32" i="5"/>
  <c r="D32" i="5"/>
  <c r="E32" i="5"/>
  <c r="F32" i="5" s="1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C38" i="5"/>
  <c r="D38" i="5"/>
  <c r="E38" i="5"/>
  <c r="C39" i="5"/>
  <c r="D39" i="5"/>
  <c r="E39" i="5"/>
  <c r="C40" i="5"/>
  <c r="D40" i="5"/>
  <c r="E40" i="5"/>
  <c r="C41" i="5"/>
  <c r="D41" i="5"/>
  <c r="E41" i="5"/>
  <c r="C42" i="5"/>
  <c r="D42" i="5"/>
  <c r="E42" i="5"/>
  <c r="C43" i="5"/>
  <c r="D43" i="5"/>
  <c r="E43" i="5"/>
  <c r="C44" i="5"/>
  <c r="D44" i="5"/>
  <c r="E44" i="5"/>
  <c r="F44" i="5" s="1"/>
  <c r="C45" i="5"/>
  <c r="D45" i="5"/>
  <c r="E45" i="5"/>
  <c r="C46" i="5"/>
  <c r="D46" i="5"/>
  <c r="E46" i="5"/>
  <c r="C47" i="5"/>
  <c r="D47" i="5"/>
  <c r="E47" i="5"/>
  <c r="C48" i="5"/>
  <c r="D48" i="5"/>
  <c r="E48" i="5"/>
  <c r="F48" i="5" s="1"/>
  <c r="C49" i="5"/>
  <c r="D49" i="5"/>
  <c r="E49" i="5"/>
  <c r="C50" i="5"/>
  <c r="D50" i="5"/>
  <c r="E50" i="5"/>
  <c r="C51" i="5"/>
  <c r="D51" i="5"/>
  <c r="E51" i="5"/>
  <c r="C52" i="5"/>
  <c r="D52" i="5"/>
  <c r="E52" i="5"/>
  <c r="C53" i="5"/>
  <c r="D53" i="5"/>
  <c r="E53" i="5"/>
  <c r="C54" i="5"/>
  <c r="D54" i="5"/>
  <c r="E54" i="5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F60" i="5" s="1"/>
  <c r="C61" i="5"/>
  <c r="D61" i="5"/>
  <c r="E61" i="5"/>
  <c r="C62" i="5"/>
  <c r="D62" i="5"/>
  <c r="E62" i="5"/>
  <c r="C63" i="5"/>
  <c r="D63" i="5"/>
  <c r="E63" i="5"/>
  <c r="C64" i="5"/>
  <c r="D64" i="5"/>
  <c r="E64" i="5"/>
  <c r="F64" i="5" s="1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C73" i="5"/>
  <c r="D73" i="5"/>
  <c r="E73" i="5"/>
  <c r="C74" i="5"/>
  <c r="D74" i="5"/>
  <c r="E74" i="5"/>
  <c r="C75" i="5"/>
  <c r="D75" i="5"/>
  <c r="E75" i="5"/>
  <c r="C76" i="5"/>
  <c r="D76" i="5"/>
  <c r="E76" i="5"/>
  <c r="F76" i="5" s="1"/>
  <c r="C77" i="5"/>
  <c r="D77" i="5"/>
  <c r="E77" i="5"/>
  <c r="C78" i="5"/>
  <c r="D78" i="5"/>
  <c r="E78" i="5"/>
  <c r="C79" i="5"/>
  <c r="D79" i="5"/>
  <c r="E79" i="5"/>
  <c r="C80" i="5"/>
  <c r="D80" i="5"/>
  <c r="E80" i="5"/>
  <c r="F80" i="5" s="1"/>
  <c r="C81" i="5"/>
  <c r="D81" i="5"/>
  <c r="E81" i="5"/>
  <c r="C82" i="5"/>
  <c r="D82" i="5"/>
  <c r="E82" i="5"/>
  <c r="C83" i="5"/>
  <c r="D83" i="5"/>
  <c r="E83" i="5"/>
  <c r="C84" i="5"/>
  <c r="D84" i="5"/>
  <c r="E84" i="5"/>
  <c r="C85" i="5"/>
  <c r="D85" i="5"/>
  <c r="E85" i="5"/>
  <c r="C86" i="5"/>
  <c r="D86" i="5"/>
  <c r="E86" i="5"/>
  <c r="C87" i="5"/>
  <c r="D87" i="5"/>
  <c r="E87" i="5"/>
  <c r="C88" i="5"/>
  <c r="D88" i="5"/>
  <c r="E88" i="5"/>
  <c r="C89" i="5"/>
  <c r="D89" i="5"/>
  <c r="E89" i="5"/>
  <c r="C90" i="5"/>
  <c r="D90" i="5"/>
  <c r="E90" i="5"/>
  <c r="F90" i="5" s="1"/>
  <c r="C91" i="5"/>
  <c r="D91" i="5"/>
  <c r="E91" i="5"/>
  <c r="F91" i="5" s="1"/>
  <c r="C92" i="5"/>
  <c r="D92" i="5"/>
  <c r="E92" i="5"/>
  <c r="F92" i="5" s="1"/>
  <c r="C93" i="5"/>
  <c r="D93" i="5"/>
  <c r="E93" i="5"/>
  <c r="F93" i="5" s="1"/>
  <c r="C94" i="5"/>
  <c r="D94" i="5"/>
  <c r="E94" i="5"/>
  <c r="F94" i="5" s="1"/>
  <c r="C95" i="5"/>
  <c r="D95" i="5"/>
  <c r="E95" i="5"/>
  <c r="F95" i="5" s="1"/>
  <c r="C96" i="5"/>
  <c r="D96" i="5"/>
  <c r="E96" i="5"/>
  <c r="F96" i="5" s="1"/>
  <c r="C97" i="5"/>
  <c r="D97" i="5"/>
  <c r="E97" i="5"/>
  <c r="F97" i="5" s="1"/>
  <c r="C98" i="5"/>
  <c r="D98" i="5"/>
  <c r="E98" i="5"/>
  <c r="F98" i="5" s="1"/>
  <c r="C99" i="5"/>
  <c r="D99" i="5"/>
  <c r="E99" i="5"/>
  <c r="F99" i="5" s="1"/>
  <c r="C100" i="5"/>
  <c r="D100" i="5"/>
  <c r="E100" i="5"/>
  <c r="F100" i="5" s="1"/>
  <c r="C8" i="5"/>
  <c r="D8" i="5"/>
  <c r="E8" i="5"/>
  <c r="C9" i="5"/>
  <c r="D9" i="5"/>
  <c r="E9" i="5"/>
  <c r="F9" i="5" s="1"/>
  <c r="E3" i="5"/>
  <c r="F3" i="5" s="1"/>
  <c r="E4" i="5"/>
  <c r="F4" i="5" s="1"/>
  <c r="E5" i="5"/>
  <c r="F5" i="5" s="1"/>
  <c r="E6" i="5"/>
  <c r="F6" i="5" s="1"/>
  <c r="E7" i="5"/>
  <c r="F7" i="5" s="1"/>
  <c r="D3" i="5"/>
  <c r="D4" i="5"/>
  <c r="D5" i="5"/>
  <c r="D6" i="5"/>
  <c r="D7" i="5"/>
  <c r="C3" i="5"/>
  <c r="C4" i="5"/>
  <c r="C5" i="5"/>
  <c r="C6" i="5"/>
  <c r="C7" i="5"/>
  <c r="F10" i="5"/>
  <c r="F11" i="5"/>
  <c r="F12" i="5"/>
  <c r="F13" i="5"/>
  <c r="F14" i="5"/>
  <c r="F15" i="5"/>
  <c r="F17" i="5"/>
  <c r="F18" i="5"/>
  <c r="F19" i="5"/>
  <c r="F20" i="5"/>
  <c r="F21" i="5"/>
  <c r="F22" i="5"/>
  <c r="F23" i="5"/>
  <c r="F24" i="5"/>
  <c r="F25" i="5"/>
  <c r="F26" i="5"/>
  <c r="F27" i="5"/>
  <c r="F29" i="5"/>
  <c r="F30" i="5"/>
  <c r="F31" i="5"/>
  <c r="F33" i="5"/>
  <c r="F34" i="5"/>
  <c r="F35" i="5"/>
  <c r="F36" i="5"/>
  <c r="F37" i="5"/>
  <c r="F38" i="5"/>
  <c r="F39" i="5"/>
  <c r="F40" i="5"/>
  <c r="F41" i="5"/>
  <c r="F42" i="5"/>
  <c r="F43" i="5"/>
  <c r="F45" i="5"/>
  <c r="F46" i="5"/>
  <c r="F47" i="5"/>
  <c r="F49" i="5"/>
  <c r="F50" i="5"/>
  <c r="F51" i="5"/>
  <c r="F52" i="5"/>
  <c r="F53" i="5"/>
  <c r="F54" i="5"/>
  <c r="F55" i="5"/>
  <c r="F56" i="5"/>
  <c r="F57" i="5"/>
  <c r="F58" i="5"/>
  <c r="F59" i="5"/>
  <c r="F61" i="5"/>
  <c r="F62" i="5"/>
  <c r="F63" i="5"/>
  <c r="F65" i="5"/>
  <c r="F66" i="5"/>
  <c r="F67" i="5"/>
  <c r="F68" i="5"/>
  <c r="F69" i="5"/>
  <c r="F70" i="5"/>
  <c r="F71" i="5"/>
  <c r="F72" i="5"/>
  <c r="F73" i="5"/>
  <c r="F74" i="5"/>
  <c r="F75" i="5"/>
  <c r="F77" i="5"/>
  <c r="F78" i="5"/>
  <c r="F79" i="5"/>
  <c r="F81" i="5"/>
  <c r="F82" i="5"/>
  <c r="F83" i="5"/>
  <c r="F84" i="5"/>
  <c r="F85" i="5"/>
  <c r="F86" i="5"/>
  <c r="F87" i="5"/>
  <c r="F88" i="5"/>
  <c r="F89" i="5"/>
  <c r="BM182" i="10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BM165" i="10" l="1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BM148" i="10" l="1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BM131" i="10" l="1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BM114" i="10" l="1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BM97" i="10" l="1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BM80" i="10" l="1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BM63" i="10" l="1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I129" i="3" l="1"/>
  <c r="I128" i="3"/>
  <c r="I127" i="3"/>
  <c r="I126" i="3"/>
  <c r="I125" i="3"/>
  <c r="I124" i="3"/>
  <c r="I123" i="3"/>
  <c r="I122" i="3"/>
  <c r="I112" i="3"/>
  <c r="I111" i="3"/>
  <c r="I110" i="3"/>
  <c r="I109" i="3"/>
  <c r="I108" i="3"/>
  <c r="I107" i="3"/>
  <c r="I106" i="3"/>
  <c r="I105" i="3"/>
  <c r="N39" i="3" l="1"/>
  <c r="A10" i="19" l="1"/>
  <c r="B10" i="19" s="1"/>
  <c r="B9" i="19"/>
  <c r="J9" i="19" s="1"/>
  <c r="A8" i="19"/>
  <c r="B8" i="19" s="1"/>
  <c r="B7" i="19"/>
  <c r="Q7" i="19" s="1"/>
  <c r="A6" i="19"/>
  <c r="B6" i="19" s="1"/>
  <c r="S6" i="19" s="1"/>
  <c r="B5" i="19"/>
  <c r="U5" i="19" s="1"/>
  <c r="A4" i="19"/>
  <c r="B4" i="19" s="1"/>
  <c r="B3" i="19"/>
  <c r="I3" i="19" s="1"/>
  <c r="E53" i="16"/>
  <c r="D53" i="16"/>
  <c r="A50" i="16"/>
  <c r="A49" i="16"/>
  <c r="A48" i="16"/>
  <c r="A47" i="16"/>
  <c r="A46" i="16"/>
  <c r="A45" i="16"/>
  <c r="A44" i="16"/>
  <c r="A43" i="16"/>
  <c r="B39" i="16"/>
  <c r="A36" i="16"/>
  <c r="G36" i="16" s="1"/>
  <c r="A35" i="16"/>
  <c r="D35" i="16" s="1"/>
  <c r="A34" i="16"/>
  <c r="G34" i="16" s="1"/>
  <c r="A33" i="16"/>
  <c r="G33" i="16" s="1"/>
  <c r="A32" i="16"/>
  <c r="G32" i="16" s="1"/>
  <c r="A31" i="16"/>
  <c r="F31" i="16" s="1"/>
  <c r="A30" i="16"/>
  <c r="G30" i="16" s="1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2" i="5"/>
  <c r="F2" i="5" s="1"/>
  <c r="D2" i="5"/>
  <c r="C2" i="5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G31" i="16" l="1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J3" i="19"/>
  <c r="K3" i="19"/>
  <c r="N3" i="19"/>
  <c r="O3" i="19"/>
  <c r="P4" i="19" s="1"/>
  <c r="P3" i="19"/>
  <c r="N9" i="19"/>
  <c r="V5" i="19"/>
  <c r="H3" i="19"/>
  <c r="K9" i="19"/>
  <c r="O9" i="19"/>
  <c r="P10" i="19" s="1"/>
  <c r="P9" i="19"/>
  <c r="Q9" i="19"/>
  <c r="S9" i="19"/>
  <c r="S7" i="19"/>
  <c r="D5" i="19"/>
  <c r="E5" i="19"/>
  <c r="F6" i="19" s="1"/>
  <c r="F5" i="19"/>
  <c r="H5" i="19"/>
  <c r="I5" i="19"/>
  <c r="J5" i="19"/>
  <c r="K5" i="19"/>
  <c r="N5" i="19"/>
  <c r="S10" i="19"/>
  <c r="N10" i="19"/>
  <c r="D10" i="19"/>
  <c r="T9" i="19"/>
  <c r="U10" i="19" s="1"/>
  <c r="U9" i="19"/>
  <c r="V9" i="19"/>
  <c r="D9" i="19"/>
  <c r="E9" i="19"/>
  <c r="F10" i="19" s="1"/>
  <c r="F9" i="19"/>
  <c r="H9" i="19"/>
  <c r="I9" i="19"/>
  <c r="S8" i="19"/>
  <c r="N8" i="19"/>
  <c r="D8" i="19"/>
  <c r="U7" i="19"/>
  <c r="T7" i="19"/>
  <c r="V7" i="19"/>
  <c r="D7" i="19"/>
  <c r="E7" i="19"/>
  <c r="F7" i="19"/>
  <c r="H7" i="19"/>
  <c r="I7" i="19"/>
  <c r="J7" i="19"/>
  <c r="K7" i="19"/>
  <c r="N7" i="19"/>
  <c r="O7" i="19"/>
  <c r="P7" i="19"/>
  <c r="D6" i="19"/>
  <c r="N6" i="19"/>
  <c r="O5" i="19"/>
  <c r="P6" i="19" s="1"/>
  <c r="P5" i="19"/>
  <c r="Q5" i="19"/>
  <c r="S5" i="19"/>
  <c r="T5" i="19"/>
  <c r="U6" i="19" s="1"/>
  <c r="V6" i="19" s="1"/>
  <c r="S4" i="19"/>
  <c r="N4" i="19"/>
  <c r="D4" i="19"/>
  <c r="Q3" i="19"/>
  <c r="S3" i="19"/>
  <c r="T3" i="19"/>
  <c r="U4" i="19" s="1"/>
  <c r="U3" i="19"/>
  <c r="V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V10" i="19" l="1"/>
  <c r="Q10" i="19"/>
  <c r="V4" i="19"/>
  <c r="R3" i="19"/>
  <c r="A59" i="16"/>
  <c r="H59" i="16" s="1"/>
  <c r="A58" i="16"/>
  <c r="F58" i="16" s="1"/>
  <c r="A60" i="16"/>
  <c r="I60" i="16" s="1"/>
  <c r="Q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H6" i="19" s="1"/>
  <c r="I6" i="19" s="1"/>
  <c r="J6" i="19" s="1"/>
  <c r="K6" i="19" s="1"/>
  <c r="R9" i="19"/>
  <c r="R7" i="19"/>
  <c r="G7" i="19"/>
  <c r="L7" i="19" s="1"/>
  <c r="Z7" i="19" s="1"/>
  <c r="W7" i="19"/>
  <c r="Q6" i="19"/>
  <c r="G9" i="19"/>
  <c r="H10" i="19" s="1"/>
  <c r="I10" i="19" s="1"/>
  <c r="J10" i="19" s="1"/>
  <c r="K10" i="19" s="1"/>
  <c r="W9" i="19"/>
  <c r="P8" i="19"/>
  <c r="Q8" i="19" s="1"/>
  <c r="U8" i="19"/>
  <c r="V8" i="19" s="1"/>
  <c r="F8" i="19"/>
  <c r="R5" i="19"/>
  <c r="W5" i="19"/>
  <c r="G3" i="19"/>
  <c r="L3" i="19" s="1"/>
  <c r="Z3" i="19" s="1"/>
  <c r="W3" i="19"/>
  <c r="I58" i="16" l="1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L5" i="19"/>
  <c r="Z5" i="19" s="1"/>
  <c r="M7" i="19"/>
  <c r="H4" i="19"/>
  <c r="I4" i="19" s="1"/>
  <c r="J4" i="19" s="1"/>
  <c r="K4" i="19" s="1"/>
  <c r="H8" i="19"/>
  <c r="I8" i="19" s="1"/>
  <c r="J8" i="19" s="1"/>
  <c r="K8" i="19" s="1"/>
  <c r="L9" i="19"/>
  <c r="Z9" i="19" s="1"/>
  <c r="M3" i="19"/>
  <c r="X3" i="19" s="1"/>
  <c r="X7" i="19" l="1"/>
  <c r="AA7" i="19" s="1"/>
  <c r="Y7" i="19"/>
  <c r="M5" i="19"/>
  <c r="X5" i="19" s="1"/>
  <c r="M9" i="19"/>
  <c r="Y3" i="19"/>
  <c r="AA3" i="19"/>
  <c r="Y9" i="19" l="1"/>
  <c r="X9" i="19"/>
  <c r="AA9" i="19" s="1"/>
  <c r="AA5" i="19"/>
  <c r="Y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4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<sst xmlns="http://schemas.openxmlformats.org/spreadsheetml/2006/main" count="21242" uniqueCount="10952">
  <si>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</si>
  <si>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</si>
  <si>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</si>
  <si>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</si>
  <si>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</si>
  <si>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</si>
  <si>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</si>
  <si>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</si>
  <si>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</si>
  <si>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</si>
  <si>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</si>
  <si>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</si>
  <si>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</si>
  <si>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</si>
  <si>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</si>
  <si>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</si>
  <si>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</si>
  <si>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</si>
  <si>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</si>
  <si>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</si>
  <si>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</si>
  <si>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</si>
  <si>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</si>
  <si>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</si>
  <si>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</si>
  <si>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</si>
  <si>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</si>
  <si>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</si>
  <si>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</si>
  <si>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</si>
  <si>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</si>
  <si>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</si>
  <si>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</si>
  <si>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</si>
  <si>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</si>
  <si>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</si>
  <si>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</si>
  <si>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</si>
  <si>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</si>
  <si>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</si>
  <si>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</si>
  <si>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</si>
  <si>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</si>
  <si>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</si>
  <si>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</si>
  <si>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</si>
  <si>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</si>
  <si>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</si>
  <si>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</si>
  <si>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</si>
  <si>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</si>
  <si>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</si>
  <si>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</si>
  <si>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</si>
  <si>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</si>
  <si>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</si>
  <si>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</si>
  <si>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</si>
  <si>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</si>
  <si>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</si>
  <si>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</si>
  <si>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</si>
  <si>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</si>
  <si>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</si>
  <si>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</si>
  <si>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</si>
  <si>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</si>
  <si>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</si>
  <si>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</si>
  <si>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</si>
  <si>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</si>
  <si>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</si>
  <si>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</si>
  <si>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</si>
  <si>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</si>
  <si>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</si>
  <si>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</si>
  <si>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</si>
  <si>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</si>
  <si>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</si>
  <si>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</si>
  <si>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</si>
  <si>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</si>
  <si>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</si>
  <si>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</si>
  <si>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</si>
  <si>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</si>
  <si>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</si>
  <si>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</si>
  <si>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</si>
  <si>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</si>
  <si>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</si>
  <si>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</si>
  <si>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</si>
  <si>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</si>
  <si>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</si>
  <si>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</si>
  <si>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</si>
  <si>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</si>
  <si>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</si>
  <si>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</si>
  <si>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</si>
  <si>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</si>
  <si>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</si>
  <si>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</si>
  <si>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</si>
  <si>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</si>
  <si>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</si>
  <si>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</si>
  <si>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</si>
  <si>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</si>
  <si>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</si>
  <si>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</si>
  <si>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</si>
  <si>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</si>
  <si>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</si>
  <si>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</si>
  <si>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</si>
  <si>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</si>
  <si>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</si>
  <si>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</si>
  <si>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</si>
  <si>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</si>
  <si>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</si>
  <si>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</si>
  <si>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</si>
  <si>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</si>
  <si>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</si>
  <si>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</si>
  <si>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</si>
  <si>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</si>
  <si>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</si>
  <si>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</si>
  <si>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</si>
  <si>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</si>
  <si>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</si>
  <si>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</si>
  <si>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</si>
  <si>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</si>
  <si>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</si>
  <si>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</si>
  <si>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</si>
  <si>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</si>
  <si>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</si>
  <si>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</si>
  <si>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</si>
  <si>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</si>
  <si>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</si>
  <si>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</si>
  <si>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</si>
  <si>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</si>
  <si>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</si>
  <si>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</si>
  <si>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</si>
  <si>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</si>
  <si>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</si>
  <si>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</si>
  <si>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</si>
  <si>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</si>
  <si>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</si>
  <si>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</si>
  <si>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</si>
  <si>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</si>
  <si>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</si>
  <si>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</si>
  <si>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</si>
  <si>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</si>
  <si>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</si>
  <si>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</si>
  <si>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</si>
  <si>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</si>
  <si>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</si>
  <si>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</si>
  <si>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</si>
  <si>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</si>
  <si>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</si>
  <si>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</si>
  <si>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</si>
  <si>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</si>
  <si>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</si>
  <si>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</si>
  <si>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</si>
  <si>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</si>
  <si>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</si>
  <si>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</si>
  <si>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</si>
  <si>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</si>
  <si>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</si>
  <si>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</si>
  <si>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</si>
  <si>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</si>
  <si>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</si>
  <si>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</si>
  <si>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</si>
  <si>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</si>
  <si>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</si>
  <si>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</si>
  <si>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</si>
  <si>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</si>
  <si>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</si>
  <si>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</si>
  <si>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</si>
  <si>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</si>
  <si>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</si>
  <si>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</si>
  <si>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</si>
  <si>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</si>
  <si>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</si>
  <si>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</si>
  <si>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</si>
  <si>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</si>
  <si>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</si>
  <si>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</si>
  <si>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</si>
  <si>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</si>
  <si>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</si>
  <si>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</si>
  <si>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</si>
  <si>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</si>
  <si>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</si>
  <si>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</si>
  <si>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</si>
  <si>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</si>
  <si>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</si>
  <si>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</si>
  <si>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</si>
  <si>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</si>
  <si>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</si>
  <si>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</si>
  <si>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</si>
  <si>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</si>
  <si>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</si>
  <si>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</si>
  <si>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</si>
  <si>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</si>
  <si>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</si>
  <si>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</si>
  <si>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</si>
  <si>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</si>
  <si>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</si>
  <si>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</si>
  <si>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</si>
  <si>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</si>
  <si>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</si>
  <si>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</si>
  <si>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</si>
  <si>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</si>
  <si>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</si>
  <si>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</si>
  <si>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</si>
  <si>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</si>
  <si>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</si>
  <si>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</si>
  <si>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</si>
  <si>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</si>
  <si>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</si>
  <si>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</si>
  <si>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</si>
  <si>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</si>
  <si>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</si>
  <si>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</si>
  <si>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</si>
  <si>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</si>
  <si>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</si>
  <si>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</si>
  <si>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</si>
  <si>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</si>
  <si>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</si>
  <si>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</si>
  <si>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</si>
  <si>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</si>
  <si>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</si>
  <si>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</si>
  <si>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</si>
  <si>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</si>
  <si>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</si>
  <si>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</si>
  <si>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</si>
  <si>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</si>
  <si>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</si>
  <si>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</si>
  <si>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</si>
  <si>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</si>
  <si>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</si>
  <si>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</si>
  <si>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</si>
  <si>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</si>
  <si>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</si>
  <si>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</si>
  <si>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</si>
  <si>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</si>
  <si>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</si>
  <si>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</si>
  <si>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</si>
  <si>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</si>
  <si>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</si>
  <si>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</si>
  <si>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</si>
  <si>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</si>
  <si>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</si>
  <si>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</si>
  <si>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</si>
  <si>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</si>
  <si>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</si>
  <si>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</si>
  <si>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</si>
  <si>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</si>
  <si>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</si>
  <si>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</si>
  <si>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</si>
  <si>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</si>
  <si>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</si>
  <si>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</si>
  <si>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</si>
  <si>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</si>
  <si>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</si>
  <si>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</si>
  <si>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</si>
  <si>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</si>
  <si>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</si>
  <si>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</si>
  <si>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</si>
  <si>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</si>
  <si>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</si>
  <si>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</si>
  <si>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</si>
  <si>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</si>
  <si>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</si>
  <si>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</si>
  <si>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</si>
  <si>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</si>
  <si>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</si>
  <si>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</si>
  <si>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</si>
  <si>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</si>
  <si>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</si>
  <si>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</si>
  <si>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</si>
  <si>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</si>
  <si>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</si>
  <si>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</si>
  <si>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</si>
  <si>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</si>
  <si>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</si>
  <si>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</si>
  <si>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</si>
  <si>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</si>
  <si>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</si>
  <si>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</si>
  <si>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</si>
  <si>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</si>
  <si>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</si>
  <si>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</si>
  <si>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</si>
  <si>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</si>
  <si>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</si>
  <si>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</si>
  <si>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</si>
  <si>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</si>
  <si>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</si>
  <si>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</si>
  <si>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</si>
  <si>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</si>
  <si>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</si>
  <si>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</si>
  <si>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</si>
  <si>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</si>
  <si>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</si>
  <si>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</si>
  <si>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</si>
  <si>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</si>
  <si>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</si>
  <si>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</si>
  <si>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</si>
  <si>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</si>
  <si>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</si>
  <si>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</si>
  <si>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</si>
  <si>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</si>
  <si>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</si>
  <si>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</si>
  <si>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</si>
  <si>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</si>
  <si>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</si>
  <si>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</si>
  <si>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</si>
  <si>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</si>
  <si>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</si>
  <si>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</si>
  <si>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</si>
  <si>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</si>
  <si>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</si>
  <si>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</si>
  <si>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</si>
  <si>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</si>
  <si>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</si>
  <si>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</si>
  <si>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</si>
  <si>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</si>
  <si>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</si>
  <si>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</si>
  <si>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</si>
  <si>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</si>
  <si>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</si>
  <si>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</si>
  <si>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</si>
  <si>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</si>
  <si>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</si>
  <si>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</si>
  <si>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</si>
  <si>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</si>
  <si>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</si>
  <si>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</si>
  <si>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</si>
  <si>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</si>
  <si>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</si>
  <si>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</si>
  <si>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</si>
  <si>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</si>
  <si>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</si>
  <si>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</si>
  <si>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</si>
  <si>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</si>
  <si>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</si>
  <si>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</si>
  <si>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</si>
  <si>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</si>
  <si>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</si>
  <si>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</si>
  <si>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</si>
  <si>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</si>
  <si>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</si>
  <si>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</si>
  <si>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</si>
  <si>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</si>
  <si>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</si>
  <si>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</si>
  <si>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</si>
  <si>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</si>
  <si>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</si>
  <si>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</si>
  <si>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</si>
  <si>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</si>
  <si>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</si>
  <si>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</si>
  <si>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</si>
  <si>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</si>
  <si>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</si>
  <si>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</si>
  <si>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</si>
  <si>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</si>
  <si>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</si>
  <si>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</si>
  <si>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</si>
  <si>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</si>
  <si>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</si>
  <si>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</si>
  <si>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</si>
  <si>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</si>
  <si>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</si>
  <si>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</si>
  <si>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</si>
  <si>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</si>
  <si>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</si>
  <si>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</si>
  <si>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</si>
  <si>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</si>
  <si>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</si>
  <si>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</si>
  <si>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</si>
  <si>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</si>
  <si>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</si>
  <si>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</si>
  <si>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</si>
  <si>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</si>
  <si>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</si>
  <si>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</si>
  <si>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</si>
  <si>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</si>
  <si>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</si>
  <si>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</si>
  <si>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</si>
  <si>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</si>
  <si>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</si>
  <si>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</si>
  <si>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</si>
  <si>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</si>
  <si>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</si>
  <si>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</si>
  <si>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</si>
  <si>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</si>
  <si>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</si>
  <si>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</si>
  <si>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</si>
  <si>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</si>
  <si>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</si>
  <si>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</si>
  <si>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</si>
  <si>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</si>
  <si>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</si>
  <si>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</si>
  <si>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</si>
  <si>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</si>
  <si>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</si>
  <si>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</si>
  <si>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</si>
  <si>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</si>
  <si>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</si>
  <si>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</si>
  <si>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</si>
  <si>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</si>
  <si>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</si>
  <si>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</si>
  <si>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</si>
  <si>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</si>
  <si>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</si>
  <si>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</si>
  <si>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</si>
  <si>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</si>
  <si>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</si>
  <si>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</si>
  <si>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</si>
  <si>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</si>
  <si>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</si>
  <si>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</si>
  <si>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</si>
  <si>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</si>
  <si>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</si>
  <si>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</si>
  <si>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</si>
  <si>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</si>
  <si>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</si>
  <si>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</si>
  <si>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</si>
  <si>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</si>
  <si>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</si>
  <si>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</si>
  <si>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</si>
  <si>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</si>
  <si>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</si>
  <si>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</si>
  <si>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</si>
  <si>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</si>
  <si>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</si>
  <si>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</si>
  <si>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</si>
  <si>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</si>
  <si>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</si>
  <si>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</si>
  <si>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</si>
  <si>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</si>
  <si>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</si>
  <si>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</si>
  <si>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</si>
  <si>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</si>
  <si>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</si>
  <si>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</si>
  <si>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</si>
  <si>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</si>
  <si>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</si>
  <si>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</si>
  <si>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</si>
  <si>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</si>
  <si>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</si>
  <si>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</si>
  <si>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</si>
  <si>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</si>
  <si>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</si>
  <si>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</si>
  <si>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</si>
  <si>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</si>
  <si>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</si>
  <si>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</si>
  <si>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</si>
  <si>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</si>
  <si>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</si>
  <si>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</si>
  <si>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</si>
  <si>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</si>
  <si>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</si>
  <si>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</si>
  <si>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</si>
  <si>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</si>
  <si>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</si>
  <si>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</si>
  <si>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</si>
  <si>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</si>
  <si>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</si>
  <si>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</si>
  <si>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</si>
  <si>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</si>
  <si>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</si>
  <si>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</si>
  <si>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</si>
  <si>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</si>
  <si>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</si>
  <si>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</si>
  <si>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</si>
  <si>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</si>
  <si>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</si>
  <si>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</si>
  <si>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</si>
  <si>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</si>
  <si>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</si>
  <si>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</si>
  <si>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</si>
  <si>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</si>
  <si>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</si>
  <si>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</si>
  <si>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</si>
  <si>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</si>
  <si>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</si>
  <si>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</si>
  <si>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</si>
  <si>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</si>
  <si>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</si>
  <si>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</si>
  <si>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</si>
  <si>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</si>
  <si>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</si>
  <si>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</si>
  <si>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</si>
  <si>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</si>
  <si>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</si>
  <si>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</si>
  <si>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</si>
  <si>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</si>
  <si>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</si>
  <si>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</si>
  <si>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</si>
  <si>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</si>
  <si>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</si>
  <si>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</si>
  <si>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</si>
  <si>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</si>
  <si>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</si>
  <si>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</si>
  <si>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</si>
  <si>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</si>
  <si>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</si>
  <si>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</si>
  <si>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</si>
  <si>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</si>
  <si>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</si>
  <si>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</si>
  <si>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</si>
  <si>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</si>
  <si>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</si>
  <si>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</si>
  <si>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</si>
  <si>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</si>
  <si>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</si>
  <si>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</si>
  <si>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</si>
  <si>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</si>
  <si>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</si>
  <si>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</si>
  <si>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</si>
  <si>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</si>
  <si>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</si>
  <si>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</si>
  <si>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</si>
  <si>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</si>
  <si>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</si>
  <si>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</si>
  <si>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</si>
  <si>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</si>
  <si>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</si>
  <si>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</si>
  <si>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</si>
  <si>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</si>
  <si>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</si>
  <si>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</si>
  <si>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</si>
  <si>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</si>
  <si>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</si>
  <si>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</si>
  <si>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</si>
  <si>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</si>
  <si>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</si>
  <si>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</si>
  <si>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</si>
  <si>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</si>
  <si>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</si>
  <si>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</si>
  <si>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</si>
  <si>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</si>
  <si>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</si>
  <si>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</si>
  <si>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</si>
  <si>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</si>
  <si>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</si>
  <si>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</si>
  <si>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</si>
  <si>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</si>
  <si>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</si>
  <si>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</si>
  <si>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</si>
  <si>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</si>
  <si>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</si>
  <si>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</si>
  <si>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</si>
  <si>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</si>
  <si>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</si>
  <si>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</si>
  <si>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</si>
  <si>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</si>
  <si>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</si>
  <si>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</si>
  <si>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</si>
  <si>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</si>
  <si>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</si>
  <si>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</si>
  <si>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</si>
  <si>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</si>
  <si>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</si>
  <si>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</si>
  <si>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</si>
  <si>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</si>
  <si>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</si>
  <si>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</si>
  <si>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</si>
  <si>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</si>
  <si>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</si>
  <si>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</si>
  <si>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</si>
  <si>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</si>
  <si>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</si>
  <si>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</si>
  <si>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</si>
  <si>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</si>
  <si>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</si>
  <si>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</si>
  <si>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</si>
  <si>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</si>
  <si>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</si>
  <si>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</si>
  <si>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</si>
  <si>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</si>
  <si>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</si>
  <si>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</si>
  <si>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</si>
  <si>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</si>
  <si>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</si>
  <si>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</si>
  <si>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</si>
  <si>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</si>
  <si>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</si>
  <si>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</si>
  <si>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</si>
  <si>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</si>
  <si>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</si>
  <si>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</si>
  <si>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</si>
  <si>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</si>
  <si>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</si>
  <si>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</si>
  <si>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</si>
  <si>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</si>
  <si>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</si>
  <si>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</si>
  <si>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</si>
  <si>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</si>
  <si>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</si>
  <si>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</si>
  <si>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</si>
  <si>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</si>
  <si>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</si>
  <si>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</si>
  <si>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</si>
  <si>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</si>
  <si>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</si>
  <si>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</si>
  <si>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</si>
  <si>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</si>
  <si>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</si>
  <si>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</si>
  <si>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</si>
  <si>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</si>
  <si>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</si>
  <si>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</si>
  <si>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</si>
  <si>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</si>
  <si>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</si>
  <si>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</si>
  <si>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</si>
  <si>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</si>
  <si>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</si>
  <si>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</si>
  <si>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</si>
  <si>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</si>
  <si>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</si>
  <si>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</si>
  <si>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</si>
  <si>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</si>
  <si>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</si>
  <si>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</si>
  <si>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</si>
  <si>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</si>
  <si>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</si>
  <si>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</si>
  <si>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</si>
  <si>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</si>
  <si>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</si>
  <si>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</si>
  <si>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</si>
  <si>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</si>
  <si>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</si>
  <si>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</si>
  <si>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</si>
  <si>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</si>
  <si>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</si>
  <si>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</si>
  <si>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</si>
  <si>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</si>
  <si>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</si>
  <si>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</si>
  <si>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</si>
  <si>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</si>
  <si>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</si>
  <si>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</si>
  <si>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</si>
  <si>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</si>
  <si>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</si>
  <si>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</si>
  <si>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</si>
  <si>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</si>
  <si>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</si>
  <si>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</si>
  <si>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</si>
  <si>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</si>
  <si>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</si>
  <si>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</si>
  <si>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</si>
  <si>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</si>
  <si>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</si>
  <si>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</si>
  <si>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</si>
  <si>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</si>
  <si>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</si>
  <si>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</si>
  <si>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</si>
  <si>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</si>
  <si>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</si>
  <si>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</si>
  <si>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</si>
  <si>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</si>
  <si>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</si>
  <si>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</si>
  <si>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</si>
  <si>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</si>
  <si>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</si>
  <si>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</si>
  <si>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</si>
  <si>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</si>
  <si>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</si>
  <si>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</si>
  <si>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</si>
  <si>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</si>
  <si>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</si>
  <si>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</si>
  <si>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</si>
  <si>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</si>
  <si>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</si>
  <si>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</si>
  <si>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</si>
  <si>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</si>
  <si>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</si>
  <si>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</si>
  <si>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</si>
  <si>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</si>
  <si>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</si>
  <si>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</si>
  <si>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</si>
  <si>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</si>
  <si>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</si>
  <si>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</si>
  <si>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</si>
  <si>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</si>
  <si>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</si>
  <si>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</si>
  <si>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</si>
  <si>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</si>
  <si>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</si>
  <si>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</si>
  <si>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</si>
  <si>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</si>
  <si>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</si>
  <si>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</si>
  <si>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</si>
  <si>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</si>
  <si>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</si>
  <si>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</si>
  <si>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</si>
  <si>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</si>
  <si>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</si>
  <si>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</si>
  <si>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</si>
  <si>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</si>
  <si>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</si>
  <si>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</si>
  <si>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</si>
  <si>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</si>
  <si>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</si>
  <si>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</si>
  <si>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</si>
  <si>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</si>
  <si>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</si>
  <si>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</si>
  <si>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</si>
  <si>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</si>
  <si>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</si>
  <si>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</si>
  <si>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</si>
  <si>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</si>
  <si>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</si>
  <si>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</si>
  <si>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</si>
  <si>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</si>
  <si>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</si>
  <si>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</si>
  <si>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</si>
  <si>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</si>
  <si>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</si>
  <si>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</si>
  <si>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</si>
  <si>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</si>
  <si>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</si>
  <si>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</si>
  <si>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</si>
  <si>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</si>
  <si>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</si>
  <si>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</si>
  <si>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</si>
  <si>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</si>
  <si>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</si>
  <si>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</si>
  <si>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</si>
  <si>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</si>
  <si>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</si>
  <si>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</si>
  <si>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</si>
  <si>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</si>
  <si>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</si>
  <si>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</si>
  <si>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</si>
  <si>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</si>
  <si>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</si>
  <si>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</si>
  <si>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</si>
  <si>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</si>
  <si>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</si>
  <si>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</si>
  <si>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</si>
  <si>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</si>
  <si>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</si>
  <si>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</si>
  <si>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</si>
  <si>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</si>
  <si>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</si>
  <si>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</si>
  <si>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</si>
  <si>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</si>
  <si>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</si>
  <si>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</si>
  <si>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</si>
  <si>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</si>
  <si>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</si>
  <si>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</si>
  <si>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</si>
  <si>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</si>
  <si>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</si>
  <si>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</si>
  <si>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</si>
  <si>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</si>
  <si>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</si>
  <si>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</si>
  <si>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</si>
  <si>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</si>
  <si>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</si>
  <si>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</si>
  <si>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</si>
  <si>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</si>
  <si>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</si>
  <si>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</si>
  <si>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</si>
  <si>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</si>
  <si>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</si>
  <si>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</si>
  <si>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</si>
  <si>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</si>
  <si>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</si>
  <si>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</si>
  <si>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</si>
  <si>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</si>
  <si>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</si>
  <si>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</si>
  <si>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</si>
  <si>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</si>
  <si>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</si>
  <si>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</si>
  <si>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</si>
  <si>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</si>
  <si>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</si>
  <si>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</si>
  <si>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</si>
  <si>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</si>
  <si>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</si>
  <si>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</si>
  <si>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</si>
  <si>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</si>
  <si>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</si>
  <si>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</si>
  <si>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</si>
  <si>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</si>
  <si>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</si>
  <si>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</si>
  <si>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</si>
  <si>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</si>
  <si>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</si>
  <si>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</si>
  <si>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</si>
  <si>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</si>
  <si>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</si>
  <si>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</si>
  <si>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</si>
  <si>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</si>
  <si>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</si>
  <si>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</si>
  <si>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</si>
  <si>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</si>
  <si>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</si>
  <si>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</si>
  <si>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</si>
  <si>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</si>
  <si>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</si>
  <si>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</si>
  <si>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</si>
  <si>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</si>
  <si>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</si>
  <si>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</si>
  <si>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</si>
  <si>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</si>
  <si>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</si>
  <si>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</si>
  <si>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</si>
  <si>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</si>
  <si>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</si>
  <si>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</si>
  <si>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</si>
  <si>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</si>
  <si>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</si>
  <si>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</si>
  <si>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</si>
  <si>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</si>
  <si>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</si>
  <si>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</si>
  <si>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</si>
  <si>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</si>
  <si>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</si>
  <si>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</si>
  <si>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</si>
  <si>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</si>
  <si>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</si>
  <si>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</si>
  <si>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</si>
  <si>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</si>
  <si>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</si>
  <si>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</si>
  <si>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</si>
  <si>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</si>
  <si>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</si>
  <si>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</si>
  <si>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</si>
  <si>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</si>
  <si>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</si>
  <si>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</si>
  <si>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</si>
  <si>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</si>
  <si>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</si>
  <si>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</si>
  <si>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</si>
  <si>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</si>
  <si>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</si>
  <si>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</si>
  <si>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</si>
  <si>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</si>
  <si>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</si>
  <si>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</si>
  <si>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</si>
  <si>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</si>
  <si>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</si>
  <si>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</si>
  <si>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</si>
  <si>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</si>
  <si>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</si>
  <si>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</si>
  <si>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</si>
  <si>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</si>
  <si>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</si>
  <si>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</si>
  <si>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</si>
  <si>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</si>
  <si>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</si>
  <si>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</si>
  <si>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</si>
  <si>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</si>
  <si>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</si>
  <si>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</si>
  <si>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</si>
  <si>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</si>
  <si>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</si>
  <si>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</si>
  <si>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</si>
  <si>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</si>
  <si>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</si>
  <si>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</si>
  <si>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</si>
  <si>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</si>
  <si>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</si>
  <si>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</si>
  <si>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</si>
  <si>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</si>
  <si>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</si>
  <si>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</si>
  <si>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</si>
  <si>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</si>
  <si>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</si>
  <si>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</si>
  <si>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</si>
  <si>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</si>
  <si>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</si>
  <si>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</si>
  <si>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</si>
  <si>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</si>
  <si>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</si>
  <si>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</si>
  <si>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</si>
  <si>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</si>
  <si>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</si>
  <si>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</si>
  <si>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</si>
  <si>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</si>
  <si>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</si>
  <si>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</si>
  <si>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</si>
  <si>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</si>
  <si>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</si>
  <si>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</si>
  <si>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</si>
  <si>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</si>
  <si>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</si>
  <si>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</si>
  <si>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</si>
  <si>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</si>
  <si>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</si>
  <si>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</si>
  <si>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</si>
  <si>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</si>
  <si>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</si>
  <si>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</si>
  <si>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</si>
  <si>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</si>
  <si>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</si>
  <si>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</si>
  <si>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</si>
  <si>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</si>
  <si>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</si>
  <si>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</si>
  <si>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</si>
  <si>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</si>
  <si>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</si>
  <si>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</si>
  <si>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</si>
  <si>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</si>
  <si>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</si>
  <si>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</si>
  <si>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</si>
  <si>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</si>
  <si>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</si>
  <si>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</si>
  <si>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</si>
  <si>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</si>
  <si>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</si>
  <si>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</si>
  <si>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</si>
  <si>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</si>
  <si>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</si>
  <si>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</si>
  <si>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</si>
  <si>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</si>
  <si>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</si>
  <si>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</si>
  <si>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</si>
  <si>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</si>
  <si>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</si>
  <si>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</si>
  <si>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</si>
  <si>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</si>
  <si>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</si>
  <si>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</si>
  <si>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</si>
  <si>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</si>
  <si>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</si>
  <si>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</si>
  <si>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</si>
  <si>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</si>
  <si>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</si>
  <si>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</si>
  <si>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</si>
  <si>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</si>
  <si>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</si>
  <si>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</si>
  <si>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</si>
  <si>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</si>
  <si>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</si>
  <si>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</si>
  <si>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</si>
  <si>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</si>
  <si>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</si>
  <si>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</si>
  <si>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</si>
  <si>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</si>
  <si>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</si>
  <si>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</si>
  <si>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</si>
  <si>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</si>
  <si>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</si>
  <si>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</si>
  <si>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</si>
  <si>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</si>
  <si>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</si>
  <si>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</si>
  <si>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</si>
  <si>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</si>
  <si>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</si>
  <si>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</si>
  <si>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</si>
  <si>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</si>
  <si>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</si>
  <si>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</si>
  <si>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</si>
  <si>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</si>
  <si>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</si>
  <si>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</si>
  <si>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</si>
  <si>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</si>
  <si>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</si>
  <si>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</si>
  <si>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</si>
  <si>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</si>
  <si>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</si>
  <si>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</si>
  <si>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</si>
  <si>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</si>
  <si>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</si>
  <si>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</si>
  <si>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</si>
  <si>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</si>
  <si>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</si>
  <si>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</si>
  <si>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</si>
  <si>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</si>
  <si>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</si>
  <si>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</si>
  <si>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</si>
  <si>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</si>
  <si>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</si>
  <si>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</si>
  <si>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</si>
  <si>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</si>
  <si>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</si>
  <si>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</si>
  <si>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</si>
  <si>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</si>
  <si>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</si>
  <si>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</si>
  <si>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</si>
  <si>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</si>
  <si>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</si>
  <si>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</si>
  <si>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</si>
  <si>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</si>
  <si>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</si>
  <si>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</si>
  <si>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</si>
  <si>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</si>
  <si>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</si>
  <si>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</si>
  <si>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</si>
  <si>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</si>
  <si>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</si>
  <si>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</si>
  <si>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</si>
  <si>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</si>
  <si>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</si>
  <si>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</si>
  <si>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</si>
  <si>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</si>
  <si>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</si>
  <si>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</si>
  <si>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</si>
  <si>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</si>
  <si>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</si>
  <si>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</si>
  <si>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</si>
  <si>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</si>
  <si>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</si>
  <si>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</si>
  <si>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</si>
  <si>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</si>
  <si>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</si>
  <si>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</si>
  <si>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</si>
  <si>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</si>
  <si>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</si>
  <si>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</si>
  <si>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</si>
  <si>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</si>
  <si>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</si>
  <si>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</si>
  <si>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</si>
  <si>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</si>
  <si>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</si>
  <si>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</si>
  <si>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</si>
  <si>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</si>
  <si>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</si>
  <si>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</si>
  <si>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</si>
  <si>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</si>
  <si>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</si>
  <si>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</si>
  <si>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</si>
  <si>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</si>
  <si>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</si>
  <si>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</si>
  <si>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</si>
  <si>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</si>
  <si>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</si>
  <si>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</si>
  <si>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</si>
  <si>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</si>
  <si>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</si>
  <si>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</si>
  <si>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</si>
  <si>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</si>
  <si>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</si>
  <si>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</si>
  <si>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</si>
  <si>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</si>
  <si>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</si>
  <si>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</si>
  <si>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</si>
  <si>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</si>
  <si>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</si>
  <si>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</si>
  <si>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</si>
  <si>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</si>
  <si>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</si>
  <si>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</si>
  <si>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</si>
  <si>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</si>
  <si>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</si>
  <si>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</si>
  <si>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</si>
  <si>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</si>
  <si>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</si>
  <si>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</si>
  <si>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</si>
  <si>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</si>
  <si>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</si>
  <si>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</si>
  <si>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</si>
  <si>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</si>
  <si>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</si>
  <si>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</si>
  <si>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</si>
  <si>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</si>
  <si>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</si>
  <si>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</si>
  <si>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</si>
  <si>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</si>
  <si>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</si>
  <si>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</si>
  <si>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</si>
  <si>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</si>
  <si>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</si>
  <si>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</si>
  <si>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</si>
  <si>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</si>
  <si>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</si>
  <si>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</si>
  <si>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</si>
  <si>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</si>
  <si>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</si>
  <si>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</si>
  <si>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</si>
  <si>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</si>
  <si>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</si>
  <si>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</si>
  <si>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</si>
  <si>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</si>
  <si>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</si>
  <si>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</si>
  <si>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</si>
  <si>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</si>
  <si>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</si>
  <si>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</si>
  <si>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</si>
  <si>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</si>
  <si>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</si>
  <si>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</si>
  <si>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</si>
  <si>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</si>
  <si>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</si>
  <si>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</si>
  <si>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</si>
  <si>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</si>
  <si>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</si>
  <si>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</si>
  <si>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</si>
  <si>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</si>
  <si>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</si>
  <si>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</si>
  <si>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</si>
  <si>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</si>
  <si>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</si>
  <si>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</si>
  <si>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</si>
  <si>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</si>
  <si>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</si>
  <si>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</si>
  <si>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</si>
  <si>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</si>
  <si>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</si>
  <si>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</si>
  <si>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</si>
  <si>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</si>
  <si>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</si>
  <si>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</si>
  <si>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</si>
  <si>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</si>
  <si>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</si>
  <si>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</si>
  <si>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</si>
  <si>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</si>
  <si>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</si>
  <si>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</si>
  <si>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</si>
  <si>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</si>
  <si>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</si>
  <si>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</si>
  <si>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</si>
  <si>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</si>
  <si>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</si>
  <si>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</si>
  <si>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</si>
  <si>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</si>
  <si>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</si>
  <si>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</si>
  <si>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</si>
  <si>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</si>
  <si>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</si>
  <si>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</si>
  <si>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</si>
  <si>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</si>
  <si>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</si>
  <si>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</si>
  <si>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</si>
  <si>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</si>
  <si>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</si>
  <si>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</si>
  <si>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</si>
  <si>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</si>
  <si>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</si>
  <si>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</si>
  <si>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</si>
  <si>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</si>
  <si>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</si>
  <si>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</si>
  <si>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</si>
  <si>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</si>
  <si>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</si>
  <si>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</si>
  <si>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</si>
  <si>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</si>
  <si>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</si>
  <si>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</si>
  <si>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</si>
  <si>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</si>
  <si>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</si>
  <si>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</si>
  <si>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</si>
  <si>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</si>
  <si>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</si>
  <si>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</si>
  <si>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</si>
  <si>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</si>
  <si>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</si>
  <si>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</si>
  <si>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</si>
  <si>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</si>
  <si>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</si>
  <si>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</si>
  <si>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</si>
  <si>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</si>
  <si>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</si>
  <si>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</si>
  <si>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</si>
  <si>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</si>
  <si>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</si>
  <si>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</si>
  <si>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</si>
  <si>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</si>
  <si>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</si>
  <si>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</si>
  <si>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</si>
  <si>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</si>
  <si>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</si>
  <si>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</si>
  <si>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</si>
  <si>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</si>
  <si>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</si>
  <si>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</si>
  <si>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</si>
  <si>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</si>
  <si>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</si>
  <si>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</si>
  <si>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</si>
  <si>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</si>
  <si>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</si>
  <si>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</si>
  <si>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</si>
  <si>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</si>
  <si>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</si>
  <si>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</si>
  <si>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</si>
  <si>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</si>
  <si>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</si>
  <si>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</si>
  <si>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</si>
  <si>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</si>
  <si>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</si>
  <si>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</si>
  <si>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</si>
  <si>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</si>
  <si>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</si>
  <si>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</si>
  <si>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</si>
  <si>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</si>
  <si>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</si>
  <si>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</si>
  <si>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</si>
  <si>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</si>
  <si>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</si>
  <si>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</si>
  <si>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</si>
  <si>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</si>
  <si>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</si>
  <si>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</si>
  <si>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</si>
  <si>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</si>
  <si>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</si>
  <si>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</si>
  <si>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</si>
  <si>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</si>
  <si>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</si>
  <si>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</si>
  <si>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</si>
  <si>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</si>
  <si>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</si>
  <si>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</si>
  <si>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</si>
  <si>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</si>
  <si>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</si>
  <si>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</si>
  <si>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</si>
  <si>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</si>
  <si>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</si>
  <si>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</si>
  <si>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</si>
  <si>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</si>
  <si>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</si>
  <si>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</si>
  <si>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</si>
  <si>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</si>
  <si>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</si>
  <si>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</si>
  <si>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</si>
  <si>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</si>
  <si>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</si>
  <si>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</si>
  <si>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</si>
  <si>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</si>
  <si>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</si>
  <si>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</si>
  <si>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</si>
  <si>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</si>
  <si>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</si>
  <si>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</si>
  <si>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</si>
  <si>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</si>
  <si>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</si>
  <si>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</si>
  <si>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</si>
  <si>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</si>
  <si>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</si>
  <si>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</si>
  <si>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</si>
  <si>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</si>
  <si>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</si>
  <si>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</si>
  <si>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</si>
  <si>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</si>
  <si>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</si>
  <si>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</si>
  <si>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</si>
  <si>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</si>
  <si>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</si>
  <si>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</si>
  <si>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</si>
  <si>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</si>
  <si>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</si>
  <si>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</si>
  <si>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</si>
  <si>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</si>
  <si>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</si>
  <si>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</si>
  <si>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</si>
  <si>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</si>
  <si>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</si>
  <si>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</si>
  <si>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</si>
  <si>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</si>
  <si>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</si>
  <si>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</si>
  <si>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</si>
  <si>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</si>
  <si>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</si>
  <si>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</si>
  <si>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</si>
  <si>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</si>
  <si>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</si>
  <si>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</si>
  <si>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</si>
  <si>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</si>
  <si>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</si>
  <si>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</si>
  <si>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</si>
  <si>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</si>
  <si>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</si>
  <si>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</si>
  <si>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</si>
  <si>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</si>
  <si>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</si>
  <si>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</si>
  <si>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</si>
  <si>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</si>
  <si>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</si>
  <si>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</si>
  <si>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</si>
  <si>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</si>
  <si>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</si>
  <si>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</si>
  <si>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</si>
  <si>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</si>
  <si>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</si>
  <si>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</si>
  <si>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</si>
  <si>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</si>
  <si>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</si>
  <si>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</si>
  <si>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</si>
  <si>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</si>
  <si>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</si>
  <si>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</si>
  <si>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</si>
  <si>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</si>
  <si>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</si>
  <si>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</si>
  <si>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</si>
  <si>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</si>
  <si>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</si>
  <si>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</si>
  <si>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</si>
  <si>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</si>
  <si>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</si>
  <si>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</si>
  <si>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</si>
  <si>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</si>
  <si>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</si>
  <si>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</si>
  <si>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</si>
  <si>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</si>
  <si>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</si>
  <si>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</si>
  <si>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</si>
  <si>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</si>
  <si>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</si>
  <si>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</si>
  <si>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</si>
  <si>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</si>
  <si>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</si>
  <si>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</si>
  <si>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</si>
  <si>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</si>
  <si>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</si>
  <si>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</si>
  <si>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</si>
  <si>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</si>
  <si>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</si>
  <si>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</si>
  <si>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</si>
  <si>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</si>
  <si>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</si>
  <si>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</si>
  <si>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</si>
  <si>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</si>
  <si>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</si>
  <si>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</si>
  <si>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</si>
  <si>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</si>
  <si>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</si>
  <si>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</si>
  <si>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</si>
  <si>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</si>
  <si>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</si>
  <si>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</si>
  <si>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</si>
  <si>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</si>
  <si>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</si>
  <si>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</si>
  <si>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</si>
  <si>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</si>
  <si>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</si>
  <si>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</si>
  <si>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</si>
  <si>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</si>
  <si>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</si>
  <si>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</si>
  <si>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</si>
  <si>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</si>
  <si>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</si>
  <si>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</si>
  <si>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</si>
  <si>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</si>
  <si>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</si>
  <si>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</si>
  <si>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</si>
  <si>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</si>
  <si>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</si>
  <si>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</si>
  <si>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</si>
  <si>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</si>
  <si>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</si>
  <si>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</si>
  <si>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</si>
  <si>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</si>
  <si>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</si>
  <si>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</si>
  <si>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</si>
  <si>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</si>
  <si>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</si>
  <si>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</si>
  <si>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</si>
  <si>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</si>
  <si>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</si>
  <si>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</si>
  <si>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</si>
  <si>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</si>
  <si>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</si>
  <si>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</si>
  <si>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</si>
  <si>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</si>
  <si>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</si>
  <si>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</si>
  <si>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</si>
  <si>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</si>
  <si>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</si>
  <si>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</si>
  <si>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</si>
  <si>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</si>
  <si>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</si>
  <si>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</si>
  <si>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</si>
  <si>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</si>
  <si>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</si>
  <si>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</si>
  <si>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</si>
  <si>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</si>
  <si>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</si>
  <si>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</si>
  <si>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</si>
  <si>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</si>
  <si>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</si>
  <si>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</si>
  <si>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</si>
  <si>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</si>
  <si>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</si>
  <si>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</si>
  <si>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</si>
  <si>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</si>
  <si>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</si>
  <si>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</si>
  <si>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</si>
  <si>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</si>
  <si>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</si>
  <si>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</si>
  <si>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</si>
  <si>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</si>
  <si>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</si>
  <si>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</si>
  <si>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</si>
  <si>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</si>
  <si>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</si>
  <si>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</si>
  <si>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</si>
  <si>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</si>
  <si>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</si>
  <si>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</si>
  <si>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</si>
  <si>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</si>
  <si>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</si>
  <si>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</si>
  <si>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</si>
  <si>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</si>
  <si>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</si>
  <si>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</si>
  <si>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</si>
  <si>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</si>
  <si>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</si>
  <si>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</si>
  <si>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</si>
  <si>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</si>
  <si>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</si>
  <si>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</si>
  <si>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</si>
  <si>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</si>
  <si>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</si>
  <si>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</si>
  <si>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</si>
  <si>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</si>
  <si>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</si>
  <si>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</si>
  <si>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</si>
  <si>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</si>
  <si>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</si>
  <si>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</si>
  <si>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</si>
  <si>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</si>
  <si>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</si>
  <si>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</si>
  <si>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</si>
  <si>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</si>
  <si>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</si>
  <si>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</si>
  <si>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</si>
  <si>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</si>
  <si>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</si>
  <si>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</si>
  <si>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</si>
  <si>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</si>
  <si>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</si>
  <si>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</si>
  <si>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</si>
  <si>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</si>
  <si>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</si>
  <si>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</si>
  <si>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</si>
  <si>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</si>
  <si>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</si>
  <si>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</si>
  <si>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</si>
  <si>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</si>
  <si>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</si>
  <si>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</si>
  <si>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</si>
  <si>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</si>
  <si>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</si>
  <si>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</si>
  <si>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</si>
  <si>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</si>
  <si>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</si>
  <si>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</si>
  <si>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</si>
  <si>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</si>
  <si>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</si>
  <si>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</si>
  <si>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</si>
  <si>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</si>
  <si>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</si>
  <si>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</si>
  <si>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</si>
  <si>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</si>
  <si>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</si>
  <si>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</si>
  <si>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</si>
  <si>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</si>
  <si>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</si>
  <si>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</si>
  <si>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</si>
  <si>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</si>
  <si>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</si>
  <si>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</si>
  <si>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</si>
  <si>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</si>
  <si>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</si>
  <si>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</si>
  <si>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</si>
  <si>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</si>
  <si>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</si>
  <si>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</si>
  <si>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</si>
  <si>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</si>
  <si>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</si>
  <si>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</si>
  <si>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</si>
  <si>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</si>
  <si>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</si>
  <si>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</si>
  <si>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</si>
  <si>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</si>
  <si>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</si>
  <si>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</si>
  <si>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</si>
  <si>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</si>
  <si>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</si>
  <si>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</si>
  <si>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</si>
  <si>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</si>
  <si>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</si>
  <si>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</si>
  <si>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</si>
  <si>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</si>
  <si>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</si>
  <si>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</si>
  <si>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</si>
  <si>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</si>
  <si>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</si>
  <si>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</si>
  <si>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</si>
  <si>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</si>
  <si>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</si>
  <si>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</si>
  <si>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</si>
  <si>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</si>
  <si>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</si>
  <si>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</si>
  <si>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</si>
  <si>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</si>
  <si>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</si>
  <si>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</si>
  <si>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</si>
  <si>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</si>
  <si>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</si>
  <si>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</si>
  <si>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</si>
  <si>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</si>
  <si>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</si>
  <si>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</si>
  <si>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</si>
  <si>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</si>
  <si>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</si>
  <si>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</si>
  <si>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</si>
  <si>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</si>
  <si>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</si>
  <si>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</si>
  <si>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</si>
  <si>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</si>
  <si>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</si>
  <si>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</si>
  <si>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</si>
  <si>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</si>
  <si>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</si>
  <si>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</si>
  <si>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</si>
  <si>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</si>
  <si>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</si>
  <si>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</si>
  <si>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</si>
  <si>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</si>
  <si>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</si>
  <si>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</si>
  <si>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</si>
  <si>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</si>
  <si>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</si>
  <si>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</si>
  <si>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</si>
  <si>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</si>
  <si>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</si>
  <si>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</si>
  <si>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</si>
  <si>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</si>
  <si>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</si>
  <si>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</si>
  <si>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</si>
  <si>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</si>
  <si>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</si>
  <si>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</si>
  <si>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</si>
  <si>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</si>
  <si>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</si>
  <si>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</si>
  <si>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</si>
  <si>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</si>
  <si>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</si>
  <si>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</si>
  <si>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</si>
  <si>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</si>
  <si>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</si>
  <si>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</si>
  <si>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</si>
  <si>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</si>
  <si>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</si>
  <si>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</si>
  <si>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</si>
  <si>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</si>
  <si>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</si>
  <si>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</si>
  <si>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</si>
  <si>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</si>
  <si>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</si>
  <si>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</si>
  <si>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</si>
  <si>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</si>
  <si>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</si>
  <si>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</si>
  <si>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</si>
  <si>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</si>
  <si>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</si>
  <si>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</si>
  <si>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</si>
  <si>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</si>
  <si>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</si>
  <si>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</si>
  <si>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</si>
  <si>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</si>
  <si>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</si>
  <si>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</si>
  <si>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</si>
  <si>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</si>
  <si>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</si>
  <si>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</si>
  <si>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</si>
  <si>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</si>
  <si>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</si>
  <si>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</si>
  <si>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</si>
  <si>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</si>
  <si>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</si>
  <si>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</si>
  <si>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</si>
  <si>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</si>
  <si>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</si>
  <si>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</si>
  <si>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</si>
  <si>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</si>
  <si>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</si>
  <si>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</si>
  <si>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</si>
  <si>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</si>
  <si>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</si>
  <si>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</si>
  <si>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</si>
  <si>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</si>
  <si>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</si>
  <si>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</si>
  <si>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</si>
  <si>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</si>
  <si>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</si>
  <si>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</si>
  <si>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</si>
  <si>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</si>
  <si>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</si>
  <si>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</si>
  <si>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</si>
  <si>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</si>
  <si>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</si>
  <si>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</si>
  <si>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</si>
  <si>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</si>
  <si>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</si>
  <si>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</si>
  <si>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</si>
  <si>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</si>
  <si>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</si>
  <si>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</si>
  <si>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</si>
  <si>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</si>
  <si>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</si>
  <si>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</si>
  <si>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</si>
  <si>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</si>
  <si>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</si>
  <si>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</si>
  <si>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</si>
  <si>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</si>
  <si>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</si>
  <si>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</si>
  <si>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</si>
  <si>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</si>
  <si>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</si>
  <si>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</si>
  <si>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</si>
  <si>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</si>
  <si>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</si>
  <si>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</si>
  <si>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</si>
  <si>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</si>
  <si>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</si>
  <si>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</si>
  <si>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</si>
  <si>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</si>
  <si>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</si>
  <si>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</si>
  <si>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</si>
  <si>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</si>
  <si>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</si>
  <si>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</si>
  <si>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</si>
  <si>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</si>
  <si>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</si>
  <si>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</si>
  <si>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</si>
  <si>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</si>
  <si>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</si>
  <si>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</si>
  <si>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</si>
  <si>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</si>
  <si>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</si>
  <si>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</si>
  <si>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</si>
  <si>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</si>
  <si>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</si>
  <si>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</si>
  <si>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</si>
  <si>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</si>
  <si>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</si>
  <si>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</si>
  <si>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</si>
  <si>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</si>
  <si>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</si>
  <si>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</si>
  <si>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</si>
  <si>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</si>
  <si>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</si>
  <si>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</si>
  <si>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</si>
  <si>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</si>
  <si>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</si>
  <si>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</si>
  <si>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</si>
  <si>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</si>
  <si>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</si>
  <si>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</si>
  <si>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</si>
  <si>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</si>
  <si>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</si>
  <si>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</si>
  <si>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</si>
  <si>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</si>
  <si>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</si>
  <si>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</si>
  <si>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</si>
  <si>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</si>
  <si>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</si>
  <si>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</si>
  <si>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</si>
  <si>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</si>
  <si>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</si>
  <si>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</si>
  <si>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</si>
  <si>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</si>
  <si>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</si>
  <si>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</si>
  <si>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</si>
  <si>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</si>
  <si>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</si>
  <si>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</si>
  <si>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</si>
  <si>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</si>
  <si>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</si>
  <si>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</si>
  <si>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</si>
  <si>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</si>
  <si>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</si>
  <si>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</si>
  <si>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</si>
  <si>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</si>
  <si>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</si>
  <si>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</si>
  <si>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</si>
  <si>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</si>
  <si>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</si>
  <si>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</si>
  <si>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</si>
  <si>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</si>
  <si>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</si>
  <si>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</si>
  <si>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</si>
  <si>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</si>
  <si>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</si>
  <si>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</si>
  <si>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</si>
  <si>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</si>
  <si>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</si>
  <si>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</si>
  <si>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</si>
  <si>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</si>
  <si>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</si>
  <si>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</si>
  <si>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</si>
  <si>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</si>
  <si>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</si>
  <si>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</si>
  <si>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</si>
  <si>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</si>
  <si>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</si>
  <si>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</si>
  <si>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</si>
  <si>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</si>
  <si>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</si>
  <si>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</si>
  <si>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</si>
  <si>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</si>
  <si>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</si>
  <si>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</si>
  <si>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</si>
  <si>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</si>
  <si>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</si>
  <si>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</si>
  <si>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</si>
  <si>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</si>
  <si>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</si>
  <si>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</si>
  <si>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</si>
  <si>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</si>
  <si>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</si>
  <si>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</si>
  <si>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</si>
  <si>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</si>
  <si>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</si>
  <si>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</si>
  <si>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</si>
  <si>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</si>
  <si>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</si>
  <si>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</si>
  <si>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</si>
  <si>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</si>
  <si>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</si>
  <si>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</si>
  <si>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</si>
  <si>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</si>
  <si>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</si>
  <si>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</si>
  <si>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</si>
  <si>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</si>
  <si>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</si>
  <si>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</si>
  <si>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</si>
  <si>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</si>
  <si>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</si>
  <si>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</si>
  <si>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</si>
  <si>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</si>
  <si>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</si>
  <si>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</si>
  <si>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</si>
  <si>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</si>
  <si>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</si>
  <si>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</si>
  <si>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</si>
  <si>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</si>
  <si>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</si>
  <si>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</si>
  <si>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</si>
  <si>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</si>
  <si>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</si>
  <si>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</si>
  <si>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</si>
  <si>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</si>
  <si>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</si>
  <si>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</si>
  <si>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</si>
  <si>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</si>
  <si>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</si>
  <si>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</si>
  <si>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</si>
  <si>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</si>
  <si>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</si>
  <si>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</si>
  <si>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</si>
  <si>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</si>
  <si>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</si>
  <si>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</si>
  <si>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</si>
  <si>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</si>
  <si>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</si>
  <si>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</si>
  <si>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</si>
  <si>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</si>
  <si>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</si>
  <si>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</si>
  <si>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</si>
  <si>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</si>
  <si>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</si>
  <si>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</si>
  <si>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</si>
  <si>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</si>
  <si>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</si>
  <si>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</si>
  <si>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</si>
  <si>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</si>
  <si>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</si>
  <si>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</si>
  <si>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</si>
  <si>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</si>
  <si>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</si>
  <si>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</si>
  <si>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</si>
  <si>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</si>
  <si>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</si>
  <si>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</si>
  <si>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</si>
  <si>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</si>
  <si>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</si>
  <si>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</si>
  <si>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</si>
  <si>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</si>
  <si>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</si>
  <si>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</si>
  <si>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</si>
  <si>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</si>
  <si>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</si>
  <si>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</si>
  <si>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</si>
  <si>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</si>
  <si>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</si>
  <si>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</si>
  <si>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</si>
  <si>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</si>
  <si>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</si>
  <si>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</si>
  <si>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</si>
  <si>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</si>
  <si>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</si>
  <si>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</si>
  <si>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</si>
  <si>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</si>
  <si>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</si>
  <si>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</si>
  <si>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</si>
  <si>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</si>
  <si>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</si>
  <si>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</si>
  <si>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</si>
  <si>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</si>
  <si>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</si>
  <si>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</si>
  <si>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</si>
  <si>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</si>
  <si>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</si>
  <si>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</si>
  <si>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</si>
  <si>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</si>
  <si>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</si>
  <si>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</si>
  <si>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</si>
  <si>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</si>
  <si>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</si>
  <si>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</si>
  <si>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</si>
  <si>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</si>
  <si>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</si>
  <si>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</si>
  <si>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</si>
  <si>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</si>
  <si>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</si>
  <si>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</si>
  <si>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</si>
  <si>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</si>
  <si>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</si>
  <si>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</si>
  <si>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</si>
  <si>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</si>
  <si>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</si>
  <si>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</si>
  <si>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</si>
  <si>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</si>
  <si>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</si>
  <si>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</si>
  <si>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</si>
  <si>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</si>
  <si>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</si>
  <si>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</si>
  <si>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</si>
  <si>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</si>
  <si>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</si>
  <si>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</si>
  <si>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</si>
  <si>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</si>
  <si>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</si>
  <si>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</si>
  <si>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</si>
  <si>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</si>
  <si>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</si>
  <si>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</si>
  <si>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</si>
  <si>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</si>
  <si>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</si>
  <si>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</si>
  <si>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</si>
  <si>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</si>
  <si>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</si>
  <si>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</si>
  <si>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</si>
  <si>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</si>
  <si>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</si>
  <si>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</si>
  <si>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</si>
  <si>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</si>
  <si>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</si>
  <si>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</si>
  <si>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</si>
  <si>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</si>
  <si>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</si>
  <si>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</si>
  <si>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</si>
  <si>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</si>
  <si>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</si>
  <si>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</si>
  <si>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</si>
  <si>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</si>
  <si>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</si>
  <si>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</si>
  <si>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</si>
  <si>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</si>
  <si>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</si>
  <si>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</si>
  <si>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</si>
  <si>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</si>
  <si>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</si>
  <si>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</si>
  <si>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</si>
  <si>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</si>
  <si>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</si>
  <si>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</si>
  <si>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</si>
  <si>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</si>
  <si>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</si>
  <si>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</si>
  <si>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</si>
  <si>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</si>
  <si>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</si>
  <si>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</si>
  <si>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</si>
  <si>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</si>
  <si>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</si>
  <si>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</si>
  <si>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</si>
  <si>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</si>
  <si>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</si>
  <si>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</si>
  <si>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</si>
  <si>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</si>
  <si>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</si>
  <si>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</si>
  <si>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</si>
  <si>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</si>
  <si>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</si>
  <si>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</si>
  <si>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</si>
  <si>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</si>
  <si>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</si>
  <si>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</si>
  <si>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</si>
  <si>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</si>
  <si>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</si>
  <si>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</si>
  <si>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</si>
  <si>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</si>
  <si>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</si>
  <si>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</si>
  <si>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</si>
  <si>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</si>
  <si>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</si>
  <si>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</si>
  <si>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</si>
  <si>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</si>
  <si>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</si>
  <si>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</si>
  <si>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</si>
  <si>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</si>
  <si>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</si>
  <si>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</si>
  <si>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</si>
  <si>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</si>
  <si>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</si>
  <si>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</si>
  <si>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</si>
  <si>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</si>
  <si>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</si>
  <si>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</si>
  <si>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</si>
  <si>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</si>
  <si>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</si>
  <si>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</si>
  <si>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</si>
  <si>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</si>
  <si>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</si>
  <si>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</si>
  <si>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</si>
  <si>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</si>
  <si>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</si>
  <si>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</si>
  <si>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</si>
  <si>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</si>
  <si>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</si>
  <si>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</si>
  <si>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</si>
  <si>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</si>
  <si>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</si>
  <si>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</si>
  <si>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</si>
  <si>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</si>
  <si>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</si>
  <si>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</si>
  <si>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</si>
  <si>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</si>
  <si>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</si>
  <si>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</si>
  <si>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</si>
  <si>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</si>
  <si>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</si>
  <si>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</si>
  <si>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</si>
  <si>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</si>
  <si>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</si>
  <si>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</si>
  <si>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</si>
  <si>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</si>
  <si>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</si>
  <si>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</si>
  <si>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</si>
  <si>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</si>
  <si>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</si>
  <si>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</si>
  <si>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</si>
  <si>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</si>
  <si>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</si>
  <si>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</si>
  <si>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</si>
  <si>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</si>
  <si>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</si>
  <si>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</si>
  <si>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</si>
  <si>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</si>
  <si>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</si>
  <si>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</si>
  <si>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</si>
  <si>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</si>
  <si>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</si>
  <si>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</si>
  <si>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</si>
  <si>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</si>
  <si>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</si>
  <si>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</si>
  <si>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</si>
  <si>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</si>
  <si>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</si>
  <si>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</si>
  <si>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</si>
  <si>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</si>
  <si>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</si>
  <si>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</si>
  <si>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</si>
  <si>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</si>
  <si>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</si>
  <si>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</si>
  <si>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</si>
  <si>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</si>
  <si>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</si>
  <si>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</si>
  <si>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</si>
  <si>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</si>
  <si>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</si>
  <si>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</si>
  <si>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</si>
  <si>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</si>
  <si>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</si>
  <si>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</si>
  <si>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</si>
  <si>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</si>
  <si>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</si>
  <si>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</si>
  <si>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</si>
  <si>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</si>
  <si>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</si>
  <si>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</si>
  <si>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</si>
  <si>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</si>
  <si>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</si>
  <si>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</si>
  <si>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</si>
  <si>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</si>
  <si>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</si>
  <si>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</si>
  <si>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</si>
  <si>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</si>
  <si>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</si>
  <si>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</si>
  <si>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</si>
  <si>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</si>
  <si>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</si>
  <si>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</si>
  <si>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</si>
  <si>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</si>
  <si>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</si>
  <si>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</si>
  <si>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</si>
  <si>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</si>
  <si>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</si>
  <si>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</si>
  <si>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</si>
  <si>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</si>
  <si>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</si>
  <si>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</si>
  <si>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</si>
  <si>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</si>
  <si>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</si>
  <si>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</si>
  <si>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</si>
  <si>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</si>
  <si>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</si>
  <si>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</si>
  <si>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</si>
  <si>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</si>
  <si>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</si>
  <si>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</si>
  <si>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</si>
  <si>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</si>
  <si>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</si>
  <si>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</si>
  <si>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</si>
  <si>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</si>
  <si>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</si>
  <si>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</si>
  <si>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</si>
  <si>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</si>
  <si>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</si>
  <si>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</si>
  <si>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</si>
  <si>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</si>
  <si>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</si>
  <si>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</si>
  <si>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</si>
  <si>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</si>
  <si>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</si>
  <si>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</si>
  <si>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</si>
  <si>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</si>
  <si>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</si>
  <si>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</si>
  <si>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</si>
  <si>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</si>
  <si>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</si>
  <si>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</si>
  <si>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</si>
  <si>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</si>
  <si>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</si>
  <si>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</si>
  <si>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</si>
  <si>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</si>
  <si>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</si>
  <si>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</si>
  <si>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</si>
  <si>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</si>
  <si>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</si>
  <si>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</si>
  <si>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</si>
  <si>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</si>
  <si>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</si>
  <si>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</si>
  <si>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</si>
  <si>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</si>
  <si>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</si>
  <si>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</si>
  <si>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</si>
  <si>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</si>
  <si>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</si>
  <si>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</si>
  <si>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</si>
  <si>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</si>
  <si>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</si>
  <si>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</si>
  <si>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</si>
  <si>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</si>
  <si>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</si>
  <si>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</si>
  <si>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</si>
  <si>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</si>
  <si>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</si>
  <si>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</si>
  <si>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</si>
  <si>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</si>
  <si>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</si>
  <si>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</si>
  <si>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</si>
  <si>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</si>
  <si>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</si>
  <si>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</si>
  <si>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</si>
  <si>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</si>
  <si>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</si>
  <si>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</si>
  <si>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</si>
  <si>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</si>
  <si>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</si>
  <si>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</si>
  <si>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</si>
  <si>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</si>
  <si>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</si>
  <si>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</si>
  <si>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</si>
  <si>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</si>
  <si>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</si>
  <si>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</si>
  <si>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</si>
  <si>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</si>
  <si>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</si>
  <si>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</si>
  <si>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</si>
  <si>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</si>
  <si>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</si>
  <si>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</si>
  <si>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</si>
  <si>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</si>
  <si>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</si>
  <si>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</si>
  <si>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</si>
  <si>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</si>
  <si>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</si>
  <si>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</si>
  <si>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</si>
  <si>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</si>
  <si>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</si>
  <si>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</si>
  <si>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</si>
  <si>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</si>
  <si>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</si>
  <si>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</si>
  <si>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</si>
  <si>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</si>
  <si>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</si>
  <si>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</si>
  <si>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</si>
  <si>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</si>
  <si>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</si>
  <si>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</si>
  <si>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</si>
  <si>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</si>
  <si>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</si>
  <si>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</si>
  <si>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</si>
  <si>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</si>
  <si>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</si>
  <si>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</si>
  <si>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</si>
  <si>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</si>
  <si>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</si>
  <si>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</si>
  <si>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</si>
  <si>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</si>
  <si>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</si>
  <si>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</si>
  <si>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</si>
  <si>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</si>
  <si>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</si>
  <si>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</si>
  <si>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</si>
  <si>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</si>
  <si>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</si>
  <si>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</si>
  <si>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</si>
  <si>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</si>
  <si>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</si>
  <si>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</si>
  <si>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</si>
  <si>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</si>
  <si>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</si>
  <si>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</si>
  <si>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</si>
  <si>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</si>
  <si>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</si>
  <si>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</si>
  <si>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</si>
  <si>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</si>
  <si>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</si>
  <si>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</si>
  <si>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</si>
  <si>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</si>
  <si>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</si>
  <si>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</si>
  <si>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</si>
  <si>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</si>
  <si>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</si>
  <si>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</si>
  <si>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</si>
  <si>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</si>
  <si>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</si>
  <si>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</si>
  <si>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</si>
  <si>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</si>
  <si>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</si>
  <si>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</si>
  <si>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</si>
  <si>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</si>
  <si>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</si>
  <si>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</si>
  <si>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</si>
  <si>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</si>
  <si>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</si>
  <si>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</si>
  <si>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</si>
  <si>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</si>
  <si>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</si>
  <si>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</si>
  <si>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</si>
  <si>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</si>
  <si>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</si>
  <si>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</si>
  <si>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</si>
  <si>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</si>
  <si>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</si>
  <si>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</si>
  <si>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</si>
  <si>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</si>
  <si>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</si>
  <si>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</si>
  <si>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</si>
  <si>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</si>
  <si>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</si>
  <si>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</si>
  <si>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</si>
  <si>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</si>
  <si>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</si>
  <si>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</si>
  <si>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</si>
  <si>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</si>
  <si>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</si>
  <si>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</si>
  <si>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</si>
  <si>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</si>
  <si>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</si>
  <si>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</si>
  <si>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</si>
  <si>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</si>
  <si>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</si>
  <si>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</si>
  <si>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</si>
  <si>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</si>
  <si>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</si>
  <si>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</si>
  <si>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</si>
  <si>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</si>
  <si>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</si>
  <si>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</si>
  <si>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</si>
  <si>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</si>
  <si>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</si>
  <si>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</si>
  <si>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</si>
  <si>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</si>
  <si>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</si>
  <si>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</si>
  <si>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</si>
  <si>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</si>
  <si>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</si>
  <si>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</si>
  <si>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</si>
  <si>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</si>
  <si>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</si>
  <si>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</si>
  <si>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</si>
  <si>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</si>
  <si>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</si>
  <si>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</si>
  <si>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</si>
  <si>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</si>
  <si>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</si>
  <si>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</si>
  <si>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</si>
  <si>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</si>
  <si>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</si>
  <si>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</si>
  <si>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</si>
  <si>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</si>
  <si>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</si>
  <si>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</si>
  <si>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</si>
  <si>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</si>
  <si>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</si>
  <si>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</si>
  <si>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</si>
  <si>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</si>
  <si>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</si>
  <si>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</si>
  <si>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</si>
  <si>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</si>
  <si>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</si>
  <si>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</si>
  <si>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</si>
  <si>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</si>
  <si>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</si>
  <si>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</si>
  <si>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</si>
  <si>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</si>
  <si>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</si>
  <si>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</si>
  <si>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</si>
  <si>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</si>
  <si>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</si>
  <si>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</si>
  <si>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</si>
  <si>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</si>
  <si>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</si>
  <si>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</si>
  <si>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</si>
  <si>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</si>
  <si>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</si>
  <si>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</si>
  <si>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</si>
  <si>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</si>
  <si>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</si>
  <si>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</si>
  <si>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</si>
  <si>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</si>
  <si>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</si>
  <si>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</si>
  <si>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</si>
  <si>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</si>
  <si>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</si>
  <si>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</si>
  <si>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</si>
  <si>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</si>
  <si>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</si>
  <si>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</si>
  <si>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</si>
  <si>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</si>
  <si>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</si>
  <si>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</si>
  <si>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</si>
  <si>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</si>
  <si>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</si>
  <si>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</si>
  <si>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</si>
  <si>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</si>
  <si>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</si>
  <si>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</si>
  <si>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</si>
  <si>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</si>
  <si>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</si>
  <si>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</si>
  <si>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</si>
  <si>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</si>
  <si>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</si>
  <si>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</si>
  <si>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</si>
  <si>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</si>
  <si>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</si>
  <si>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</si>
  <si>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</si>
  <si>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</si>
  <si>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</si>
  <si>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</si>
  <si>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</si>
  <si>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</si>
  <si>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</si>
  <si>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</si>
  <si>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</si>
  <si>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</si>
  <si>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</si>
  <si>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</si>
  <si>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</si>
  <si>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</si>
  <si>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</si>
  <si>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</si>
  <si>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</si>
  <si>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</si>
  <si>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</si>
  <si>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</si>
  <si>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</si>
  <si>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</si>
  <si>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</si>
  <si>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</si>
  <si>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</si>
  <si>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</si>
  <si>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</si>
  <si>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</si>
  <si>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</si>
  <si>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</si>
  <si>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</si>
  <si>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</si>
  <si>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</si>
  <si>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</si>
  <si>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</si>
  <si>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</si>
  <si>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</si>
  <si>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</si>
  <si>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</si>
  <si>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</si>
  <si>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</si>
  <si>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</si>
  <si>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</si>
  <si>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</si>
  <si>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</si>
  <si>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</si>
  <si>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</si>
  <si>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</si>
  <si>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</si>
  <si>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</si>
  <si>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</si>
  <si>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</si>
  <si>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</si>
  <si>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</si>
  <si>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</si>
  <si>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</si>
  <si>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</si>
  <si>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</si>
  <si>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</si>
  <si>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</si>
  <si>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</si>
  <si>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</si>
  <si>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</si>
  <si>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</si>
  <si>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</si>
  <si>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</si>
  <si>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</si>
  <si>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</si>
  <si>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</si>
  <si>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</si>
  <si>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</si>
  <si>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</si>
  <si>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</si>
  <si>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</si>
  <si>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</si>
  <si>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</si>
  <si>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</si>
  <si>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</si>
  <si>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</si>
  <si>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</si>
  <si>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</si>
  <si>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</si>
  <si>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</si>
  <si>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</si>
  <si>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</si>
  <si>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</si>
  <si>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</si>
  <si>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</si>
  <si>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</si>
  <si>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</si>
  <si>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</si>
  <si>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</si>
  <si>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</si>
  <si>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</si>
  <si>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</si>
  <si>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</si>
  <si>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</si>
  <si>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</si>
  <si>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</si>
  <si>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</si>
  <si>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</si>
  <si>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</si>
  <si>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</si>
  <si>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</si>
  <si>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</si>
  <si>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</si>
  <si>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</si>
  <si>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</si>
  <si>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</si>
  <si>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</si>
  <si>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</si>
  <si>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</si>
  <si>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</si>
  <si>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</si>
  <si>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</si>
  <si>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</si>
  <si>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</si>
  <si>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</si>
  <si>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</si>
  <si>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</si>
  <si>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</si>
  <si>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</si>
  <si>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</si>
  <si>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</si>
  <si>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</si>
  <si>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</si>
  <si>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</si>
  <si>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</si>
  <si>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</si>
  <si>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</si>
  <si>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</si>
  <si>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</si>
  <si>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</si>
  <si>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</si>
  <si>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</si>
  <si>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</si>
  <si>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</si>
  <si>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</si>
  <si>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</si>
  <si>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</si>
  <si>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</si>
  <si>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</si>
  <si>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</si>
  <si>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</si>
  <si>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</si>
  <si>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</si>
  <si>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</si>
  <si>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</si>
  <si>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</si>
  <si>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</si>
  <si>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</si>
  <si>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</si>
  <si>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</si>
  <si>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</si>
  <si>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</si>
  <si>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</si>
  <si>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</si>
  <si>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</si>
  <si>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</si>
  <si>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</si>
  <si>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</si>
  <si>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</si>
  <si>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</si>
  <si>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</si>
  <si>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</si>
  <si>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</si>
  <si>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</si>
  <si>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</si>
  <si>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</si>
  <si>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</si>
  <si>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</si>
  <si>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</si>
  <si>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</si>
  <si>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</si>
  <si>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</si>
  <si>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</si>
  <si>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</si>
  <si>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</si>
  <si>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</si>
  <si>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</si>
  <si>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</si>
  <si>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</si>
  <si>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</si>
  <si>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</si>
  <si>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</si>
  <si>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</si>
  <si>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</si>
  <si>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</si>
  <si>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</si>
  <si>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</si>
  <si>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</si>
  <si>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</si>
  <si>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</si>
  <si>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</si>
  <si>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</si>
  <si>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</si>
  <si>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</si>
  <si>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</si>
  <si>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</si>
  <si>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</si>
  <si>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</si>
  <si>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</si>
  <si>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</si>
  <si>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</si>
  <si>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</si>
  <si>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</si>
  <si>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</si>
  <si>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</si>
  <si>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</si>
  <si>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</si>
  <si>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</si>
  <si>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</si>
  <si>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</si>
  <si>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</si>
  <si>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</si>
  <si>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</si>
  <si>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</si>
  <si>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</si>
  <si>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</si>
  <si>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</si>
  <si>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</si>
  <si>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</si>
  <si>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</si>
  <si>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</si>
  <si>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</si>
  <si>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</si>
  <si>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</si>
  <si>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</si>
  <si>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</si>
  <si>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</si>
  <si>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</si>
  <si>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</si>
  <si>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</si>
  <si>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</si>
  <si>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</si>
  <si>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</si>
  <si>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</si>
  <si>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</si>
  <si>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</si>
  <si>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</si>
  <si>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</si>
  <si>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</si>
  <si>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</si>
  <si>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</si>
  <si>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</si>
  <si>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</si>
  <si>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</si>
  <si>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</si>
  <si>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</si>
  <si>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</si>
  <si>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</si>
  <si>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</si>
  <si>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</si>
  <si>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</si>
  <si>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</si>
  <si>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</si>
  <si>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</si>
  <si>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</si>
  <si>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</si>
  <si>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</si>
  <si>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</si>
  <si>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</si>
  <si>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</si>
  <si>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</si>
  <si>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</si>
  <si>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</si>
  <si>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</si>
  <si>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</si>
  <si>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</si>
  <si>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</si>
  <si>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</si>
  <si>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</si>
  <si>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</si>
  <si>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</si>
  <si>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</si>
  <si>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</si>
  <si>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</si>
  <si>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</si>
  <si>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</si>
  <si>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</si>
  <si>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</si>
  <si>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</si>
  <si>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</si>
  <si>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</si>
  <si>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</si>
  <si>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</si>
  <si>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</si>
  <si>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</si>
  <si>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</si>
  <si>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</si>
  <si>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</si>
  <si>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</si>
  <si>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</si>
  <si>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</si>
  <si>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</si>
  <si>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</si>
  <si>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</si>
  <si>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</si>
  <si>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</si>
  <si>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</si>
  <si>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</si>
  <si>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</si>
  <si>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</si>
  <si>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</si>
  <si>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</si>
  <si>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</si>
  <si>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</si>
  <si>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</si>
  <si>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</si>
  <si>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</si>
  <si>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</si>
  <si>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</si>
  <si>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</si>
  <si>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</si>
  <si>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</si>
  <si>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</si>
  <si>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</si>
  <si>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</si>
  <si>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</si>
  <si>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</si>
  <si>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</si>
  <si>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</si>
  <si>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</si>
  <si>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</si>
  <si>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</si>
  <si>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</si>
  <si>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</si>
  <si>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</si>
  <si>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</si>
  <si>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</si>
  <si>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</si>
  <si>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</si>
  <si>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</si>
  <si>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</si>
  <si>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</si>
  <si>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</si>
  <si>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</si>
  <si>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</si>
  <si>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</si>
  <si>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</si>
  <si>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</si>
  <si>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</si>
  <si>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</si>
  <si>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</si>
  <si>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</si>
  <si>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</si>
  <si>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</si>
  <si>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</si>
  <si>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</si>
  <si>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</si>
  <si>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</si>
  <si>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</si>
  <si>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</si>
  <si>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</si>
  <si>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</si>
  <si>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</si>
  <si>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</si>
  <si>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</si>
  <si>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</si>
  <si>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</si>
  <si>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</si>
  <si>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</si>
  <si>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</si>
  <si>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</si>
  <si>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</si>
  <si>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</si>
  <si>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</si>
  <si>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</si>
  <si>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</si>
  <si>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</si>
  <si>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</si>
  <si>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</si>
  <si>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</si>
  <si>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</si>
  <si>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</si>
  <si>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</si>
  <si>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</si>
  <si>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</si>
  <si>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</si>
  <si>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</si>
  <si>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</si>
  <si>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</si>
  <si>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</si>
  <si>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</si>
  <si>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</si>
  <si>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</si>
  <si>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</si>
  <si>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</si>
  <si>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</si>
  <si>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</si>
  <si>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</si>
  <si>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</si>
  <si>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</si>
  <si>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</si>
  <si>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</si>
  <si>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</si>
  <si>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</si>
  <si>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</si>
  <si>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</si>
  <si>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</si>
  <si>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</si>
  <si>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</si>
  <si>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</si>
  <si>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</si>
  <si>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</si>
  <si>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</si>
  <si>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</si>
  <si>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</si>
  <si>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</si>
  <si>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</si>
  <si>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</si>
  <si>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</si>
  <si>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</si>
  <si>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</si>
  <si>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</si>
  <si>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</si>
  <si>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</si>
  <si>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</si>
  <si>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</si>
  <si>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</si>
  <si>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</si>
  <si>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</si>
  <si>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</si>
  <si>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</si>
  <si>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</si>
  <si>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</si>
  <si>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</si>
  <si>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</si>
  <si>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</si>
  <si>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</si>
  <si>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</si>
  <si>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</si>
  <si>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</si>
  <si>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</si>
  <si>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</si>
  <si>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</si>
  <si>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</si>
  <si>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</si>
  <si>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</si>
  <si>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</si>
  <si>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</si>
  <si>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</si>
  <si>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</si>
  <si>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</si>
  <si>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</si>
  <si>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</si>
  <si>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</si>
  <si>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</si>
  <si>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</si>
  <si>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</si>
  <si>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</si>
  <si>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</si>
  <si>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</si>
  <si>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</si>
  <si>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</si>
  <si>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</si>
  <si>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</si>
  <si>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</si>
  <si>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</si>
  <si>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</si>
  <si>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</si>
  <si>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</si>
  <si>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</si>
  <si>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</si>
  <si>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</si>
  <si>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</si>
  <si>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</si>
  <si>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</si>
  <si>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</si>
  <si>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</si>
  <si>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</si>
  <si>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</si>
  <si>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</si>
  <si>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</si>
  <si>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</si>
  <si>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</si>
  <si>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</si>
  <si>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</si>
  <si>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</si>
  <si>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</si>
  <si>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</si>
  <si>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</si>
  <si>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</si>
  <si>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</si>
  <si>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</si>
  <si>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</si>
  <si>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</si>
  <si>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</si>
  <si>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</si>
  <si>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</si>
  <si>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</si>
  <si>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</si>
  <si>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</si>
  <si>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</si>
  <si>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</si>
  <si>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</si>
  <si>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</si>
  <si>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</si>
  <si>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</si>
  <si>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</si>
  <si>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</si>
  <si>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</si>
  <si>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</si>
  <si>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</si>
  <si>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</si>
  <si>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</si>
  <si>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</si>
  <si>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</si>
  <si>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</si>
  <si>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</si>
  <si>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</si>
  <si>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</si>
  <si>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</si>
  <si>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</si>
  <si>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</si>
  <si>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</si>
  <si>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</si>
  <si>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</si>
  <si>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</si>
  <si>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</si>
  <si>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</si>
  <si>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</si>
  <si>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</si>
  <si>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</si>
  <si>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</si>
  <si>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</si>
  <si>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</si>
  <si>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</si>
  <si>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</si>
  <si>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</si>
  <si>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</si>
  <si>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</si>
  <si>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</si>
  <si>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</si>
  <si>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</si>
  <si>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</si>
  <si>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</si>
  <si>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</si>
  <si>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</si>
  <si>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</si>
  <si>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</si>
  <si>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</si>
  <si>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</si>
  <si>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</si>
  <si>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</si>
  <si>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</si>
  <si>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</si>
  <si>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</si>
  <si>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</si>
  <si>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</si>
  <si>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</si>
  <si>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</si>
  <si>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</si>
  <si>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</si>
  <si>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</si>
  <si>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</si>
  <si>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</si>
  <si>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</si>
  <si>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</si>
  <si>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</si>
  <si>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</si>
  <si>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</si>
  <si>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</si>
  <si>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</si>
  <si>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</si>
  <si>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</si>
  <si>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</si>
  <si>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</si>
  <si>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</si>
  <si>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</si>
  <si>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</si>
  <si>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</si>
  <si>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</si>
  <si>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</si>
  <si>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</si>
  <si>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</si>
  <si>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</si>
  <si>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</si>
  <si>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</si>
  <si>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</si>
  <si>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</si>
  <si>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</si>
  <si>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</si>
  <si>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</si>
  <si>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</si>
  <si>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</si>
  <si>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</si>
  <si>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</si>
  <si>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</si>
  <si>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</si>
  <si>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</si>
  <si>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</si>
  <si>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</si>
  <si>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</si>
  <si>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</si>
  <si>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</si>
  <si>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</si>
  <si>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</si>
  <si>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</si>
  <si>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</si>
  <si>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</si>
  <si>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</si>
  <si>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</si>
  <si>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</si>
  <si>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</si>
  <si>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</si>
  <si>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</si>
  <si>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</si>
  <si>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</si>
  <si>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</si>
  <si>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</si>
  <si>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</si>
  <si>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</si>
  <si>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</si>
  <si>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</si>
  <si>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</si>
  <si>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</si>
  <si>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</si>
  <si>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</si>
  <si>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</si>
  <si>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</si>
  <si>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</si>
  <si>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</si>
  <si>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</si>
  <si>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</si>
  <si>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</si>
  <si>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</si>
  <si>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</si>
  <si>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</si>
  <si>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</si>
  <si>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</si>
  <si>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</si>
  <si>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</si>
  <si>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</si>
  <si>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</si>
  <si>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</si>
  <si>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</si>
  <si>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</si>
  <si>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</si>
  <si>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</si>
  <si>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</si>
  <si>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</si>
  <si>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</si>
  <si>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</si>
  <si>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</si>
  <si>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</si>
  <si>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</si>
  <si>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</si>
  <si>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</si>
  <si>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</si>
  <si>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</si>
  <si>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</si>
  <si>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</si>
  <si>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</si>
  <si>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</si>
  <si>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</si>
  <si>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</si>
  <si>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</si>
  <si>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</si>
  <si>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</si>
  <si>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</si>
  <si>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</si>
  <si>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</si>
  <si>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</si>
  <si>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</si>
  <si>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</si>
  <si>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</si>
  <si>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</si>
  <si>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</si>
  <si>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</si>
  <si>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</si>
  <si>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</si>
  <si>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</si>
  <si>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</si>
  <si>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</si>
  <si>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</si>
  <si>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</si>
  <si>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</si>
  <si>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</si>
  <si>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</si>
  <si>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</si>
  <si>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</si>
  <si>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</si>
  <si>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</si>
  <si>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</si>
  <si>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</si>
  <si>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</si>
  <si>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</si>
  <si>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</si>
  <si>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</si>
  <si>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</si>
  <si>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</si>
  <si>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</si>
  <si>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</si>
  <si>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</si>
  <si>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</si>
  <si>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</si>
  <si>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</si>
  <si>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</si>
  <si>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</si>
  <si>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</si>
  <si>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</si>
  <si>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</si>
  <si>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</si>
  <si>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</si>
  <si>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</si>
  <si>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</si>
  <si>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</si>
  <si>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</si>
  <si>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</si>
  <si>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</si>
  <si>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</si>
  <si>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</si>
  <si>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</si>
  <si>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</si>
  <si>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</si>
  <si>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</si>
  <si>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</si>
  <si>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</si>
  <si>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</si>
  <si>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</si>
  <si>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</si>
  <si>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</si>
  <si>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</si>
  <si>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</si>
  <si>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</si>
  <si>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</si>
  <si>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</si>
  <si>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</si>
  <si>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</si>
  <si>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</si>
  <si>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</si>
  <si>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</si>
  <si>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</si>
  <si>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</si>
  <si>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</si>
  <si>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</si>
  <si>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</si>
  <si>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</si>
  <si>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</si>
  <si>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</si>
  <si>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</si>
  <si>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</si>
  <si>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</si>
  <si>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</si>
  <si>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</si>
  <si>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</si>
  <si>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</si>
  <si>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</si>
  <si>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</si>
  <si>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</si>
  <si>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</si>
  <si>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</si>
  <si>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</si>
  <si>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</si>
  <si>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</si>
  <si>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</si>
  <si>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</si>
  <si>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</si>
  <si>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</si>
  <si>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</si>
  <si>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</si>
  <si>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</si>
  <si>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</si>
  <si>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</si>
  <si>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</si>
  <si>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</si>
  <si>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</si>
  <si>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</si>
  <si>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</si>
  <si>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</si>
  <si>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</si>
  <si>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</si>
  <si>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</si>
  <si>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</si>
  <si>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</si>
  <si>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</si>
  <si>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</si>
  <si>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</si>
  <si>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</si>
  <si>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</si>
  <si>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</si>
  <si>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</si>
  <si>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</si>
  <si>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</si>
  <si>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</si>
  <si>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</si>
  <si>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</si>
  <si>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</si>
  <si>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</si>
  <si>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</si>
  <si>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</si>
  <si>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</si>
  <si>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</si>
  <si>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</si>
  <si>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</si>
  <si>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</si>
  <si>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</si>
  <si>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</si>
  <si>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</si>
  <si>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</si>
  <si>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</si>
  <si>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</si>
  <si>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</si>
  <si>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</si>
  <si>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</si>
  <si>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</si>
  <si>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</si>
  <si>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</si>
  <si>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</si>
  <si>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</si>
  <si>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</si>
  <si>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</si>
  <si>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</si>
  <si>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</si>
  <si>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</si>
  <si>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</si>
  <si>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</si>
  <si>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</si>
  <si>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</si>
  <si>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</si>
  <si>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</si>
  <si>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</si>
  <si>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</si>
  <si>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</si>
  <si>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</si>
  <si>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</si>
  <si>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</si>
  <si>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</si>
  <si>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</si>
  <si>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</si>
  <si>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</si>
  <si>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</si>
  <si>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</si>
  <si>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</si>
  <si>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</si>
  <si>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</si>
  <si>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</si>
  <si>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</si>
  <si>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</si>
  <si>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</si>
  <si>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</si>
  <si>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</si>
  <si>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</si>
  <si>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</si>
  <si>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</si>
  <si>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</si>
  <si>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</si>
  <si>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</si>
  <si>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</si>
  <si>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</si>
  <si>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</si>
  <si>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</si>
  <si>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</si>
  <si>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</si>
  <si>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</si>
  <si>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</si>
  <si>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</si>
  <si>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</si>
  <si>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</si>
  <si>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</si>
  <si>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</si>
  <si>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</si>
  <si>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</si>
  <si>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</si>
  <si>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</si>
  <si>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</si>
  <si>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</si>
  <si>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</si>
  <si>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</si>
  <si>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</si>
  <si>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</si>
  <si>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</si>
  <si>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</si>
  <si>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</si>
  <si>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</si>
  <si>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</si>
  <si>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</si>
  <si>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</si>
  <si>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</si>
  <si>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</si>
  <si>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</si>
  <si>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</si>
  <si>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</si>
  <si>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</si>
  <si>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</si>
  <si>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</si>
  <si>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</si>
  <si>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</si>
  <si>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</si>
  <si>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</si>
  <si>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</si>
  <si>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</si>
  <si>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</si>
  <si>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</si>
  <si>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</si>
  <si>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</si>
  <si>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</si>
  <si>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</si>
  <si>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</si>
  <si>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</si>
  <si>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</si>
  <si>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</si>
  <si>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</si>
  <si>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</si>
  <si>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</si>
  <si>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</si>
  <si>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</si>
  <si>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</si>
  <si>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</si>
  <si>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</si>
  <si>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</si>
  <si>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</si>
  <si>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</si>
  <si>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</si>
  <si>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</si>
  <si>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</si>
  <si>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</si>
  <si>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</si>
  <si>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</si>
  <si>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</si>
  <si>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</si>
  <si>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</si>
  <si>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</si>
  <si>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</si>
  <si>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</si>
  <si>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</si>
  <si>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</si>
  <si>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</si>
  <si>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</si>
  <si>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</si>
  <si>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</si>
  <si>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</si>
  <si>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</si>
  <si>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</si>
  <si>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</si>
  <si>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</si>
  <si>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</si>
  <si>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</si>
  <si>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</si>
  <si>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</si>
  <si>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</si>
  <si>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</si>
  <si>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</si>
  <si>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</si>
  <si>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</si>
  <si>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</si>
  <si>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</si>
  <si>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</si>
  <si>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</si>
  <si>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</si>
  <si>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</si>
  <si>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</si>
  <si>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</si>
  <si>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</si>
  <si>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</si>
  <si>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</si>
  <si>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</si>
  <si>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</si>
  <si>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</si>
  <si>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</si>
  <si>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</si>
  <si>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</si>
  <si>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</si>
  <si>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</si>
  <si>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</si>
  <si>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</si>
  <si>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</si>
  <si>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</si>
  <si>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</si>
  <si>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</si>
  <si>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</si>
  <si>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</si>
  <si>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</si>
  <si>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</si>
  <si>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</si>
  <si>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</si>
  <si>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</si>
  <si>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</si>
  <si>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</si>
  <si>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</si>
  <si>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</si>
  <si>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</si>
  <si>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</si>
  <si>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</si>
  <si>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</si>
  <si>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</si>
  <si>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</si>
  <si>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</si>
  <si>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</si>
  <si>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</si>
  <si>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</si>
  <si>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</si>
  <si>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</si>
  <si>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</si>
  <si>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</si>
  <si>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</si>
  <si>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</si>
  <si>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</si>
  <si>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</si>
  <si>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</si>
  <si>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</si>
  <si>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</si>
  <si>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</si>
  <si>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</si>
  <si>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</si>
  <si>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</si>
  <si>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</si>
  <si>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</si>
  <si>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</si>
  <si>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</si>
  <si>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</si>
  <si>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</si>
  <si>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</si>
  <si>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</si>
  <si>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</si>
  <si>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</si>
  <si>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</si>
  <si>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</si>
  <si>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</si>
  <si>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</si>
  <si>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</si>
  <si>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</si>
  <si>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</si>
  <si>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</si>
  <si>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</si>
  <si>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</si>
  <si>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</si>
  <si>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</si>
  <si>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</si>
  <si>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</si>
  <si>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</si>
  <si>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</si>
  <si>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</si>
  <si>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</si>
  <si>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</si>
  <si>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</si>
  <si>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</si>
  <si>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</si>
  <si>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</si>
  <si>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</si>
  <si>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</si>
  <si>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</si>
  <si>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</si>
  <si>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</si>
  <si>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</si>
  <si>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</si>
  <si>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</si>
  <si>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</si>
  <si>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</si>
  <si>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</si>
  <si>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</si>
  <si>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</si>
  <si>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</si>
  <si>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</si>
  <si>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</si>
  <si>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</si>
  <si>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</si>
  <si>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</si>
  <si>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</si>
  <si>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</si>
  <si>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</si>
  <si>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</si>
  <si>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</si>
  <si>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</si>
  <si>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</si>
  <si>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</si>
  <si>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</si>
  <si>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</si>
  <si>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</si>
  <si>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</si>
  <si>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</si>
  <si>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</si>
  <si>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</si>
  <si>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</si>
  <si>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</si>
  <si>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</si>
  <si>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</si>
  <si>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</si>
  <si>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</si>
  <si>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</si>
  <si>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</si>
  <si>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</si>
  <si>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</si>
  <si>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</si>
  <si>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</si>
  <si>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</si>
  <si>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</si>
  <si>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</si>
  <si>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</si>
  <si>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</si>
  <si>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</si>
  <si>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</si>
  <si>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</si>
  <si>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</si>
  <si>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</si>
  <si>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</si>
  <si>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</si>
  <si>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</si>
  <si>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</si>
  <si>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</si>
  <si>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</si>
  <si>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</si>
  <si>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</si>
  <si>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</si>
  <si>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</si>
  <si>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</si>
  <si>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</si>
  <si>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</si>
  <si>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</si>
  <si>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</si>
  <si>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</si>
  <si>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</si>
  <si>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</si>
  <si>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</si>
  <si>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</si>
  <si>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</si>
  <si>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</si>
  <si>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</si>
  <si>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</si>
  <si>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</si>
  <si>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</si>
  <si>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</si>
  <si>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</si>
  <si>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</si>
  <si>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</si>
  <si>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</si>
  <si>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</si>
  <si>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</si>
  <si>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</si>
  <si>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</si>
  <si>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</si>
  <si>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</si>
  <si>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</si>
  <si>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</si>
  <si>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</si>
  <si>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</si>
  <si>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</si>
  <si>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</si>
  <si>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</si>
  <si>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</si>
  <si>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</si>
  <si>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</si>
  <si>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</si>
  <si>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</si>
  <si>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</si>
  <si>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</si>
  <si>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</si>
  <si>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</si>
  <si>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</si>
  <si>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</si>
  <si>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</si>
  <si>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</si>
  <si>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</si>
  <si>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</si>
  <si>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</si>
  <si>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</si>
  <si>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</si>
  <si>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</si>
  <si>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</si>
  <si>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</si>
  <si>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</si>
  <si>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</si>
  <si>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</si>
  <si>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</si>
  <si>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</si>
  <si>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</si>
  <si>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</si>
  <si>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</si>
  <si>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</si>
  <si>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</si>
  <si>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</si>
  <si>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</si>
  <si>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</si>
  <si>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</si>
  <si>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</si>
  <si>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</si>
  <si>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</si>
  <si>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</si>
  <si>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</si>
  <si>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</si>
  <si>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</si>
  <si>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</si>
  <si>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</si>
  <si>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</si>
  <si>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</si>
  <si>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</si>
  <si>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</si>
  <si>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</si>
  <si>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</si>
  <si>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</si>
  <si>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</si>
  <si>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</si>
  <si>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</si>
  <si>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</si>
  <si>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</si>
  <si>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</si>
  <si>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</si>
  <si>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</si>
  <si>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</si>
  <si>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</si>
  <si>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</si>
  <si>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</si>
  <si>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</si>
  <si>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</si>
  <si>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</si>
  <si>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</si>
  <si>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</si>
  <si>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</si>
  <si>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</si>
  <si>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</si>
  <si>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</si>
  <si>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</si>
  <si>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</si>
  <si>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</si>
  <si>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</si>
  <si>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</si>
  <si>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</si>
  <si>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</si>
  <si>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</si>
  <si>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</si>
  <si>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</si>
  <si>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</si>
  <si>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</si>
  <si>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</si>
  <si>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</si>
  <si>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</si>
  <si>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</si>
  <si>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</si>
  <si>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</si>
  <si>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</si>
  <si>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</si>
  <si>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</si>
  <si>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</si>
  <si>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</si>
  <si>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</si>
  <si>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</si>
  <si>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</si>
  <si>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</si>
  <si>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</si>
  <si>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</si>
  <si>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</si>
  <si>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</si>
  <si>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</si>
  <si>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</si>
  <si>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</si>
  <si>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</si>
  <si>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</si>
  <si>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</si>
  <si>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</si>
  <si>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</si>
  <si>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</si>
  <si>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</si>
  <si>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</si>
  <si>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</si>
  <si>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</si>
  <si>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</si>
  <si>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</si>
  <si>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</si>
  <si>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</si>
  <si>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</si>
  <si>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</si>
  <si>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</si>
  <si>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</si>
  <si>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</si>
  <si>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</si>
  <si>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</si>
  <si>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</si>
  <si>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</si>
  <si>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</si>
  <si>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</si>
  <si>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</si>
  <si>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</si>
  <si>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</si>
  <si>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</si>
  <si>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</si>
  <si>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</si>
  <si>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</si>
  <si>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</si>
  <si>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</si>
  <si>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</si>
  <si>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</si>
  <si>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</si>
  <si>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</si>
  <si>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</si>
  <si>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</si>
  <si>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</si>
  <si>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</si>
  <si>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</si>
  <si>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</si>
  <si>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</si>
  <si>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</si>
  <si>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</si>
  <si>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</si>
  <si>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</si>
  <si>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</si>
  <si>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</si>
  <si>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</si>
  <si>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</si>
  <si>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</si>
  <si>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</si>
  <si>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</si>
  <si>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</si>
  <si>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</si>
  <si>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</si>
  <si>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</si>
  <si>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</si>
  <si>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</si>
  <si>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</si>
  <si>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</si>
  <si>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</si>
  <si>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</si>
  <si>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</si>
  <si>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</si>
  <si>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</si>
  <si>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</si>
  <si>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</si>
  <si>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</si>
  <si>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</si>
  <si>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</si>
  <si>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</si>
  <si>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</si>
  <si>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</si>
  <si>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</si>
  <si>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</si>
  <si>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</si>
  <si>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</si>
  <si>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</si>
  <si>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</si>
  <si>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</si>
  <si>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</si>
  <si>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</si>
  <si>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</si>
  <si>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</si>
  <si>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</si>
  <si>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</si>
  <si>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</si>
  <si>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</si>
  <si>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</si>
  <si>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</si>
  <si>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</si>
  <si>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</si>
  <si>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</si>
  <si>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</si>
  <si>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</si>
  <si>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</si>
  <si>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</si>
  <si>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</si>
  <si>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</si>
  <si>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</si>
  <si>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</si>
  <si>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</si>
  <si>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</si>
  <si>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</si>
  <si>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</si>
  <si>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</si>
  <si>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</si>
  <si>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</si>
  <si>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</si>
  <si>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</si>
  <si>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</si>
  <si>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</si>
  <si>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</si>
  <si>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</si>
  <si>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</si>
  <si>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</si>
  <si>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</si>
  <si>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</si>
  <si>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</si>
  <si>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</si>
  <si>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</si>
  <si>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</si>
  <si>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</si>
  <si>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</si>
  <si>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</si>
  <si>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</si>
  <si>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</si>
  <si>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</si>
  <si>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</si>
  <si>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</si>
  <si>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</si>
  <si>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</si>
  <si>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</si>
  <si>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</si>
  <si>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</si>
  <si>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</si>
  <si>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</si>
  <si>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</si>
  <si>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</si>
  <si>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</si>
  <si>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</si>
  <si>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</si>
  <si>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</si>
  <si>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</si>
  <si>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</si>
  <si>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</si>
  <si>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</si>
  <si>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</si>
  <si>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</si>
  <si>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</si>
  <si>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</si>
  <si>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</si>
  <si>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</si>
  <si>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</si>
  <si>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</si>
  <si>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</si>
  <si>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</si>
  <si>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</si>
  <si>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</si>
  <si>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</si>
  <si>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</si>
  <si>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</si>
  <si>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</si>
  <si>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</si>
  <si>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</si>
  <si>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</si>
  <si>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</si>
  <si>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</si>
  <si>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</si>
  <si>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</si>
  <si>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</si>
  <si>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</si>
  <si>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</si>
  <si>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</si>
  <si>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</si>
  <si>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</si>
  <si>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</si>
  <si>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</si>
  <si>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</si>
  <si>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</si>
  <si>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</si>
  <si>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</si>
  <si>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</si>
  <si>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</si>
  <si>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</si>
  <si>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</si>
  <si>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</si>
  <si>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</si>
  <si>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</si>
  <si>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</si>
  <si>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</si>
  <si>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</si>
  <si>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</si>
  <si>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</si>
  <si>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</si>
  <si>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</si>
  <si>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</si>
  <si>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</si>
  <si>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</si>
  <si>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</si>
  <si>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</si>
  <si>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</si>
  <si>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</si>
  <si>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</si>
  <si>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</si>
  <si>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</si>
  <si>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</si>
  <si>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</si>
  <si>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</si>
  <si>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</si>
  <si>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</si>
  <si>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</si>
  <si>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</si>
  <si>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</si>
  <si>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</si>
  <si>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</si>
  <si>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</si>
  <si>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</si>
  <si>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</si>
  <si>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</si>
  <si>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</si>
  <si>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</si>
  <si>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</si>
  <si>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</si>
  <si>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</si>
  <si>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</si>
  <si>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</si>
  <si>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</si>
  <si>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</si>
  <si>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</si>
  <si>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</si>
  <si>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</si>
  <si>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</si>
  <si>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</si>
  <si>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</si>
  <si>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</si>
  <si>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</si>
  <si>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</si>
  <si>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</si>
  <si>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</si>
  <si>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</si>
  <si>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</si>
  <si>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</si>
  <si>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</si>
  <si>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</si>
  <si>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</si>
  <si>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</si>
  <si>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</si>
  <si>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</si>
  <si>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</si>
  <si>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</si>
  <si>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</si>
  <si>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</si>
  <si>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</si>
  <si>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</si>
  <si>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</si>
  <si>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</si>
  <si>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</si>
  <si>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</si>
  <si>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</si>
  <si>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</si>
  <si>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</si>
  <si>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</si>
  <si>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</si>
  <si>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</si>
  <si>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</si>
  <si>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</si>
  <si>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</si>
  <si>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</si>
  <si>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</si>
  <si>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</si>
  <si>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</si>
  <si>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</si>
  <si>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</si>
  <si>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</si>
  <si>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</si>
  <si>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</si>
  <si>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</si>
  <si>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</si>
  <si>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</si>
  <si>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</si>
  <si>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</si>
  <si>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</si>
  <si>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</si>
  <si>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</si>
  <si>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</si>
  <si>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</si>
  <si>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</si>
  <si>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</si>
  <si>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</si>
  <si>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</si>
  <si>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</si>
  <si>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</si>
  <si>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</si>
  <si>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</si>
  <si>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</si>
  <si>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</si>
  <si>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</si>
  <si>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</si>
  <si>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</si>
  <si>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</si>
  <si>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</si>
  <si>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</si>
  <si>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</si>
  <si>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</si>
  <si>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</si>
  <si>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</si>
  <si>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</si>
  <si>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</si>
  <si>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</si>
  <si>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</si>
  <si>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</si>
  <si>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</si>
  <si>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</si>
  <si>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</si>
  <si>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</si>
  <si>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</si>
  <si>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</si>
  <si>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</si>
  <si>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</si>
  <si>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</si>
  <si>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</si>
  <si>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</si>
  <si>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</si>
  <si>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</si>
  <si>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</si>
  <si>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</si>
  <si>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</si>
  <si>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</si>
  <si>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</si>
  <si>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</si>
  <si>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</si>
  <si>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</si>
  <si>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</si>
  <si>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</si>
  <si>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</si>
  <si>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</si>
  <si>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</si>
  <si>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</si>
  <si>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</si>
  <si>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</si>
  <si>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</si>
  <si>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</si>
  <si>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</si>
  <si>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</si>
  <si>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</si>
  <si>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</si>
  <si>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</si>
  <si>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</si>
  <si>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</si>
  <si>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</si>
  <si>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</si>
  <si>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</si>
  <si>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</si>
  <si>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</si>
  <si>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</si>
  <si>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</si>
  <si>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</si>
  <si>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</si>
  <si>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</si>
  <si>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</si>
  <si>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</si>
  <si>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</si>
  <si>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</si>
  <si>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</si>
  <si>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</si>
  <si>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</si>
  <si>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</si>
  <si>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</si>
  <si>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</si>
  <si>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</si>
  <si>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</si>
  <si>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</si>
  <si>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</si>
  <si>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</si>
  <si>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</si>
  <si>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</si>
  <si>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</si>
  <si>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</si>
  <si>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</si>
  <si>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</si>
  <si>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</si>
  <si>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</si>
  <si>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</si>
  <si>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</si>
  <si>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</si>
  <si>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</si>
  <si>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</si>
  <si>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</si>
  <si>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</si>
  <si>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</si>
  <si>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</si>
  <si>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</si>
  <si>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</si>
  <si>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</si>
  <si>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</si>
  <si>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</si>
  <si>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</si>
  <si>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</si>
  <si>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</si>
  <si>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</si>
  <si>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</si>
  <si>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</si>
  <si>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</si>
  <si>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</si>
  <si>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</si>
  <si>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</si>
  <si>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</si>
  <si>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</si>
  <si>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</si>
  <si>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</si>
  <si>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</si>
  <si>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</si>
  <si>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</si>
  <si>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</si>
  <si>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</si>
  <si>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</si>
  <si>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</si>
  <si>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</si>
  <si>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</si>
  <si>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</si>
  <si>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</si>
  <si>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</si>
  <si>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</si>
  <si>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</si>
  <si>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</si>
  <si>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</si>
  <si>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</si>
  <si>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</si>
  <si>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</si>
  <si>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</si>
  <si>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</si>
  <si>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</si>
  <si>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</si>
  <si>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</si>
  <si>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</si>
  <si>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</si>
  <si>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</si>
  <si>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</si>
  <si>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</si>
  <si>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</si>
  <si>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</si>
  <si>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</si>
  <si>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</si>
  <si>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</si>
  <si>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</si>
  <si>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</si>
  <si>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</si>
  <si>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</si>
  <si>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</si>
  <si>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</si>
  <si>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</si>
  <si>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</si>
  <si>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</si>
  <si>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</si>
  <si>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</si>
  <si>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</si>
  <si>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</si>
  <si>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</si>
  <si>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</si>
  <si>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</si>
  <si>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</si>
  <si>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</si>
  <si>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</si>
  <si>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</si>
  <si>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</si>
  <si>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</si>
  <si>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</si>
  <si>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</si>
  <si>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</si>
  <si>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</si>
  <si>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</si>
  <si>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</si>
  <si>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</si>
  <si>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</si>
  <si>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</si>
  <si>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</si>
  <si>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</si>
  <si>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</si>
  <si>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</si>
  <si>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</si>
  <si>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</si>
  <si>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</si>
  <si>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</si>
  <si>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</si>
  <si>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</si>
  <si>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</si>
  <si>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</si>
  <si>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</si>
  <si>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</si>
  <si>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</si>
  <si>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</si>
  <si>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</si>
  <si>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</si>
  <si>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</si>
  <si>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</si>
  <si>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</si>
  <si>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</si>
  <si>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</si>
  <si>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</si>
  <si>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</si>
  <si>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</si>
  <si>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</si>
  <si>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</si>
  <si>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</si>
  <si>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</si>
  <si>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</si>
  <si>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</si>
  <si>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</si>
  <si>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</si>
  <si>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</si>
  <si>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</si>
  <si>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</si>
  <si>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</si>
  <si>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</si>
  <si>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</si>
  <si>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</si>
  <si>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</si>
  <si>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</si>
  <si>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</si>
  <si>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</si>
  <si>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</si>
  <si>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</si>
  <si>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</si>
  <si>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</si>
  <si>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</si>
  <si>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</si>
  <si>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</si>
  <si>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</si>
  <si>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</si>
  <si>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</si>
  <si>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</si>
  <si>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</si>
  <si>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</si>
  <si>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</si>
  <si>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</si>
  <si>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</si>
  <si>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</si>
  <si>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</si>
  <si>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</si>
  <si>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</si>
  <si>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</si>
  <si>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</si>
  <si>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</si>
  <si>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</si>
  <si>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</si>
  <si>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</si>
  <si>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</si>
  <si>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</si>
  <si>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</si>
  <si>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</si>
  <si>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</si>
  <si>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</si>
  <si>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</si>
  <si>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</si>
  <si>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</si>
  <si>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</si>
  <si>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</si>
  <si>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</si>
  <si>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</si>
  <si>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</si>
  <si>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</si>
  <si>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</si>
  <si>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</si>
  <si>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</si>
  <si>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</si>
  <si>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</si>
  <si>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</si>
  <si>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</si>
  <si>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</si>
  <si>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</si>
  <si>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</si>
  <si>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</si>
  <si>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</si>
  <si>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</si>
  <si>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</si>
  <si>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</si>
  <si>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</si>
  <si>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</si>
  <si>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</si>
  <si>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</si>
  <si>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</si>
  <si>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</si>
  <si>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</si>
  <si>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</si>
  <si>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</si>
  <si>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</si>
  <si>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</si>
  <si>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</si>
  <si>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</si>
  <si>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</si>
  <si>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</si>
  <si>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</si>
  <si>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</si>
  <si>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</si>
  <si>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</si>
  <si>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</si>
  <si>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</si>
  <si>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</si>
  <si>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</si>
  <si>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</si>
  <si>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</si>
  <si>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</si>
  <si>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</si>
  <si>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</si>
  <si>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</si>
  <si>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</si>
  <si>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</si>
  <si>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</si>
  <si>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</si>
  <si>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</si>
  <si>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</si>
  <si>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</si>
  <si>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</si>
  <si>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</si>
  <si>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</si>
  <si>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</si>
  <si>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</si>
  <si>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</si>
  <si>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</si>
  <si>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</si>
  <si>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</si>
  <si>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</si>
  <si>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</si>
  <si>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</si>
  <si>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</si>
  <si>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</si>
  <si>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</si>
  <si>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</si>
  <si>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</si>
  <si>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</si>
  <si>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</si>
  <si>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</si>
  <si>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</si>
  <si>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</si>
  <si>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</si>
  <si>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</si>
  <si>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</si>
  <si>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</si>
  <si>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</si>
  <si>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</si>
  <si>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</si>
  <si>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</si>
  <si>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</si>
  <si>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</si>
  <si>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</si>
  <si>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</si>
  <si>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</si>
  <si>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</si>
  <si>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</si>
  <si>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</si>
  <si>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</si>
  <si>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</si>
  <si>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</si>
  <si>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</si>
  <si>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</si>
  <si>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</si>
  <si>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</si>
  <si>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</si>
  <si>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</si>
  <si>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</si>
  <si>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</si>
  <si>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</si>
  <si>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</si>
  <si>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</si>
  <si>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</si>
  <si>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</si>
  <si>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</si>
  <si>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</si>
  <si>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</si>
  <si>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</si>
  <si>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</si>
  <si>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</si>
  <si>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</si>
  <si>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</si>
  <si>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</si>
  <si>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</si>
  <si>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</si>
  <si>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</si>
  <si>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</si>
  <si>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</si>
  <si>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</si>
  <si>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</si>
  <si>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</si>
  <si>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</si>
  <si>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</si>
  <si>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</si>
  <si>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</si>
  <si>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</si>
  <si>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</si>
  <si>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</si>
  <si>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</si>
  <si>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</si>
  <si>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</si>
  <si>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</si>
  <si>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</si>
  <si>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</si>
  <si>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</si>
  <si>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</si>
  <si>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</si>
  <si>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</si>
  <si>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</si>
  <si>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</si>
  <si>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</si>
  <si>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</si>
  <si>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</si>
  <si>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</si>
  <si>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</si>
  <si>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</si>
  <si>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</si>
  <si>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</si>
  <si>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</si>
  <si>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</si>
  <si>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</si>
  <si>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</si>
  <si>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</si>
  <si>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</si>
  <si>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</si>
  <si>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</si>
  <si>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</si>
  <si>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</si>
  <si>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</si>
  <si>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</si>
  <si>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</si>
  <si>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</si>
  <si>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</si>
  <si>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</si>
  <si>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</si>
  <si>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</si>
  <si>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</si>
  <si>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</si>
  <si>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</si>
  <si>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</si>
  <si>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</si>
  <si>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</si>
  <si>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</si>
  <si>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</si>
  <si>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</si>
  <si>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</si>
  <si>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</si>
  <si>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</si>
  <si>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</si>
  <si>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</si>
  <si>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</si>
  <si>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</si>
  <si>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</si>
  <si>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</si>
  <si>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</si>
  <si>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</si>
  <si>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</si>
  <si>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</si>
  <si>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</si>
  <si>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</si>
  <si>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</si>
  <si>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</si>
  <si>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</si>
  <si>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</si>
  <si>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</si>
  <si>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</si>
  <si>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</si>
  <si>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</si>
  <si>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</si>
  <si>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</si>
  <si>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</si>
  <si>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</si>
  <si>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</si>
  <si>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</si>
  <si>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</si>
  <si>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</si>
  <si>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</si>
  <si>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</si>
  <si>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</si>
  <si>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</si>
  <si>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</si>
  <si>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</si>
  <si>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</si>
  <si>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</si>
  <si>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</si>
  <si>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</si>
  <si>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</si>
  <si>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</si>
  <si>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</si>
  <si>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</si>
  <si>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</si>
  <si>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</si>
  <si>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</si>
  <si>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</si>
  <si>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</si>
  <si>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</si>
  <si>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</si>
  <si>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</si>
  <si>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</si>
  <si>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</si>
  <si>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</si>
  <si>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</si>
  <si>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</si>
  <si>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</si>
  <si>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</si>
  <si>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</si>
  <si>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</si>
  <si>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</si>
  <si>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</si>
  <si>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</si>
  <si>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</si>
  <si>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</si>
  <si>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</si>
  <si>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</si>
  <si>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</si>
  <si>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</si>
  <si>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</si>
  <si>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</si>
  <si>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</si>
  <si>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</si>
  <si>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</si>
  <si>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</si>
  <si>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</si>
  <si>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</si>
  <si>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</si>
  <si>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</si>
  <si>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</si>
  <si>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</si>
  <si>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</si>
  <si>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</si>
  <si>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</si>
  <si>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</si>
  <si>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</si>
  <si>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</si>
  <si>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</si>
  <si>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</si>
  <si>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</si>
  <si>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</si>
  <si>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</si>
  <si>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</si>
  <si>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</si>
  <si>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</si>
  <si>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</si>
  <si>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</si>
  <si>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</si>
  <si>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</si>
  <si>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</si>
  <si>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</si>
  <si>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</si>
  <si>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</si>
  <si>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</si>
  <si>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</si>
  <si>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</si>
  <si>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</si>
  <si>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</si>
  <si>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</si>
  <si>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</si>
  <si>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</si>
  <si>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</si>
  <si>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</si>
  <si>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</si>
  <si>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</si>
  <si>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</si>
  <si>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</si>
  <si>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</si>
  <si>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</si>
  <si>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</si>
  <si>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</si>
  <si>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</si>
  <si>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</si>
  <si>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</si>
  <si>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</si>
  <si>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</si>
  <si>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</si>
  <si>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</si>
  <si>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</si>
  <si>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</si>
  <si>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</si>
  <si>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</si>
  <si>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</si>
  <si>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</si>
  <si>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</si>
  <si>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</si>
  <si>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</si>
  <si>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</si>
  <si>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</si>
  <si>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</si>
  <si>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</si>
  <si>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</si>
  <si>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</si>
  <si>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</si>
  <si>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</si>
  <si>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</si>
  <si>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</si>
  <si>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</si>
  <si>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</si>
  <si>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</si>
  <si>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</si>
  <si>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</si>
  <si>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</si>
  <si>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</si>
  <si>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</si>
  <si>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</si>
  <si>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</si>
  <si>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</si>
  <si>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</si>
  <si>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</si>
  <si>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</si>
  <si>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</si>
  <si>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</si>
  <si>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</si>
  <si>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</si>
  <si>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</si>
  <si>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</si>
  <si>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</si>
  <si>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</si>
  <si>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</si>
  <si>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</si>
  <si>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</si>
  <si>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</si>
  <si>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</si>
  <si>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</si>
  <si>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</si>
  <si>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</si>
  <si>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</si>
  <si>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</si>
  <si>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</si>
  <si>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</si>
  <si>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</si>
  <si>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</si>
  <si>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</si>
  <si>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</si>
  <si>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</si>
  <si>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</si>
  <si>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</si>
  <si>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</si>
  <si>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</si>
  <si>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</si>
  <si>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</si>
  <si>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</si>
  <si>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</si>
  <si>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</si>
  <si>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</si>
  <si>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</si>
  <si>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</si>
  <si>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</si>
  <si>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</si>
  <si>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</si>
  <si>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</si>
  <si>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</si>
  <si>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</si>
  <si>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</si>
  <si>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</si>
  <si>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</si>
  <si>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</si>
  <si>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</si>
  <si>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</si>
  <si>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</si>
  <si>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</si>
  <si>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</si>
  <si>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</si>
  <si>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</si>
  <si>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</si>
  <si>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</si>
  <si>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</si>
  <si>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</si>
  <si>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</si>
  <si>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</si>
  <si>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</si>
  <si>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</si>
  <si>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</si>
  <si>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</si>
  <si>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</si>
  <si>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</si>
  <si>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</si>
  <si>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</si>
  <si>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</si>
  <si>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</si>
  <si>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</si>
  <si>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</si>
  <si>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</si>
  <si>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</si>
  <si>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</si>
  <si>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</si>
  <si>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</si>
  <si>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</si>
  <si>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</si>
  <si>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</si>
  <si>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</si>
  <si>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</si>
  <si>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</si>
  <si>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</si>
  <si>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</si>
  <si>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</si>
  <si>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</si>
  <si>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</si>
  <si>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</si>
  <si>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</si>
  <si>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</si>
  <si>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</si>
  <si>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</si>
  <si>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</si>
  <si>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</si>
  <si>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</si>
  <si>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</si>
  <si>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</si>
  <si>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</si>
  <si>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</si>
  <si>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</si>
  <si>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</si>
  <si>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</si>
  <si>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</si>
  <si>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</si>
  <si>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</si>
  <si>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</si>
  <si>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</si>
  <si>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</si>
  <si>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</si>
  <si>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</si>
  <si>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</si>
  <si>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</si>
  <si>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</si>
  <si>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</si>
  <si>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</si>
  <si>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</si>
  <si>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</si>
  <si>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</si>
  <si>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</si>
  <si>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</si>
  <si>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</si>
  <si>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</si>
  <si>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</si>
  <si>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</si>
  <si>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</si>
  <si>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</si>
  <si>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</si>
  <si>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</si>
  <si>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</si>
  <si>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</si>
  <si>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</si>
  <si>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</si>
  <si>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</si>
  <si>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</si>
  <si>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</si>
  <si>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</si>
  <si>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</si>
  <si>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</si>
  <si>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</si>
  <si>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</si>
  <si>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</si>
  <si>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</si>
  <si>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</si>
  <si>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</si>
  <si>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</si>
  <si>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</si>
  <si>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</si>
  <si>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</si>
  <si>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</si>
  <si>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</si>
  <si>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</si>
  <si>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</si>
  <si>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</si>
  <si>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</si>
  <si>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</si>
  <si>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</si>
  <si>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</si>
  <si>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</si>
  <si>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</si>
  <si>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</si>
  <si>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</si>
  <si>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</si>
  <si>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</si>
  <si>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</si>
  <si>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</si>
  <si>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</si>
  <si>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</si>
  <si>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</si>
  <si>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</si>
  <si>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</si>
  <si>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</si>
  <si>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</si>
  <si>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</si>
  <si>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</si>
  <si>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</si>
  <si>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</si>
  <si>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</si>
  <si>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</si>
  <si>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</si>
  <si>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</si>
  <si>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</si>
  <si>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</si>
  <si>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</si>
  <si>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</si>
  <si>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</si>
  <si>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</si>
  <si>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</si>
  <si>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</si>
  <si>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</si>
  <si>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</si>
  <si>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</si>
  <si>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</si>
  <si>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</si>
  <si>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</si>
  <si>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</si>
  <si>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</si>
  <si>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</si>
  <si>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</si>
  <si>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</si>
  <si>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</si>
  <si>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</si>
  <si>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</si>
  <si>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</si>
  <si>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</si>
  <si>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</si>
  <si>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</si>
  <si>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</si>
  <si>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</si>
  <si>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</si>
  <si>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</si>
  <si>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</si>
  <si>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</si>
  <si>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</si>
  <si>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</si>
  <si>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</si>
  <si>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</si>
  <si>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</si>
  <si>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</si>
  <si>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</si>
  <si>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</si>
  <si>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</si>
  <si>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</si>
  <si>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</si>
  <si>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</si>
  <si>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</si>
  <si>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</si>
  <si>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</si>
  <si>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</si>
  <si>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</si>
  <si>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</si>
  <si>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</si>
  <si>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</si>
  <si>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</si>
  <si>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</si>
  <si>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</si>
  <si>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</si>
  <si>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</si>
  <si>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</si>
  <si>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</si>
  <si>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</si>
  <si>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</si>
  <si>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</si>
  <si>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</si>
  <si>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</si>
  <si>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</si>
  <si>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</si>
  <si>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</si>
  <si>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</si>
  <si>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</si>
  <si>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</si>
  <si>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</si>
  <si>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</si>
  <si>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</si>
  <si>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</si>
  <si>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</si>
  <si>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</si>
  <si>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</si>
  <si>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</si>
  <si>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</si>
  <si>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</si>
  <si>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</si>
  <si>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</si>
  <si>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</si>
  <si>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</si>
  <si>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</si>
  <si>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</si>
  <si>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</si>
  <si>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</si>
  <si>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</si>
  <si>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</si>
  <si>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</si>
  <si>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</si>
  <si>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</si>
  <si>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</si>
  <si>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</si>
  <si>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</si>
  <si>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</si>
  <si>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</si>
  <si>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</si>
  <si>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</si>
  <si>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</si>
  <si>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</si>
  <si>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</si>
  <si>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</si>
  <si>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</si>
  <si>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</si>
  <si>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</si>
  <si>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</si>
  <si>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</si>
  <si>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</si>
  <si>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</si>
  <si>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</si>
  <si>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</si>
  <si>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</si>
  <si>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</si>
  <si>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</si>
  <si>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</si>
  <si>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</si>
  <si>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</si>
  <si>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</si>
  <si>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</si>
  <si>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</si>
  <si>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</si>
  <si>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</si>
  <si>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</si>
  <si>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</si>
  <si>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</si>
  <si>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</si>
  <si>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</si>
  <si>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</si>
  <si>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</si>
  <si>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</si>
  <si>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</si>
  <si>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</si>
  <si>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</si>
  <si>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</si>
  <si>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</si>
  <si>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</si>
  <si>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</si>
  <si>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</si>
  <si>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</si>
  <si>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</si>
  <si>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</si>
  <si>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</si>
  <si>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</si>
  <si>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</si>
  <si>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</si>
  <si>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</si>
  <si>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</si>
  <si>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</si>
  <si>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</si>
  <si>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</si>
  <si>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</si>
  <si>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</si>
  <si>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</si>
  <si>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</si>
  <si>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</si>
  <si>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</si>
  <si>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</si>
  <si>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</si>
  <si>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</si>
  <si>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</si>
  <si>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</si>
  <si>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</si>
  <si>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</si>
  <si>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</si>
  <si>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</si>
  <si>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</si>
  <si>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</si>
  <si>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</si>
  <si>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</si>
  <si>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</si>
  <si>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</si>
  <si>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</si>
  <si>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</si>
  <si>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</si>
  <si>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</si>
  <si>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</si>
  <si>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</si>
  <si>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</si>
  <si>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</si>
  <si>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</si>
  <si>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</si>
  <si>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</si>
  <si>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</si>
  <si>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</si>
  <si>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</si>
  <si>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</si>
  <si>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</si>
  <si>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</si>
  <si>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</si>
  <si>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</si>
  <si>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</si>
  <si>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</si>
  <si>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</si>
  <si>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</si>
  <si>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</si>
  <si>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</si>
  <si>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</si>
  <si>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</si>
  <si>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</si>
  <si>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</si>
  <si>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</si>
  <si>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</si>
  <si>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</si>
  <si>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</si>
  <si>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</si>
  <si>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</si>
  <si>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</si>
  <si>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</si>
  <si>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</si>
  <si>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</si>
  <si>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</si>
  <si>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</si>
  <si>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</si>
  <si>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</si>
  <si>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</si>
  <si>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</si>
  <si>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</si>
  <si>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</si>
  <si>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</si>
  <si>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</si>
  <si>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</si>
  <si>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</si>
  <si>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</si>
  <si>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</si>
  <si>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</si>
  <si>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</si>
  <si>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</si>
  <si>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</si>
  <si>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</si>
  <si>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</si>
  <si>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</si>
  <si>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</si>
  <si>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</si>
  <si>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</si>
  <si>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</si>
  <si>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</si>
  <si>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</si>
  <si>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</si>
  <si>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</si>
  <si>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</si>
  <si>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</si>
  <si>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</si>
  <si>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</si>
  <si>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</si>
  <si>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</si>
  <si>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</si>
  <si>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</si>
  <si>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</si>
  <si>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</si>
  <si>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</si>
  <si>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</si>
  <si>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</si>
  <si>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</si>
  <si>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</si>
  <si>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</si>
  <si>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</si>
  <si>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</si>
  <si>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</si>
  <si>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</si>
  <si>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</si>
  <si>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</si>
  <si>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</si>
  <si>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</si>
  <si>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</si>
  <si>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</si>
  <si>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</si>
  <si>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</si>
  <si>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</si>
  <si>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</si>
  <si>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</si>
  <si>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</si>
  <si>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</si>
  <si>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</si>
  <si>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</si>
  <si>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</si>
  <si>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</si>
  <si>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</si>
  <si>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</si>
  <si>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</si>
  <si>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</si>
  <si>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</si>
  <si>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</si>
  <si>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</si>
  <si>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</si>
  <si>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</si>
  <si>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</si>
  <si>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</si>
  <si>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</si>
  <si>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</si>
  <si>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</si>
  <si>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</si>
  <si>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</si>
  <si>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</si>
  <si>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</si>
  <si>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</si>
  <si>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</si>
  <si>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</si>
  <si>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</si>
  <si>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</si>
  <si>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</si>
  <si>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</si>
  <si>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</si>
  <si>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</si>
  <si>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</si>
  <si>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</si>
  <si>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</si>
  <si>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</si>
  <si>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</si>
  <si>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</si>
  <si>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</si>
  <si>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</si>
  <si>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</si>
  <si>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</si>
  <si>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</si>
  <si>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</si>
  <si>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</si>
  <si>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</si>
  <si>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</si>
  <si>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</si>
  <si>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</si>
  <si>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</si>
  <si>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</si>
  <si>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</si>
  <si>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</si>
  <si>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</si>
  <si>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</si>
  <si>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</si>
  <si>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</si>
  <si>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</si>
  <si>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</si>
  <si>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</si>
  <si>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</si>
  <si>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</si>
  <si>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</si>
  <si>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</si>
  <si>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</si>
  <si>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</si>
  <si>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</si>
  <si>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</si>
  <si>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</si>
  <si>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</si>
  <si>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</si>
  <si>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</si>
  <si>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</si>
  <si>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</si>
  <si>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</si>
  <si>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</si>
  <si>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</si>
  <si>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</si>
  <si>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</si>
  <si>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</si>
  <si>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</si>
  <si>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</si>
  <si>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</si>
  <si>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</si>
  <si>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</si>
  <si>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</si>
  <si>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</si>
  <si>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</si>
  <si>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</si>
  <si>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</si>
  <si>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</si>
  <si>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</si>
  <si>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</si>
  <si>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</si>
  <si>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</si>
  <si>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</si>
  <si>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</si>
  <si>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</si>
  <si>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</si>
  <si>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</si>
  <si>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</si>
  <si>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</si>
  <si>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</si>
  <si>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</si>
  <si>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</si>
  <si>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</si>
  <si>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</si>
  <si>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</si>
  <si>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</si>
  <si>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</si>
  <si>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</si>
  <si>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</si>
  <si>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</si>
  <si>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</si>
  <si>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</si>
  <si>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</si>
  <si>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</si>
  <si>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</si>
  <si>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</si>
  <si>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</si>
  <si>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</si>
  <si>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</si>
  <si>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</si>
  <si>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</si>
  <si>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</si>
  <si>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</si>
  <si>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</si>
  <si>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</si>
  <si>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</si>
  <si>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</si>
  <si>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</si>
  <si>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</si>
  <si>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</si>
  <si>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</si>
  <si>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</si>
  <si>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</si>
  <si>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</si>
  <si>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</si>
  <si>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</si>
  <si>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</si>
  <si>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</si>
  <si>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</si>
  <si>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</si>
  <si>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</si>
  <si>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</si>
  <si>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</si>
  <si>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</si>
  <si>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</si>
  <si>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</si>
  <si>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</si>
  <si>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</si>
  <si>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</si>
  <si>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</si>
  <si>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</si>
  <si>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</si>
  <si>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</si>
  <si>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</si>
  <si>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</si>
  <si>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</si>
  <si>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</si>
  <si>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</si>
  <si>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</si>
  <si>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</si>
  <si>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</si>
  <si>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</si>
  <si>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</si>
  <si>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</si>
  <si>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</si>
  <si>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</si>
  <si>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</si>
  <si>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</si>
  <si>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</si>
  <si>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</si>
  <si>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</si>
  <si>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</si>
  <si>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</si>
  <si>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</si>
  <si>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</si>
  <si>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</si>
  <si>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</si>
  <si>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</si>
  <si>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</si>
  <si>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</si>
  <si>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</si>
  <si>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</si>
  <si>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</si>
  <si>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</si>
  <si>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</si>
  <si>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</si>
  <si>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</si>
  <si>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</si>
  <si>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</si>
  <si>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</si>
  <si>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</si>
  <si>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</si>
  <si>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</si>
  <si>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</si>
  <si>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</si>
  <si>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</si>
  <si>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</si>
  <si>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</si>
  <si>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</si>
  <si>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</si>
  <si>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</si>
  <si>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</si>
  <si>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</si>
  <si>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</si>
  <si>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</si>
  <si>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</si>
  <si>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</si>
  <si>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</si>
  <si>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</si>
  <si>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</si>
  <si>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</si>
  <si>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</si>
  <si>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</si>
  <si>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</si>
  <si>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</si>
  <si>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</si>
  <si>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</si>
  <si>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</si>
  <si>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</si>
  <si>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</si>
  <si>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</si>
  <si>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</si>
  <si>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</si>
  <si>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</si>
  <si>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</si>
  <si>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</si>
  <si>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</si>
  <si>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</si>
  <si>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</si>
  <si>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</si>
  <si>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</si>
  <si>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</si>
  <si>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</si>
  <si>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</si>
  <si>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</si>
  <si>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</si>
  <si>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</si>
  <si>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</si>
  <si>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</si>
  <si>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</si>
  <si>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</si>
  <si>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</si>
  <si>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</si>
  <si>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</si>
  <si>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</si>
  <si>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</si>
  <si>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</si>
  <si>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</si>
  <si>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</si>
  <si>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</si>
  <si>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</si>
  <si>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</si>
  <si>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</si>
  <si>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</si>
  <si>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</si>
  <si>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</si>
  <si>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</si>
  <si>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</si>
  <si>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</si>
  <si>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</si>
  <si>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</si>
  <si>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</si>
  <si>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</si>
  <si>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</si>
  <si>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</si>
  <si>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</si>
  <si>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</si>
  <si>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</si>
  <si>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</si>
  <si>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</si>
  <si>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</si>
  <si>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</si>
  <si>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</si>
  <si>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</si>
  <si>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</si>
  <si>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</si>
  <si>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</si>
  <si>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</si>
  <si>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</si>
  <si>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</si>
  <si>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</si>
  <si>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</si>
  <si>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</si>
  <si>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</si>
  <si>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</si>
  <si>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</si>
  <si>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</si>
  <si>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</si>
  <si>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</si>
  <si>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</si>
  <si>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</si>
  <si>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</si>
  <si>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</si>
  <si>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</si>
  <si>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</si>
  <si>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</si>
  <si>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</si>
  <si>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</si>
  <si>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</si>
  <si>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</si>
  <si>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</si>
  <si>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</si>
  <si>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</si>
  <si>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</si>
  <si>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</si>
  <si>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</si>
  <si>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</si>
  <si>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</si>
  <si>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</si>
  <si>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</si>
  <si>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</si>
  <si>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</si>
  <si>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</si>
  <si>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</si>
  <si>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</si>
  <si>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</si>
  <si>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</si>
  <si>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</si>
  <si>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</si>
  <si>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</si>
  <si>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</si>
  <si>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</si>
  <si>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</si>
  <si>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</si>
  <si>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</si>
  <si>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</si>
  <si>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</si>
  <si>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</si>
  <si>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</si>
  <si>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</si>
  <si>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</si>
  <si>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</si>
  <si>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</si>
  <si>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</si>
  <si>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</si>
  <si>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</si>
  <si>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</si>
  <si>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</si>
  <si>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</si>
  <si>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</si>
  <si>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</si>
  <si>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</si>
  <si>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</si>
  <si>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</si>
  <si>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</si>
  <si>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</si>
  <si>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</si>
  <si>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</si>
  <si>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</si>
  <si>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</si>
  <si>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</si>
  <si>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</si>
  <si>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</si>
  <si>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</si>
  <si>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</si>
  <si>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</si>
  <si>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</si>
  <si>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</si>
  <si>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</si>
  <si>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</si>
  <si>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</si>
  <si>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</si>
  <si>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</si>
  <si>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</si>
  <si>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</si>
  <si>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</si>
  <si>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</si>
  <si>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</si>
  <si>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</si>
  <si>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</si>
  <si>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</si>
  <si>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</si>
  <si>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</si>
  <si>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</si>
  <si>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</si>
  <si>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</si>
  <si>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</si>
  <si>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</si>
  <si>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</si>
  <si>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</si>
  <si>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</si>
  <si>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</si>
  <si>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</si>
  <si>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</si>
  <si>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</si>
  <si>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</si>
  <si>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</si>
  <si>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</si>
  <si>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</si>
  <si>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</si>
  <si>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</si>
  <si>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</si>
  <si>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</si>
  <si>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</si>
  <si>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</si>
  <si>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</si>
  <si>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</si>
  <si>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</si>
  <si>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</si>
  <si>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</si>
  <si>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</si>
  <si>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</si>
  <si>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</si>
  <si>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</si>
  <si>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</si>
  <si>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</si>
  <si>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</si>
  <si>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</si>
  <si>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</si>
  <si>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</si>
  <si>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</si>
  <si>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</si>
  <si>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</si>
  <si>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</si>
  <si>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</si>
  <si>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</si>
  <si>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</si>
  <si>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</si>
  <si>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</si>
  <si>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</si>
  <si>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</si>
  <si>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</si>
  <si>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</si>
  <si>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</si>
  <si>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</si>
  <si>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</si>
  <si>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</si>
  <si>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</si>
  <si>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</si>
  <si>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</si>
  <si>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</si>
  <si>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</si>
  <si>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</si>
  <si>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</si>
  <si>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</si>
  <si>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</si>
  <si>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</si>
  <si>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</si>
  <si>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</si>
  <si>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</si>
  <si>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</si>
  <si>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</si>
  <si>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</si>
  <si>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</si>
  <si>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</si>
  <si>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</si>
  <si>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</si>
  <si>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</si>
  <si>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</si>
  <si>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</si>
  <si>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</si>
  <si>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</si>
  <si>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</si>
  <si>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</si>
  <si>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</si>
  <si>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</si>
  <si>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</si>
  <si>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</si>
  <si>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</si>
  <si>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</si>
  <si>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</si>
  <si>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</si>
  <si>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</si>
  <si>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</si>
  <si>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</si>
  <si>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</si>
  <si>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</si>
  <si>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</si>
  <si>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</si>
  <si>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</si>
  <si>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</si>
  <si>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</si>
  <si>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</si>
  <si>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</si>
  <si>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</si>
  <si>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</si>
  <si>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</si>
  <si>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</si>
  <si>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</si>
  <si>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</si>
  <si>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</si>
  <si>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</si>
  <si>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</si>
  <si>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</si>
  <si>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</si>
  <si>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</si>
  <si>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</si>
  <si>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</si>
  <si>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</si>
  <si>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</si>
  <si>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</si>
  <si>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</si>
  <si>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</si>
  <si>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</si>
  <si>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</si>
  <si>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</si>
  <si>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</si>
  <si>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</si>
  <si>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</si>
  <si>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</si>
  <si>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</si>
  <si>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</si>
  <si>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</si>
  <si>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</si>
  <si>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</si>
  <si>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</si>
  <si>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</si>
  <si>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</si>
  <si>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</si>
  <si>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</si>
  <si>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</si>
  <si>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</si>
  <si>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</si>
  <si>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</si>
  <si>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</si>
  <si>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</si>
  <si>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</si>
  <si>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</si>
  <si>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</si>
  <si>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</si>
  <si>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</si>
  <si>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</si>
  <si>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</si>
  <si>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</si>
  <si>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</si>
  <si>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</si>
  <si>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</si>
  <si>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</si>
  <si>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</si>
  <si>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</si>
  <si>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</si>
  <si>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</si>
  <si>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</si>
  <si>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</si>
  <si>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</si>
  <si>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</si>
  <si>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</si>
  <si>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</si>
  <si>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</si>
  <si>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</si>
  <si>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</si>
  <si>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</si>
  <si>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</si>
  <si>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</si>
  <si>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</si>
  <si>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</si>
  <si>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</si>
  <si>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</si>
  <si>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</si>
  <si>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</si>
  <si>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</si>
  <si>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</si>
  <si>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</si>
  <si>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</si>
  <si>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</si>
  <si>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</si>
  <si>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</si>
  <si>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</si>
  <si>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</si>
  <si>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</si>
  <si>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</si>
  <si>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</si>
  <si>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</si>
  <si>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</si>
  <si>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</si>
  <si>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</si>
  <si>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</si>
  <si>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</si>
  <si>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</si>
  <si>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</si>
  <si>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</si>
  <si>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</si>
  <si>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</si>
  <si>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</si>
  <si>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</si>
  <si>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</si>
  <si>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</si>
  <si>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</si>
  <si>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</si>
  <si>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</si>
  <si>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</si>
  <si>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</si>
  <si>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</si>
  <si>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</si>
  <si>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</si>
  <si>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</si>
  <si>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</si>
  <si>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</si>
  <si>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</si>
  <si>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</si>
  <si>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</si>
  <si>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</si>
  <si>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</si>
  <si>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</si>
  <si>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</si>
  <si>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</si>
  <si>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</si>
  <si>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</si>
  <si>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</si>
  <si>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</si>
  <si>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</si>
  <si>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</si>
  <si>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</si>
  <si>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</si>
  <si>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</si>
  <si>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</si>
  <si>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</si>
  <si>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</si>
  <si>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</si>
  <si>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</si>
  <si>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</si>
  <si>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</si>
  <si>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</si>
  <si>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</si>
  <si>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</si>
  <si>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</si>
  <si>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</si>
  <si>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</si>
  <si>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</si>
  <si>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</si>
  <si>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</si>
  <si>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</si>
  <si>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</si>
  <si>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</si>
  <si>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</si>
  <si>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</si>
  <si>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</si>
  <si>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</si>
  <si>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</si>
  <si>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</si>
  <si>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</si>
  <si>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</si>
  <si>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</si>
  <si>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</si>
  <si>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</si>
  <si>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</si>
  <si>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</si>
  <si>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</si>
  <si>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</si>
  <si>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</si>
  <si>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</si>
  <si>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</si>
  <si>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</si>
  <si>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</si>
  <si>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</si>
  <si>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</si>
  <si>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</si>
  <si>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</si>
  <si>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</si>
  <si>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</si>
  <si>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</si>
  <si>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</si>
  <si>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</si>
  <si>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</si>
  <si>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</si>
  <si>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</si>
  <si>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</si>
  <si>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</si>
  <si>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</si>
  <si>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</si>
  <si>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</si>
  <si>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</si>
  <si>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</si>
  <si>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</si>
  <si>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</si>
  <si>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</si>
  <si>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</si>
  <si>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</si>
  <si>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</si>
  <si>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</si>
  <si>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</si>
  <si>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</si>
  <si>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</si>
  <si>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</si>
  <si>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</si>
  <si>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</si>
  <si>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</si>
  <si>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</si>
  <si>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</si>
  <si>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</si>
  <si>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</si>
  <si>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</si>
  <si>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</si>
  <si>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</si>
  <si>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</si>
  <si>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</si>
  <si>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</si>
  <si>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</si>
  <si>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</si>
  <si>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</si>
  <si>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</si>
  <si>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</si>
  <si>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</si>
  <si>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</si>
  <si>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</si>
  <si>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</si>
  <si>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</si>
  <si>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</si>
  <si>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</si>
  <si>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</si>
  <si>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</si>
  <si>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</si>
  <si>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</si>
  <si>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</si>
  <si>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</si>
  <si>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</si>
  <si>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</si>
  <si>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</si>
  <si>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</si>
  <si>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</si>
  <si>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</si>
  <si>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</si>
  <si>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</si>
  <si>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</si>
  <si>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</si>
  <si>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</si>
  <si>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</si>
  <si>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</si>
  <si>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</si>
  <si>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</si>
  <si>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</si>
  <si>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</si>
  <si>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</si>
  <si>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</si>
  <si>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</si>
  <si>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</si>
  <si>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</si>
  <si>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</si>
  <si>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</si>
  <si>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</si>
  <si>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</si>
  <si>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</si>
  <si>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</si>
  <si>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</si>
  <si>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</si>
  <si>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</si>
  <si>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</si>
  <si>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</si>
  <si>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</si>
  <si>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</si>
  <si>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</si>
  <si>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</si>
  <si>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</si>
  <si>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</si>
  <si>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</si>
  <si>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</si>
  <si>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</si>
  <si>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</si>
  <si>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</si>
  <si>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</si>
  <si>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</si>
  <si>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</si>
  <si>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</si>
  <si>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</si>
  <si>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</si>
  <si>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</si>
  <si>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</si>
  <si>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</si>
  <si>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</si>
  <si>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</si>
  <si>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</si>
  <si>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</si>
  <si>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</si>
  <si>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</si>
  <si>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</si>
  <si>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</si>
  <si>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</si>
  <si>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</si>
  <si>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</si>
  <si>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</si>
  <si>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</si>
  <si>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</si>
  <si>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</si>
  <si>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</si>
  <si>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</si>
  <si>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</si>
  <si>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</si>
  <si>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</si>
  <si>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</si>
  <si>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</si>
  <si>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</si>
  <si>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</si>
  <si>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</si>
  <si>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</si>
  <si>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</si>
  <si>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</si>
  <si>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</si>
  <si>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</si>
  <si>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</si>
  <si>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</si>
  <si>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</si>
  <si>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</si>
  <si>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</si>
  <si>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</si>
  <si>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</si>
  <si>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</si>
  <si>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</si>
  <si>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</si>
  <si>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</si>
  <si>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</si>
  <si>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</si>
  <si>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</si>
  <si>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</si>
  <si>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</si>
  <si>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</si>
  <si>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</si>
  <si>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</si>
  <si>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</si>
  <si>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</si>
  <si>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</si>
  <si>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</si>
  <si>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</si>
  <si>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</si>
  <si>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</si>
  <si>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</si>
  <si>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</si>
  <si>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</si>
  <si>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</si>
  <si>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</si>
  <si>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</si>
  <si>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</si>
  <si>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</si>
  <si>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</si>
  <si>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</si>
  <si>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</si>
  <si>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</si>
  <si>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</si>
  <si>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</si>
  <si>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</si>
  <si>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</si>
  <si>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</si>
  <si>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</si>
  <si>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</si>
  <si>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</si>
  <si>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</si>
  <si>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</si>
  <si>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</si>
  <si>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</si>
  <si>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</si>
  <si>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</si>
  <si>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</si>
  <si>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</si>
  <si>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</si>
  <si>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</si>
  <si>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</si>
  <si>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</si>
  <si>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</si>
  <si>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</si>
  <si>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</si>
  <si>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</si>
  <si>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</si>
  <si>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</si>
  <si>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</si>
  <si>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</si>
  <si>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</si>
  <si>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</si>
  <si>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</si>
  <si>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</si>
  <si>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</si>
  <si>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</si>
  <si>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</si>
  <si>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</si>
  <si>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</si>
  <si>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</si>
  <si>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</si>
  <si>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</si>
  <si>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</si>
  <si>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</si>
  <si>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</si>
  <si>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</si>
  <si>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</si>
  <si>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</si>
  <si>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</si>
  <si>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</si>
  <si>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</si>
  <si>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</si>
  <si>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</si>
  <si>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</si>
  <si>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</si>
  <si>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</si>
  <si>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</si>
  <si>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</si>
  <si>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</si>
  <si>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</si>
  <si>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</si>
  <si>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</si>
  <si>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</si>
  <si>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</si>
  <si>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</si>
  <si>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</si>
  <si>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</si>
  <si>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</si>
  <si>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</si>
  <si>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</si>
  <si>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</si>
  <si>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</si>
  <si>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</si>
  <si>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</si>
  <si>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</si>
  <si>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</si>
  <si>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</si>
  <si>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</si>
  <si>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</si>
  <si>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</si>
  <si>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</si>
  <si>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</si>
  <si>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</si>
  <si>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</si>
  <si>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</si>
  <si>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</si>
  <si>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</si>
  <si>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</si>
  <si>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</si>
  <si>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</si>
  <si>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</si>
  <si>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</si>
  <si>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</si>
  <si>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</si>
  <si>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</si>
  <si>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</si>
  <si>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</si>
  <si>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</si>
  <si>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</si>
  <si>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</si>
  <si>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</si>
  <si>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</si>
  <si>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</si>
  <si>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</si>
  <si>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</si>
  <si>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</si>
  <si>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</si>
  <si>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</si>
  <si>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</si>
  <si>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</si>
  <si>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</si>
  <si>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</si>
  <si>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</si>
  <si>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</si>
  <si>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</si>
  <si>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</si>
  <si>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</si>
  <si>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</si>
  <si>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</si>
  <si>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</si>
  <si>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</si>
  <si>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</si>
  <si>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</si>
  <si>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</si>
  <si>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</si>
  <si>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</si>
  <si>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</si>
  <si>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</si>
  <si>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</si>
  <si>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</si>
  <si>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</si>
  <si>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</si>
  <si>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</si>
  <si>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</si>
  <si>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</si>
  <si>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</si>
  <si>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</si>
  <si>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</si>
  <si>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</si>
  <si>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</si>
  <si>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</si>
  <si>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</si>
  <si>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</si>
  <si>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</si>
  <si>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</si>
  <si>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</si>
  <si>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</si>
  <si>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</si>
  <si>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</si>
  <si>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</si>
  <si>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</si>
  <si>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</si>
  <si>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</si>
  <si>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</si>
  <si>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</si>
  <si>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</si>
  <si>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</si>
  <si>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</si>
  <si>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</si>
  <si>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</si>
  <si>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</si>
  <si>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</si>
  <si>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</si>
  <si>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</si>
  <si>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</si>
  <si>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</si>
  <si>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</si>
  <si>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</si>
  <si>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</si>
  <si>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</si>
  <si>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</si>
  <si>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</si>
  <si>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</si>
  <si>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</si>
  <si>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</si>
  <si>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</si>
  <si>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</si>
  <si>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</si>
  <si>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</si>
  <si>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</si>
  <si>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</si>
  <si>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</si>
  <si>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</si>
  <si>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</si>
  <si>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</si>
  <si>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</si>
  <si>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</si>
  <si>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</si>
  <si>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</si>
  <si>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</si>
  <si>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</si>
  <si>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</si>
  <si>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</si>
  <si>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</si>
  <si>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</si>
  <si>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</si>
  <si>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</si>
  <si>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</si>
  <si>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</si>
  <si>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</si>
  <si>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</si>
  <si>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</si>
  <si>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</si>
  <si>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</si>
  <si>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</si>
  <si>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</si>
  <si>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</si>
  <si>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</si>
  <si>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</si>
  <si>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</si>
  <si>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</si>
  <si>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</si>
  <si>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</si>
  <si>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</si>
  <si>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</si>
  <si>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</si>
  <si>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</si>
  <si>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</si>
  <si>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</si>
  <si>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</si>
  <si>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</si>
  <si>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</si>
  <si>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</si>
  <si>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</si>
  <si>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</si>
  <si>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</si>
  <si>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</si>
  <si>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</si>
  <si>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</si>
  <si>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</si>
  <si>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</si>
  <si>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</si>
  <si>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</si>
  <si>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</si>
  <si>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</si>
  <si>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</si>
  <si>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</si>
  <si>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</si>
  <si>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</si>
  <si>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</si>
  <si>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</si>
  <si>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</si>
  <si>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</si>
  <si>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</si>
  <si>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</si>
  <si>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</si>
  <si>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</si>
  <si>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</si>
  <si>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</si>
  <si>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</si>
  <si>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</si>
  <si>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</si>
  <si>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</si>
  <si>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</si>
  <si>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</si>
  <si>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</si>
  <si>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</si>
  <si>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</si>
  <si>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</si>
  <si>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</si>
  <si>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</si>
  <si>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</si>
  <si>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</si>
  <si>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</si>
  <si>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</si>
  <si>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</si>
  <si>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</si>
  <si>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</si>
  <si>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</si>
  <si>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</si>
  <si>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</si>
  <si>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</si>
  <si>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</si>
  <si>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</si>
  <si>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</si>
  <si>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</si>
  <si>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</si>
  <si>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</si>
  <si>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</si>
  <si>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</si>
  <si>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</si>
  <si>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</si>
  <si>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</si>
  <si>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</si>
  <si>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</si>
  <si>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</si>
  <si>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</si>
  <si>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</si>
  <si>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</si>
  <si>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</si>
  <si>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</si>
  <si>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</si>
  <si>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</si>
  <si>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</si>
  <si>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</si>
  <si>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</si>
  <si>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</si>
  <si>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</si>
  <si>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</si>
  <si>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</si>
  <si>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</si>
  <si>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</si>
  <si>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</si>
  <si>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</si>
  <si>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</si>
  <si>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</si>
  <si>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</si>
  <si>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</si>
  <si>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</si>
  <si>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</si>
  <si>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</si>
  <si>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</si>
  <si>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</si>
  <si>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</si>
  <si>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</si>
  <si>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</si>
  <si>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</si>
  <si>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</si>
  <si>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</si>
  <si>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</si>
  <si>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</si>
  <si>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</si>
  <si>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</si>
  <si>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</si>
  <si>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</si>
  <si>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</si>
  <si>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</si>
  <si>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</si>
  <si>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</si>
  <si>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</si>
  <si>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</si>
  <si>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</si>
  <si>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</si>
  <si>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</si>
  <si>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</si>
  <si>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</si>
  <si>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</si>
  <si>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</si>
  <si>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</si>
  <si>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</si>
  <si>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</si>
  <si>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</si>
  <si>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</si>
  <si>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</si>
  <si>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</si>
  <si>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</si>
  <si>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</si>
  <si>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</si>
  <si>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</si>
  <si>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</si>
  <si>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</si>
  <si>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</si>
  <si>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</si>
  <si>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</si>
  <si>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</si>
  <si>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</si>
  <si>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</si>
  <si>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</si>
  <si>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</si>
  <si>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</si>
  <si>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</si>
  <si>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</si>
  <si>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</si>
  <si>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</si>
  <si>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</si>
  <si>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</si>
  <si>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</si>
  <si>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</si>
  <si>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</si>
  <si>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</si>
  <si>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</si>
  <si>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</si>
  <si>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</si>
  <si>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</si>
  <si>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</si>
  <si>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</si>
  <si>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</si>
  <si>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</si>
  <si>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</si>
  <si>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</si>
  <si>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</si>
  <si>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</si>
  <si>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</si>
  <si>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</si>
  <si>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</si>
  <si>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</si>
  <si>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</si>
  <si>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</si>
  <si>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</si>
  <si>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</si>
  <si>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</si>
  <si>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</si>
  <si>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</si>
  <si>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</si>
  <si>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</si>
  <si>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</si>
  <si>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</si>
  <si>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</si>
  <si>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</si>
  <si>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</si>
  <si>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</si>
  <si>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</si>
  <si>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</si>
  <si>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</si>
  <si>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</si>
  <si>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</si>
  <si>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</si>
  <si>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</si>
  <si>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</si>
  <si>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</si>
  <si>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</si>
  <si>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</si>
  <si>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</si>
  <si>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</si>
  <si>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</si>
  <si>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</si>
  <si>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</si>
  <si>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</si>
  <si>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</si>
  <si>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</si>
  <si>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</si>
  <si>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</si>
  <si>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</si>
  <si>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</si>
  <si>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</si>
  <si>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</si>
  <si>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</si>
  <si>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</si>
  <si>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</si>
  <si>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</si>
  <si>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</si>
  <si>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</si>
  <si>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</si>
  <si>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</si>
  <si>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</si>
  <si>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</si>
  <si>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</si>
  <si>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</si>
  <si>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</si>
  <si>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</si>
  <si>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</si>
  <si>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</si>
  <si>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</si>
  <si>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</si>
  <si>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</si>
  <si>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</si>
  <si>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</si>
  <si>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</si>
  <si>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</si>
  <si>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</si>
  <si>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</si>
  <si>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</si>
  <si>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</si>
  <si>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</si>
  <si>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</si>
  <si>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</si>
  <si>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</si>
  <si>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</si>
  <si>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</si>
  <si>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</si>
  <si>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</si>
  <si>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</si>
  <si>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</si>
  <si>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</si>
  <si>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</si>
  <si>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</si>
  <si>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</si>
  <si>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</si>
  <si>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</si>
  <si>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</si>
  <si>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</si>
  <si>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</si>
  <si>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</si>
  <si>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</si>
  <si>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</si>
  <si>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</si>
  <si>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</si>
  <si>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</si>
  <si>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</si>
  <si>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</si>
  <si>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</si>
  <si>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</si>
  <si>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</si>
  <si>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</si>
  <si>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</si>
  <si>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</si>
  <si>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</si>
  <si>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</si>
  <si>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</si>
  <si>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</si>
  <si>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</si>
  <si>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</si>
  <si>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</si>
  <si>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</si>
  <si>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</si>
  <si>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</si>
  <si>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</si>
  <si>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</si>
  <si>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</si>
  <si>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</si>
  <si>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</si>
  <si>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</si>
  <si>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</si>
  <si>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</si>
  <si>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</si>
  <si>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</si>
  <si>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</si>
  <si>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</si>
  <si>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</si>
  <si>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</si>
  <si>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</si>
  <si>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</si>
  <si>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</si>
  <si>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</si>
  <si>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</si>
  <si>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</si>
  <si>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</si>
  <si>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</si>
  <si>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</si>
  <si>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</si>
  <si>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</si>
  <si>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</si>
  <si>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</si>
  <si>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</si>
  <si>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</si>
  <si>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</si>
  <si>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</si>
  <si>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</si>
  <si>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</si>
  <si>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</si>
  <si>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</si>
  <si>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</si>
  <si>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</si>
  <si>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</si>
  <si>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</si>
  <si>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</si>
  <si>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</si>
  <si>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</si>
  <si>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</si>
  <si>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</si>
  <si>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</si>
  <si>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</si>
  <si>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</si>
  <si>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</si>
  <si>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</si>
  <si>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</si>
  <si>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</si>
  <si>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</si>
  <si>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</si>
  <si>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</si>
  <si>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</si>
  <si>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</si>
  <si>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</si>
  <si>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</si>
  <si>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</si>
  <si>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</si>
  <si>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</si>
  <si>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</si>
  <si>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</si>
  <si>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</si>
  <si>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</si>
  <si>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</si>
  <si>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</si>
  <si>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</si>
  <si>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</si>
  <si>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</si>
  <si>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</si>
  <si>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</si>
  <si>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</si>
  <si>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</si>
  <si>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</si>
  <si>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</si>
  <si>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</si>
  <si>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</si>
  <si>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</si>
  <si>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</si>
  <si>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</si>
  <si>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</si>
  <si>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</si>
  <si>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</si>
  <si>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</si>
  <si>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</si>
  <si>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</si>
  <si>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</si>
  <si>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</si>
  <si>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</si>
  <si>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</si>
  <si>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</si>
  <si>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</si>
  <si>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</si>
  <si>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</si>
  <si>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</si>
  <si>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</si>
  <si>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</si>
  <si>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</si>
  <si>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</si>
  <si>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</si>
  <si>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</si>
  <si>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</si>
  <si>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</si>
  <si>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</si>
  <si>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</si>
  <si>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</si>
  <si>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</si>
  <si>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</si>
  <si>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</si>
  <si>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</si>
  <si>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</si>
  <si>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</si>
  <si>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</si>
  <si>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</si>
  <si>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</si>
  <si>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</si>
  <si>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</si>
  <si>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</si>
  <si>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</si>
  <si>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</si>
  <si>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</si>
  <si>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</si>
  <si>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</si>
  <si>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</si>
  <si>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</si>
  <si>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</si>
  <si>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</si>
  <si>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</si>
  <si>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</si>
  <si>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</si>
  <si>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</si>
  <si>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</si>
  <si>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</si>
  <si>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</si>
  <si>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</si>
  <si>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</si>
  <si>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</si>
  <si>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</si>
  <si>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</si>
  <si>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</si>
  <si>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</si>
  <si>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</si>
  <si>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</si>
  <si>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</si>
  <si>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</si>
  <si>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</si>
  <si>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</si>
  <si>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</si>
  <si>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</si>
  <si>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</si>
  <si>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</si>
  <si>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</si>
  <si>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</si>
  <si>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</si>
  <si>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</si>
  <si>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</si>
  <si>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</si>
  <si>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</si>
  <si>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</si>
  <si>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</si>
  <si>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</si>
  <si>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</si>
  <si>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</si>
  <si>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</si>
  <si>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</si>
  <si>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</si>
  <si>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</si>
  <si>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</si>
  <si>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</si>
  <si>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</si>
  <si>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</si>
  <si>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</si>
  <si>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</si>
  <si>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</si>
  <si>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</si>
  <si>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</si>
  <si>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</si>
  <si>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</si>
  <si>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</si>
  <si>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</si>
  <si>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</si>
  <si>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</si>
  <si>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</si>
  <si>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</si>
  <si>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</si>
  <si>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</si>
  <si>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</si>
  <si>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</si>
  <si>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</si>
  <si>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</si>
  <si>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</si>
  <si>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</si>
  <si>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</si>
  <si>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</si>
  <si>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</si>
  <si>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</si>
  <si>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</si>
  <si>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</si>
  <si>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</si>
  <si>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</si>
  <si>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</si>
  <si>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</si>
  <si>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</si>
  <si>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</si>
  <si>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</si>
  <si>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</si>
  <si>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</si>
  <si>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</si>
  <si>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</si>
  <si>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</si>
  <si>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</si>
  <si>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</si>
  <si>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</si>
  <si>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</si>
  <si>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</si>
  <si>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</si>
  <si>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</si>
  <si>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</si>
  <si>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</si>
  <si>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</si>
  <si>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</si>
  <si>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</si>
  <si>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</si>
  <si>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</si>
  <si>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</si>
  <si>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</si>
  <si>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</si>
  <si>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</si>
  <si>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</si>
  <si>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</si>
  <si>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</si>
  <si>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</si>
  <si>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</si>
  <si>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</si>
  <si>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</si>
  <si>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</si>
  <si>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</si>
  <si>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</si>
  <si>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</si>
  <si>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</si>
  <si>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</si>
  <si>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</si>
  <si>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</si>
  <si>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</si>
  <si>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</si>
  <si>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</si>
  <si>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</si>
  <si>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</si>
  <si>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</si>
  <si>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</si>
  <si>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</si>
  <si>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</si>
  <si>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</si>
  <si>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</si>
  <si>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</si>
  <si>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</si>
  <si>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</si>
  <si>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</si>
  <si>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</si>
  <si>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</si>
  <si>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</si>
  <si>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</si>
  <si>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</si>
  <si>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</si>
  <si>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</si>
  <si>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</si>
  <si>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</si>
  <si>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</si>
  <si>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</si>
  <si>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</si>
  <si>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</si>
  <si>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</si>
  <si>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</si>
  <si>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</si>
  <si>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</si>
  <si>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</si>
  <si>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</si>
  <si>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</si>
  <si>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</si>
  <si>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</si>
  <si>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</si>
  <si>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</si>
  <si>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</si>
  <si>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</si>
  <si>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</si>
  <si>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</si>
  <si>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</si>
  <si>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</si>
  <si>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</si>
  <si>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</si>
  <si>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</si>
  <si>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</si>
  <si>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</si>
  <si>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</si>
  <si>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</si>
  <si>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</si>
  <si>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</si>
  <si>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</si>
  <si>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</si>
  <si>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</si>
  <si>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</si>
  <si>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</si>
  <si>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</si>
  <si>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</si>
  <si>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</si>
  <si>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</si>
  <si>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</si>
  <si>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</si>
  <si>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</si>
  <si>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</si>
  <si>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</si>
  <si>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</si>
  <si>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</si>
  <si>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</si>
  <si>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</si>
  <si>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</si>
  <si>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</si>
  <si>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</si>
  <si>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</si>
  <si>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</si>
  <si>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</si>
  <si>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</si>
  <si>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</si>
  <si>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</si>
  <si>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</si>
  <si>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</si>
  <si>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</si>
  <si>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</si>
  <si>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</si>
  <si>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</si>
  <si>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</si>
  <si>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</si>
  <si>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</si>
  <si>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</si>
  <si>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</si>
  <si>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</si>
  <si>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</si>
  <si>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</si>
  <si>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</si>
  <si>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</si>
  <si>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</si>
  <si>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</si>
  <si>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</si>
  <si>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</si>
  <si>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</si>
  <si>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</si>
  <si>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</si>
  <si>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</si>
  <si>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</si>
  <si>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</si>
  <si>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</si>
  <si>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</si>
  <si>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</si>
  <si>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</si>
  <si>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</si>
  <si>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</si>
  <si>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</si>
  <si>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</si>
  <si>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</si>
  <si>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</si>
  <si>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</si>
  <si>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</si>
  <si>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</si>
  <si>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</si>
  <si>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</si>
  <si>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</si>
  <si>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</si>
  <si>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</si>
  <si>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</si>
  <si>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</si>
  <si>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</si>
  <si>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</si>
  <si>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</si>
  <si>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</si>
  <si>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</si>
  <si>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</si>
  <si>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</si>
  <si>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</si>
  <si>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</si>
  <si>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</si>
  <si>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</si>
  <si>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</si>
  <si>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</si>
  <si>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</si>
  <si>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</si>
  <si>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</si>
  <si>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</si>
  <si>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</si>
  <si>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</si>
  <si>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</si>
  <si>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</si>
  <si>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</si>
  <si>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</si>
  <si>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</si>
  <si>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</si>
  <si>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</si>
  <si>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</si>
  <si>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</si>
  <si>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</si>
  <si>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</si>
  <si>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</si>
  <si>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</si>
  <si>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</si>
  <si>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</si>
  <si>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</si>
  <si>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</si>
  <si>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</si>
  <si>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</si>
  <si>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</si>
  <si>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</si>
  <si>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</si>
  <si>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</si>
  <si>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</si>
  <si>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</si>
  <si>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</si>
  <si>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</si>
  <si>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</si>
  <si>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</si>
  <si>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</si>
  <si>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</si>
  <si>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</si>
  <si>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</si>
  <si>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</si>
  <si>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</si>
  <si>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</si>
  <si>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</si>
  <si>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</si>
  <si>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</si>
  <si>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</si>
  <si>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</si>
  <si>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</si>
  <si>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</si>
  <si>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</si>
  <si>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</si>
  <si>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</si>
  <si>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</si>
  <si>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</si>
  <si>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</si>
  <si>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</si>
  <si>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</si>
  <si>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</si>
  <si>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</si>
  <si>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</si>
  <si>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</si>
  <si>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</si>
  <si>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</si>
  <si>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</si>
  <si>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</si>
  <si>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</si>
  <si>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</si>
  <si>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</si>
  <si>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</si>
  <si>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</si>
  <si>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</si>
  <si>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</si>
  <si>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</si>
  <si>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</si>
  <si>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</si>
  <si>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</si>
  <si>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</si>
  <si>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</si>
  <si>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</si>
  <si>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</si>
  <si>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</si>
  <si>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</si>
  <si>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</si>
  <si>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</si>
  <si>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</si>
  <si>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</si>
  <si>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</si>
  <si>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</si>
  <si>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</si>
  <si>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</si>
  <si>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</si>
  <si>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</si>
  <si>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</si>
  <si>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</si>
  <si>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</si>
  <si>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</si>
  <si>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</si>
  <si>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</si>
  <si>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</si>
  <si>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</si>
  <si>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</si>
  <si>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</si>
  <si>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</si>
  <si>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</si>
  <si>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</si>
  <si>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</si>
  <si>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</si>
  <si>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</si>
  <si>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</si>
  <si>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</si>
  <si>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</si>
  <si>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</si>
  <si>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</si>
  <si>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</si>
  <si>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</si>
  <si>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</si>
  <si>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</si>
  <si>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</si>
  <si>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</si>
  <si>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</si>
  <si>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</si>
  <si>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</si>
  <si>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</si>
  <si>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</si>
  <si>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</si>
  <si>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</si>
  <si>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</si>
  <si>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</si>
  <si>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</si>
  <si>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</si>
  <si>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</si>
  <si>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</si>
  <si>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</si>
  <si>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</si>
  <si>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</si>
  <si>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</si>
  <si>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</si>
  <si>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</si>
  <si>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</si>
  <si>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</si>
  <si>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</si>
  <si>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</si>
  <si>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</si>
  <si>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</si>
  <si>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</si>
  <si>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</si>
  <si>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</si>
  <si>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</si>
  <si>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</si>
  <si>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</si>
  <si>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</si>
  <si>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</si>
  <si>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</si>
  <si>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</si>
  <si>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</si>
  <si>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</si>
  <si>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</si>
  <si>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</si>
  <si>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</si>
  <si>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</si>
  <si>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</si>
  <si>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</si>
  <si>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</si>
  <si>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</si>
  <si>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</si>
  <si>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</si>
  <si>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</si>
  <si>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</si>
  <si>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</si>
  <si>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</si>
  <si>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</si>
  <si>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</si>
  <si>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</si>
  <si>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</si>
  <si>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</si>
  <si>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</si>
  <si>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</si>
  <si>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</si>
  <si>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</si>
  <si>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</si>
  <si>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</si>
  <si>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</si>
  <si>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</si>
  <si>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</si>
  <si>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</si>
  <si>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</si>
  <si>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</si>
  <si>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</si>
  <si>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</si>
  <si>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</si>
  <si>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</si>
  <si>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</si>
  <si>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</si>
  <si>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</si>
  <si>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</si>
  <si>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</si>
  <si>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</si>
  <si>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</si>
  <si>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</si>
  <si>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</si>
  <si>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</si>
  <si>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</si>
  <si>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</si>
  <si>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</si>
  <si>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</si>
  <si>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</si>
  <si>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</si>
  <si>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</si>
  <si>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</si>
  <si>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</si>
  <si>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</si>
  <si>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</si>
  <si>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</si>
  <si>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</si>
  <si>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</si>
  <si>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</si>
  <si>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</si>
  <si>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</si>
  <si>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</si>
  <si>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</si>
  <si>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</si>
  <si>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</si>
  <si>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</si>
  <si>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</si>
  <si>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</si>
  <si>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</si>
  <si>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</si>
  <si>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</si>
  <si>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</si>
  <si>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</si>
  <si>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</si>
  <si>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</si>
  <si>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</si>
  <si>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</si>
  <si>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</si>
  <si>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</si>
  <si>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</si>
  <si>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</si>
  <si>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</si>
  <si>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</si>
  <si>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</si>
  <si>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</si>
  <si>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</si>
  <si>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</si>
  <si>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</si>
  <si>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</si>
  <si>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</si>
  <si>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</si>
  <si>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</si>
  <si>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</si>
  <si>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</si>
  <si>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</si>
  <si>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</si>
  <si>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</si>
  <si>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</si>
  <si>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</si>
  <si>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</si>
  <si>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</si>
  <si>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</si>
  <si>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</si>
  <si>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</si>
  <si>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</si>
  <si>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</si>
  <si>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</si>
  <si>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</si>
  <si>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</si>
  <si>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</si>
  <si>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</si>
  <si>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</si>
  <si>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</si>
  <si>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</si>
  <si>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</si>
  <si>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</si>
  <si>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</si>
  <si>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</si>
  <si>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</si>
  <si>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</si>
  <si>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</si>
  <si>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</si>
  <si>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</si>
  <si>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</si>
  <si>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</si>
  <si>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</si>
  <si>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</si>
  <si>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</si>
  <si>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</si>
  <si>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</si>
  <si>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</si>
  <si>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</si>
  <si>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</si>
  <si>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</si>
  <si>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</si>
  <si>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</si>
  <si>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</si>
  <si>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</si>
  <si>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</si>
  <si>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</si>
  <si>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</si>
  <si>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</si>
  <si>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</si>
  <si>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</si>
  <si>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</si>
  <si>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</si>
  <si>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</si>
  <si>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</si>
  <si>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</si>
  <si>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</si>
  <si>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</si>
  <si>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</si>
  <si>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</si>
  <si>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</si>
  <si>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</si>
  <si>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</si>
  <si>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</si>
  <si>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</si>
  <si>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</si>
  <si>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</si>
  <si>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</si>
  <si>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</si>
  <si>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</si>
  <si>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</si>
  <si>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</si>
  <si>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</si>
  <si>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</si>
  <si>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</si>
  <si>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</si>
  <si>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</si>
  <si>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</si>
  <si>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</si>
  <si>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</si>
  <si>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</si>
  <si>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</si>
  <si>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</si>
  <si>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</si>
  <si>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</si>
  <si>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</si>
  <si>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</si>
  <si>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</si>
  <si>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</si>
  <si>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</si>
  <si>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</si>
  <si>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</si>
  <si>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</si>
  <si>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</si>
  <si>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</si>
  <si>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</si>
  <si>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</si>
  <si>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</si>
  <si>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</si>
  <si>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</si>
  <si>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</si>
  <si>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</si>
  <si>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</si>
  <si>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</si>
  <si>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</si>
  <si>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</si>
  <si>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</si>
  <si>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</si>
  <si>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</si>
  <si>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</si>
  <si>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</si>
  <si>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</si>
  <si>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</si>
  <si>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</si>
  <si>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</si>
  <si>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</si>
  <si>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</si>
  <si>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</si>
  <si>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</si>
  <si>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</si>
  <si>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</si>
  <si>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</si>
  <si>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</si>
  <si>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</si>
  <si>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</si>
  <si>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</si>
  <si>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</si>
  <si>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</si>
  <si>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</si>
  <si>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</si>
  <si>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</si>
  <si>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</si>
  <si>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</si>
  <si>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</si>
  <si>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</si>
  <si>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</si>
  <si>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</si>
  <si>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</si>
  <si>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</si>
  <si>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</si>
  <si>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</si>
  <si>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</si>
  <si>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</si>
  <si>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</si>
  <si>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</si>
  <si>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</si>
  <si>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</si>
  <si>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</si>
  <si>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</si>
  <si>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</si>
  <si>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</si>
  <si>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</si>
  <si>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</si>
  <si>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</si>
  <si>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</si>
  <si>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</si>
  <si>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</si>
  <si>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</si>
  <si>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</si>
  <si>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</si>
  <si>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</si>
  <si>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</si>
  <si>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</si>
  <si>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</si>
  <si>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</si>
  <si>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</si>
  <si>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</si>
  <si>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</si>
  <si>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</si>
  <si>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</si>
  <si>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</si>
  <si>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</si>
  <si>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</si>
  <si>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</si>
  <si>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</si>
  <si>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</si>
  <si>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</si>
  <si>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</si>
  <si>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</si>
  <si>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</si>
  <si>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</si>
  <si>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</si>
  <si>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</si>
  <si>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</si>
  <si>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</si>
  <si>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</si>
  <si>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</si>
  <si>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</si>
  <si>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</si>
  <si>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</si>
  <si>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</si>
  <si>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</si>
  <si>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</si>
  <si>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</si>
  <si>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</si>
  <si>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</si>
  <si>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</si>
  <si>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</si>
  <si>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</si>
  <si>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</si>
  <si>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</si>
  <si>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</si>
  <si>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</si>
  <si>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</si>
  <si>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</si>
  <si>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</si>
  <si>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</si>
  <si>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</si>
  <si>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</si>
  <si>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</si>
  <si>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</si>
  <si>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</si>
  <si>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</si>
  <si>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</si>
  <si>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</si>
  <si>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</si>
  <si>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</si>
  <si>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</si>
  <si>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</si>
  <si>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</si>
  <si>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</si>
  <si>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</si>
  <si>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</si>
  <si>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</si>
  <si>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</si>
  <si>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</si>
  <si>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</si>
  <si>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</si>
  <si>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</si>
  <si>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</si>
  <si>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</si>
  <si>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</si>
  <si>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</si>
  <si>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</si>
  <si>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</si>
  <si>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</si>
  <si>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</si>
  <si>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</si>
  <si>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</si>
  <si>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</si>
  <si>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</si>
  <si>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</si>
  <si>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</si>
  <si>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</si>
  <si>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</si>
  <si>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</si>
  <si>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</si>
  <si>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</si>
  <si>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</si>
  <si>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</si>
  <si>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</si>
  <si>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</si>
  <si>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</si>
  <si>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</si>
  <si>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</si>
  <si>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</si>
  <si>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</si>
  <si>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</si>
  <si>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</si>
  <si>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</si>
  <si>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</si>
  <si>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</si>
  <si>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</si>
  <si>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</si>
  <si>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</si>
  <si>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</si>
  <si>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</si>
  <si>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</si>
  <si>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</si>
  <si>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</si>
  <si>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</si>
  <si>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</si>
  <si>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</si>
  <si>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</si>
  <si>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</si>
  <si>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</si>
  <si>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</si>
  <si>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</si>
  <si>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</si>
  <si>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</si>
  <si>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</si>
  <si>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</si>
  <si>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</si>
  <si>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</si>
  <si>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</si>
  <si>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</si>
  <si>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</si>
  <si>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</si>
  <si>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</si>
  <si>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</si>
  <si>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</si>
  <si>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</si>
  <si>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</si>
  <si>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</si>
  <si>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</si>
  <si>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</si>
  <si>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</si>
  <si>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</si>
  <si>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</si>
  <si>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</si>
  <si>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</si>
  <si>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</si>
  <si>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</si>
  <si>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</si>
  <si>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</si>
  <si>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</si>
  <si>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</si>
  <si>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</si>
  <si>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</si>
  <si>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</si>
  <si>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</si>
  <si>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</si>
  <si>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</si>
  <si>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</si>
  <si>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</si>
  <si>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</si>
  <si>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</si>
  <si>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</si>
  <si>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</si>
  <si>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</si>
  <si>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</si>
  <si>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</si>
  <si>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</si>
  <si>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</si>
  <si>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</si>
  <si>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</si>
  <si>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</si>
  <si>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</si>
  <si>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</si>
  <si>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</si>
  <si>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</si>
  <si>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</si>
  <si>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</si>
  <si>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</si>
  <si>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</si>
  <si>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</si>
  <si>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</si>
  <si>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</si>
  <si>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</si>
  <si>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</si>
  <si>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</si>
  <si>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</si>
  <si>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</si>
  <si>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</si>
  <si>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</si>
  <si>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</si>
  <si>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</si>
  <si>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</si>
  <si>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</si>
  <si>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</si>
  <si>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</si>
  <si>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</si>
  <si>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</si>
  <si>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</si>
  <si>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</si>
  <si>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</si>
  <si>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</si>
  <si>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</si>
  <si>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</si>
  <si>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</si>
  <si>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</si>
  <si>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</si>
  <si>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</si>
  <si>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</si>
  <si>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</si>
  <si>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</si>
  <si>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</si>
  <si>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</si>
  <si>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</si>
  <si>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</si>
  <si>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</si>
  <si>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</si>
  <si>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</si>
  <si>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</si>
  <si>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</si>
  <si>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</si>
  <si>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</si>
  <si>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</si>
  <si>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</si>
  <si>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</si>
  <si>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</si>
  <si>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</si>
  <si>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</si>
  <si>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</si>
  <si>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</si>
  <si>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</si>
  <si>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</si>
  <si>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</si>
  <si>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</si>
  <si>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</si>
  <si>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</si>
  <si>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</si>
  <si>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</si>
  <si>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</si>
  <si>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</si>
  <si>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</si>
  <si>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</si>
  <si>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</si>
  <si>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</si>
  <si>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</si>
  <si>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</si>
  <si>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</si>
  <si>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</si>
  <si>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</si>
  <si>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</si>
  <si>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</si>
  <si>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</si>
  <si>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</si>
  <si>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</si>
  <si>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</si>
  <si>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</si>
  <si>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</si>
  <si>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</si>
  <si>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</si>
  <si>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</si>
  <si>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</si>
  <si>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</si>
  <si>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</si>
  <si>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</si>
  <si>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</si>
  <si>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</si>
  <si>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</si>
  <si>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</si>
  <si>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</si>
  <si>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</si>
  <si>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</si>
  <si>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</si>
  <si>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</si>
  <si>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</si>
  <si>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</si>
  <si>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</si>
  <si>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</si>
  <si>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</si>
  <si>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</si>
  <si>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</si>
  <si>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</si>
  <si>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</si>
  <si>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</si>
  <si>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</si>
  <si>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</si>
  <si>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</si>
  <si>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</si>
  <si>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</si>
  <si>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</si>
  <si>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</si>
  <si>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</si>
  <si>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</si>
  <si>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</si>
  <si>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</si>
  <si>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</si>
  <si>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</si>
  <si>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</si>
  <si>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</si>
  <si>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</si>
  <si>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</si>
  <si>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</si>
  <si>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</si>
  <si>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</si>
  <si>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</si>
  <si>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</si>
  <si>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</si>
  <si>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</si>
  <si>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</si>
  <si>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</si>
  <si>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</si>
  <si>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</si>
  <si>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</si>
  <si>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</si>
  <si>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</si>
  <si>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</si>
  <si>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</si>
  <si>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</si>
  <si>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</si>
  <si>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</si>
  <si>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</si>
  <si>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</si>
  <si>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</si>
  <si>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</si>
  <si>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</si>
  <si>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</si>
  <si>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</si>
  <si>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</si>
  <si>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</si>
  <si>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</si>
  <si>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</si>
  <si>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</si>
  <si>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</si>
  <si>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</si>
  <si>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</si>
  <si>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</si>
  <si>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</si>
  <si>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</si>
  <si>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</si>
  <si>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</si>
  <si>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</si>
  <si>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</si>
  <si>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</si>
  <si>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</si>
  <si>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</si>
  <si>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</si>
  <si>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</si>
  <si>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</si>
  <si>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</si>
  <si>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</si>
  <si>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</si>
  <si>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</si>
  <si>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</si>
  <si>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</si>
  <si>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</si>
  <si>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</si>
  <si>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</si>
  <si>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</si>
  <si>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</si>
  <si>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</si>
  <si>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</si>
  <si>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</si>
  <si>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</si>
  <si>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</si>
  <si>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</si>
  <si>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</si>
  <si>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</si>
  <si>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</si>
  <si>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</si>
  <si>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</si>
  <si>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</si>
  <si>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</si>
  <si>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</si>
  <si>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</si>
  <si>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</si>
  <si>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</si>
  <si>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</si>
  <si>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</si>
  <si>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</si>
  <si>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</si>
  <si>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</si>
  <si>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</si>
  <si>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</si>
  <si>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</si>
  <si>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</si>
  <si>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</si>
  <si>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</si>
  <si>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</si>
  <si>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</si>
  <si>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</si>
  <si>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</si>
  <si>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</si>
  <si>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</si>
  <si>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</si>
  <si>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</si>
  <si>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</si>
  <si>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</si>
  <si>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</si>
  <si>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</si>
  <si>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</si>
  <si>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</si>
  <si>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</si>
  <si>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</si>
  <si>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</si>
  <si>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</si>
  <si>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</si>
  <si>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</si>
  <si>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</si>
  <si>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</si>
  <si>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</si>
  <si>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</si>
  <si>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</si>
  <si>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</si>
  <si>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</si>
  <si>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</si>
  <si>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</si>
  <si>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</si>
  <si>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</si>
  <si>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</si>
  <si>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</si>
  <si>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</si>
  <si>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</si>
  <si>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</si>
  <si>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</si>
  <si>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</si>
  <si>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</si>
  <si>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</si>
  <si>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</si>
  <si>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</si>
  <si>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</si>
  <si>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</si>
  <si>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</si>
  <si>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</si>
  <si>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</si>
  <si>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</si>
  <si>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</si>
  <si>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</si>
  <si>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</si>
  <si>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</si>
  <si>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</si>
  <si>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</si>
  <si>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</si>
  <si>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</si>
  <si>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</si>
  <si>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</si>
  <si>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</si>
  <si>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</si>
  <si>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</si>
  <si>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</si>
  <si>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</si>
  <si>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</si>
  <si>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</si>
  <si>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</si>
  <si>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</si>
  <si>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</si>
  <si>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</si>
  <si>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</si>
  <si>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</si>
  <si>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</si>
  <si>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</si>
  <si>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</si>
  <si>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</si>
  <si>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</si>
  <si>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</si>
  <si>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</si>
  <si>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</si>
  <si>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</si>
  <si>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</si>
  <si>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</si>
  <si>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</si>
  <si>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</si>
  <si>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</si>
  <si>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</si>
  <si>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</si>
  <si>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</si>
  <si>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</si>
  <si>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</si>
  <si>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</si>
  <si>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</si>
  <si>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</si>
  <si>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</si>
  <si>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</si>
  <si>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</si>
  <si>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</si>
  <si>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</si>
  <si>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</si>
  <si>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</si>
  <si>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</si>
  <si>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</si>
  <si>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</si>
  <si>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</si>
  <si>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</si>
  <si>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</si>
  <si>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</si>
  <si>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</si>
  <si>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</si>
  <si>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</si>
  <si>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</si>
  <si>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</si>
  <si>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</si>
  <si>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</si>
  <si>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</si>
  <si>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</si>
  <si>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</si>
  <si>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</si>
  <si>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</si>
  <si>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</si>
  <si>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</si>
  <si>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</si>
  <si>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</si>
  <si>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</si>
  <si>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</si>
  <si>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</si>
  <si>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</si>
  <si>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</si>
  <si>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</si>
  <si>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</si>
  <si>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</si>
  <si>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</si>
  <si>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</si>
  <si>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</si>
  <si>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</si>
  <si>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</si>
  <si>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</si>
  <si>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</si>
  <si>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</si>
  <si>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</si>
  <si>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</si>
  <si>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</si>
  <si>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</si>
  <si>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</si>
  <si>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</si>
  <si>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</si>
  <si>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</si>
  <si>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</si>
  <si>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</si>
  <si>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</si>
  <si>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</si>
  <si>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</si>
  <si>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</si>
  <si>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</si>
  <si>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</si>
  <si>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</si>
  <si>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</si>
  <si>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</si>
  <si>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</si>
  <si>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</si>
  <si>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</si>
  <si>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</si>
  <si>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</si>
  <si>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</si>
  <si>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</si>
  <si>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</si>
  <si>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</si>
  <si>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</si>
  <si>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</si>
  <si>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</si>
  <si>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</si>
  <si>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</si>
  <si>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</si>
  <si>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</si>
  <si>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</si>
  <si>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</si>
  <si>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</si>
  <si>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</si>
  <si>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</si>
  <si>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</si>
  <si>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</si>
  <si>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</si>
  <si>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</si>
  <si>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</si>
  <si>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</si>
  <si>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</si>
  <si>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</si>
  <si>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</si>
  <si>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</si>
  <si>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</si>
  <si>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</si>
  <si>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</si>
  <si>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</si>
  <si>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</si>
  <si>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</si>
  <si>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</si>
  <si>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</si>
  <si>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</si>
  <si>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</si>
  <si>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</si>
  <si>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</si>
  <si>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</si>
  <si>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</si>
  <si>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</si>
  <si>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</si>
  <si>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</si>
  <si>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</si>
  <si>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</si>
  <si>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</si>
  <si>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</si>
  <si>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</si>
  <si>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</si>
  <si>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</si>
  <si>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</si>
  <si>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</si>
  <si>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</si>
  <si>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</si>
  <si>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</si>
  <si>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</si>
  <si>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</si>
  <si>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</si>
  <si>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</si>
  <si>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</si>
  <si>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</si>
  <si>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</si>
  <si>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</si>
  <si>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</si>
  <si>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</si>
  <si>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</si>
  <si>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</si>
  <si>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</si>
  <si>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</si>
  <si>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</si>
  <si>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</si>
  <si>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</si>
  <si>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</si>
  <si>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</si>
  <si>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</si>
  <si>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</si>
  <si>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</si>
  <si>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</si>
  <si>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</si>
  <si>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</si>
  <si>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</si>
  <si>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</si>
  <si>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</si>
  <si>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</si>
  <si>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</si>
  <si>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</si>
  <si>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</si>
  <si>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</si>
  <si>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</si>
  <si>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</si>
  <si>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</si>
  <si>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</si>
  <si>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</si>
  <si>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</si>
  <si>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</si>
  <si>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</si>
  <si>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</si>
  <si>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</si>
  <si>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</si>
  <si>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</si>
  <si>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</si>
  <si>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</si>
  <si>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</si>
  <si>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</si>
  <si>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</si>
  <si>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</si>
  <si>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</si>
  <si>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</si>
  <si>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</si>
  <si>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</si>
  <si>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</si>
  <si>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</si>
  <si>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</si>
  <si>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</si>
  <si>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</si>
  <si>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</si>
  <si>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</si>
  <si>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</si>
  <si>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</si>
  <si>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</si>
  <si>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</si>
  <si>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</si>
  <si>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</si>
  <si>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</si>
  <si>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</si>
  <si>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</si>
  <si>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</si>
  <si>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</si>
  <si>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</si>
  <si>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</si>
  <si>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</si>
  <si>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</si>
  <si>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</si>
  <si>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</si>
  <si>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</si>
  <si>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</si>
  <si>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</si>
  <si>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</si>
  <si>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</si>
  <si>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</si>
  <si>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</si>
  <si>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</si>
  <si>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</si>
  <si>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</si>
  <si>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</si>
  <si>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</si>
  <si>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</si>
  <si>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</si>
  <si>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</si>
  <si>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</si>
  <si>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</si>
  <si>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</si>
  <si>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</si>
  <si>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</si>
  <si>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</si>
  <si>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</si>
  <si>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</si>
  <si>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</si>
  <si>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</si>
  <si>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</si>
  <si>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</si>
  <si>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</si>
  <si>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</si>
  <si>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</si>
  <si>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</si>
  <si>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</si>
  <si>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</si>
  <si>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</si>
  <si>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</si>
  <si>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</si>
  <si>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</si>
  <si>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</si>
  <si>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</si>
  <si>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</si>
  <si>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</si>
  <si>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</si>
  <si>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</si>
  <si>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</si>
  <si>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</si>
  <si>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</si>
  <si>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</si>
  <si>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</si>
  <si>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</si>
  <si>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</si>
  <si>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</si>
  <si>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</si>
  <si>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</si>
  <si>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</si>
  <si>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</si>
  <si>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</si>
  <si>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</si>
  <si>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</si>
  <si>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</si>
  <si>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</si>
  <si>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</si>
  <si>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</si>
  <si>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</si>
  <si>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</si>
  <si>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</si>
  <si>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</si>
  <si>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</si>
  <si>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</si>
  <si>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</si>
  <si>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</si>
  <si>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</si>
  <si>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</si>
  <si>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</si>
  <si>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</si>
  <si>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</si>
  <si>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</si>
  <si>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</si>
  <si>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</si>
  <si>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</si>
  <si>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</si>
  <si>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</si>
  <si>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</si>
  <si>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</si>
  <si>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</si>
  <si>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</si>
  <si>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</si>
  <si>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</si>
  <si>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</si>
  <si>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</si>
  <si>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</si>
  <si>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</si>
  <si>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</si>
  <si>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</si>
  <si>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</si>
  <si>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</si>
  <si>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</si>
  <si>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</si>
  <si>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</si>
  <si>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</si>
  <si>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</si>
  <si>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</si>
  <si>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</si>
  <si>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</si>
  <si>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</si>
  <si>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</si>
  <si>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</si>
  <si>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</si>
  <si>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</si>
  <si>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</si>
  <si>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</si>
  <si>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</si>
  <si>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</si>
  <si>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</si>
  <si>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</si>
  <si>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</si>
  <si>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</si>
  <si>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</si>
  <si>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</si>
  <si>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</si>
  <si>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</si>
  <si>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</si>
  <si>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</si>
  <si>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</si>
  <si>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</si>
  <si>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</si>
  <si>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</si>
  <si>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</si>
  <si>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</si>
  <si>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</si>
  <si>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</si>
  <si>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</si>
  <si>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</si>
  <si>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</si>
  <si>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</si>
  <si>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</si>
  <si>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</si>
  <si>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</si>
  <si>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</si>
  <si>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</si>
  <si>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</si>
  <si>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</si>
  <si>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</si>
  <si>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</si>
  <si>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</si>
  <si>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</si>
  <si>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</si>
  <si>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</si>
  <si>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</si>
  <si>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</si>
  <si>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</si>
  <si>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</si>
  <si>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</si>
  <si>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</si>
  <si>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</si>
  <si>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</si>
  <si>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</si>
  <si>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</si>
  <si>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</si>
  <si>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</si>
  <si>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</si>
  <si>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</si>
  <si>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</si>
  <si>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</si>
  <si>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</si>
  <si>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</si>
  <si>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</si>
  <si>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</si>
  <si>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</si>
  <si>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</si>
  <si>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</si>
  <si>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</si>
  <si>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</si>
  <si>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</si>
  <si>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</si>
  <si>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</si>
  <si>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</si>
  <si>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</si>
  <si>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</si>
  <si>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</si>
  <si>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</si>
  <si>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</si>
  <si>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</si>
  <si>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</si>
  <si>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</si>
  <si>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</si>
  <si>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</si>
  <si>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</si>
  <si>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</si>
  <si>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</si>
  <si>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</si>
  <si>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</si>
  <si>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</si>
  <si>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</si>
  <si>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</si>
  <si>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</si>
  <si>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</si>
  <si>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</si>
  <si>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</si>
  <si>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</si>
  <si>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</si>
  <si>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</si>
  <si>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</si>
  <si>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</si>
  <si>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</si>
  <si>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</si>
  <si>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</si>
  <si>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</si>
  <si>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</si>
  <si>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</si>
  <si>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</si>
  <si>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</si>
  <si>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</si>
  <si>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</si>
  <si>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</si>
  <si>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</si>
  <si>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</si>
  <si>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</si>
  <si>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</si>
  <si>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</si>
  <si>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</si>
  <si>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</si>
  <si>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</si>
  <si>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</si>
  <si>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</si>
  <si>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</si>
  <si>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</si>
  <si>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</si>
  <si>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</si>
  <si>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</si>
  <si>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</si>
  <si>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</si>
  <si>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</si>
  <si>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</si>
  <si>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</si>
  <si>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</si>
  <si>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</si>
  <si>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</si>
  <si>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</si>
  <si>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</si>
  <si>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</si>
  <si>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</si>
  <si>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</si>
  <si>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</si>
  <si>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</si>
  <si>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</si>
  <si>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</si>
  <si>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</si>
  <si>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</si>
  <si>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</si>
  <si>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</si>
  <si>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</si>
  <si>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</si>
  <si>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</si>
  <si>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</si>
  <si>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</si>
  <si>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</si>
  <si>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</si>
  <si>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</si>
  <si>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</si>
  <si>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</si>
  <si>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</si>
  <si>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</si>
  <si>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</si>
  <si>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</si>
  <si>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</si>
  <si>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</si>
  <si>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</si>
  <si>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</si>
  <si>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</si>
  <si>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</si>
  <si>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</si>
  <si>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</si>
  <si>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</si>
  <si>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</si>
  <si>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</si>
  <si>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</si>
  <si>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</si>
  <si>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</si>
  <si>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</si>
  <si>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</si>
  <si>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</si>
  <si>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</si>
  <si>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</si>
  <si>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</si>
  <si>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</si>
  <si>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</si>
  <si>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</si>
  <si>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</si>
  <si>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</si>
  <si>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</si>
  <si>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</si>
  <si>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</si>
  <si>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</si>
  <si>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</si>
  <si>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</si>
  <si>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</si>
  <si>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</si>
  <si>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</si>
  <si>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</si>
  <si>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</si>
  <si>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</si>
  <si>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</si>
  <si>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</si>
  <si>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</si>
  <si>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</si>
  <si>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</si>
  <si>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</si>
  <si>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</si>
  <si>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</si>
  <si>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</si>
  <si>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</si>
  <si>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</si>
  <si>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</si>
  <si>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</si>
  <si>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</si>
  <si>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</si>
  <si>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</si>
  <si>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</si>
  <si>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</si>
  <si>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</si>
  <si>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</si>
  <si>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</si>
  <si>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</si>
  <si>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</si>
  <si>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</si>
  <si>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</si>
  <si>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</si>
  <si>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</si>
  <si>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</si>
  <si>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</si>
  <si>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</si>
  <si>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</si>
  <si>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</si>
  <si>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</si>
  <si>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</si>
  <si>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</si>
  <si>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</si>
  <si>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</si>
  <si>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</si>
  <si>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</si>
  <si>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</si>
  <si>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</si>
  <si>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</si>
  <si>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</si>
  <si>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</si>
  <si>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</si>
  <si>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</si>
  <si>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</si>
  <si>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</si>
  <si>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</si>
  <si>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</si>
  <si>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</si>
  <si>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</si>
  <si>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</si>
  <si>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</si>
  <si>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</si>
  <si>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</si>
  <si>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</si>
  <si>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</si>
  <si>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</si>
  <si>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</si>
  <si>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</si>
  <si>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</si>
  <si>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</si>
  <si>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</si>
  <si>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</si>
  <si>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</si>
  <si>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</si>
  <si>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</si>
  <si>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</si>
  <si>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</si>
  <si>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</si>
  <si>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</si>
  <si>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</si>
  <si>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</si>
  <si>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</si>
  <si>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</si>
  <si>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</si>
  <si>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</si>
  <si>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</si>
  <si>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</si>
  <si>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</si>
  <si>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</si>
  <si>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</si>
  <si>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</si>
  <si>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</si>
  <si>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</si>
  <si>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</si>
  <si>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</si>
  <si>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</si>
  <si>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</si>
  <si>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</si>
  <si>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</si>
  <si>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</si>
  <si>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</si>
  <si>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</si>
  <si>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</si>
  <si>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</si>
  <si>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</si>
  <si>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</si>
  <si>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</si>
  <si>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</si>
  <si>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</si>
  <si>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</si>
  <si>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</si>
  <si>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</si>
  <si>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</si>
  <si>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</si>
  <si>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</si>
  <si>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</si>
  <si>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</si>
  <si>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</si>
  <si>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</si>
  <si>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</si>
  <si>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</si>
  <si>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</si>
  <si>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</si>
  <si>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</si>
  <si>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</si>
  <si>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</si>
  <si>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</si>
  <si>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</si>
  <si>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</si>
  <si>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</si>
  <si>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</si>
  <si>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</si>
  <si>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</si>
  <si>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</si>
  <si>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</si>
  <si>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</si>
  <si>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</si>
  <si>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</si>
  <si>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</si>
  <si>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</si>
  <si>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</si>
  <si>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</si>
  <si>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</si>
  <si>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</si>
  <si>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</si>
  <si>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</si>
  <si>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</si>
  <si>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</si>
  <si>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</si>
  <si>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</si>
  <si>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</si>
  <si>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</si>
  <si>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</si>
  <si>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</si>
  <si>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</si>
  <si>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</si>
  <si>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</si>
  <si>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</si>
  <si>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</si>
  <si>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</si>
  <si>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</si>
  <si>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</si>
  <si>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</si>
  <si>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</si>
  <si>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</si>
  <si>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</si>
  <si>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</si>
  <si>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</si>
  <si>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</si>
  <si>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</si>
  <si>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</si>
  <si>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</si>
  <si>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</si>
  <si>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</si>
  <si>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</si>
  <si>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</si>
  <si>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</si>
  <si>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</si>
  <si>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</si>
  <si>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</si>
  <si>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</si>
  <si>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</si>
  <si>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</si>
  <si>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</si>
  <si>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</si>
  <si>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</si>
  <si>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</si>
  <si>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</si>
  <si>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</si>
  <si>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</si>
  <si>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</si>
  <si>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</si>
  <si>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</si>
  <si>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</si>
  <si>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</si>
  <si>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</si>
  <si>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</si>
  <si>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</si>
  <si>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</si>
  <si>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</si>
  <si>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</si>
  <si>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</si>
  <si>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</si>
  <si>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</si>
  <si>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</si>
  <si>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</si>
  <si>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</si>
  <si>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</si>
  <si>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</si>
  <si>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</si>
  <si>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</si>
  <si>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</si>
  <si>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</si>
  <si>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</si>
  <si>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</si>
  <si>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</si>
  <si>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</si>
  <si>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</si>
  <si>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</si>
  <si>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</si>
  <si>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</si>
  <si>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</si>
  <si>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</si>
  <si>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</si>
  <si>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</si>
  <si>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</si>
  <si>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</si>
  <si>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</si>
  <si>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</si>
  <si>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</si>
  <si>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</si>
  <si>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</si>
  <si>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</si>
  <si>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</si>
  <si>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</si>
  <si>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</si>
  <si>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</si>
  <si>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</si>
  <si>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</si>
  <si>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</si>
  <si>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</si>
  <si>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</si>
  <si>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</si>
  <si>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</si>
  <si>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</si>
  <si>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</si>
  <si>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</si>
  <si>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</si>
  <si>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</si>
  <si>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</si>
  <si>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</si>
  <si>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</si>
  <si>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</si>
  <si>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</si>
  <si>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</si>
  <si>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</si>
  <si>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</si>
  <si>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</si>
  <si>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</si>
  <si>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</si>
  <si>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</si>
  <si>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</si>
  <si>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</si>
  <si>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</si>
  <si>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</si>
  <si>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</si>
  <si>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</si>
  <si>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</si>
  <si>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</si>
  <si>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</si>
  <si>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</si>
  <si>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</si>
  <si>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</si>
  <si>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</si>
  <si>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</si>
  <si>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</si>
  <si>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</si>
  <si>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</si>
  <si>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</si>
  <si>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</si>
  <si>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</si>
  <si>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</si>
  <si>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</si>
  <si>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</si>
  <si>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</si>
  <si>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</si>
  <si>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</si>
  <si>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</si>
  <si>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</si>
  <si>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</si>
  <si>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</si>
  <si>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</si>
  <si>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</si>
  <si>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</si>
  <si>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</si>
  <si>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</si>
  <si>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</si>
  <si>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</si>
  <si>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</si>
  <si>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</si>
  <si>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</si>
  <si>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</si>
  <si>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</si>
  <si>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</si>
  <si>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</si>
  <si>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</si>
  <si>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</si>
  <si>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</si>
  <si>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</si>
  <si>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</si>
  <si>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</si>
  <si>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</si>
  <si>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</si>
  <si>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</si>
  <si>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</si>
  <si>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</si>
  <si>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</si>
  <si>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</si>
  <si>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</si>
  <si>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</si>
  <si>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</si>
  <si>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</si>
  <si>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</si>
  <si>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</si>
  <si>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</si>
  <si>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</si>
  <si>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</si>
  <si>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</si>
  <si>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</si>
  <si>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</si>
  <si>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</si>
  <si>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</si>
  <si>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</si>
  <si>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</si>
  <si>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</si>
  <si>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</si>
  <si>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</si>
  <si>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</si>
  <si>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</si>
  <si>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</si>
  <si>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</si>
  <si>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</si>
  <si>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</si>
  <si>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</si>
  <si>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</si>
  <si>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</si>
  <si>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</si>
  <si>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</si>
  <si>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</si>
  <si>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</si>
  <si>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</si>
  <si>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</si>
  <si>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</si>
  <si>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</si>
  <si>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</si>
  <si>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</si>
  <si>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</si>
  <si>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</si>
  <si>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</si>
  <si>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</si>
  <si>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</si>
  <si>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</si>
  <si>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</si>
  <si>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</si>
  <si>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</si>
  <si>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</si>
  <si>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</si>
  <si>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</si>
  <si>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</si>
  <si>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</si>
  <si>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</si>
  <si>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</si>
  <si>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</si>
  <si>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</si>
  <si>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</si>
  <si>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</si>
  <si>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</si>
  <si>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</si>
  <si>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</si>
  <si>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</si>
  <si>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</si>
  <si>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</si>
  <si>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</si>
  <si>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</si>
  <si>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</si>
  <si>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</si>
  <si>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</si>
  <si>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</si>
  <si>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</si>
  <si>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</si>
  <si>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</si>
  <si>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</si>
  <si>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</si>
  <si>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</si>
  <si>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</si>
  <si>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</si>
  <si>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</si>
  <si>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</si>
  <si>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</si>
  <si>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</si>
  <si>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</si>
  <si>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</si>
  <si>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</si>
  <si>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</si>
  <si>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</si>
  <si>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</si>
  <si>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</si>
  <si>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</si>
  <si>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</si>
  <si>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</si>
  <si>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</si>
  <si>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</si>
  <si>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</si>
  <si>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</si>
  <si>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</si>
  <si>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</si>
  <si>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</si>
  <si>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</si>
  <si>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</si>
  <si>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</si>
  <si>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</si>
  <si>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</si>
  <si>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</si>
  <si>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</si>
  <si>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</si>
  <si>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</si>
  <si>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</si>
  <si>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</si>
  <si>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</si>
  <si>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</si>
  <si>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</si>
  <si>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</si>
  <si>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</si>
  <si>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</si>
  <si>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</si>
  <si>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</si>
  <si>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</si>
  <si>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</si>
  <si>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</si>
  <si>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</si>
  <si>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</si>
  <si>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</si>
  <si>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</si>
  <si>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</si>
  <si>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</si>
  <si>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</si>
  <si>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</si>
  <si>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</si>
  <si>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</si>
  <si>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</si>
  <si>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</si>
  <si>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</si>
  <si>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</si>
  <si>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</si>
  <si>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</si>
  <si>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</si>
  <si>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</si>
  <si>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</si>
  <si>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</si>
  <si>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</si>
  <si>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</si>
  <si>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</si>
  <si>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</si>
  <si>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</si>
  <si>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</si>
  <si>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</si>
  <si>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</si>
  <si>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</si>
  <si>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</si>
  <si>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</si>
  <si>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</si>
  <si>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</si>
  <si>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</si>
  <si>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</si>
  <si>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</si>
  <si>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</si>
  <si>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</si>
  <si>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</si>
  <si>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</si>
  <si>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</si>
  <si>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</si>
  <si>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</si>
  <si>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</si>
  <si>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</si>
  <si>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</si>
  <si>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</si>
  <si>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</si>
  <si>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</si>
  <si>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</si>
  <si>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</si>
  <si>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</si>
  <si>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</si>
  <si>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</si>
  <si>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</si>
  <si>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</si>
  <si>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</si>
  <si>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</si>
  <si>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</si>
  <si>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</si>
  <si>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</si>
  <si>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</si>
  <si>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</si>
  <si>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</si>
  <si>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</si>
  <si>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</si>
  <si>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</si>
  <si>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</si>
  <si>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</si>
  <si>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</si>
  <si>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</si>
  <si>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</si>
  <si>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</si>
  <si>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</si>
  <si>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</si>
  <si>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</si>
  <si>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</si>
  <si>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</si>
  <si>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</si>
  <si>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</si>
  <si>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</si>
  <si>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</si>
  <si>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</si>
  <si>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</si>
  <si>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</si>
  <si>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</si>
  <si>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</si>
  <si>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</si>
  <si>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</si>
  <si>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</si>
  <si>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</si>
  <si>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</si>
  <si>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</si>
  <si>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</si>
  <si>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</si>
  <si>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</si>
  <si>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</si>
  <si>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</si>
  <si>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</si>
  <si>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</si>
  <si>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</si>
  <si>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</si>
  <si>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</si>
  <si>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</si>
  <si>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</si>
  <si>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</si>
  <si>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</si>
  <si>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</si>
  <si>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</si>
  <si>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</si>
  <si>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</si>
  <si>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</si>
  <si>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</si>
  <si>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</si>
  <si>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</si>
  <si>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</si>
  <si>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</si>
  <si>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</si>
  <si>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</si>
  <si>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</si>
  <si>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</si>
  <si>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</si>
  <si>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</si>
  <si>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</si>
  <si>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</si>
  <si>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</si>
  <si>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</si>
  <si>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</si>
  <si>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</si>
  <si>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</si>
  <si>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</si>
  <si>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</si>
  <si>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</si>
  <si>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</si>
  <si>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</si>
  <si>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</si>
  <si>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</si>
  <si>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</si>
  <si>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</si>
  <si>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</si>
  <si>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</si>
  <si>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</si>
  <si>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</si>
  <si>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</si>
  <si>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</si>
  <si>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</si>
  <si>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</si>
  <si>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</si>
  <si>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</si>
  <si>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</si>
  <si>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</si>
  <si>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</si>
  <si>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</si>
  <si>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</si>
  <si>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</si>
  <si>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</si>
  <si>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</si>
  <si>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</si>
  <si>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</si>
  <si>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</si>
  <si>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</si>
  <si>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</si>
  <si>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</si>
  <si>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</si>
  <si>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</si>
  <si>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</si>
  <si>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</si>
  <si>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</si>
  <si>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</si>
  <si>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</si>
  <si>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</si>
  <si>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</si>
  <si>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</si>
  <si>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</si>
  <si>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</si>
  <si>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</si>
  <si>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</si>
  <si>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</si>
  <si>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</si>
  <si>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</si>
  <si>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</si>
  <si>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</si>
  <si>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</si>
  <si>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</si>
  <si>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</si>
  <si>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</si>
  <si>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</si>
  <si>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</si>
  <si>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</si>
  <si>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</si>
  <si>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</si>
  <si>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</si>
  <si>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</si>
  <si>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</si>
  <si>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</si>
  <si>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</si>
  <si>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</si>
  <si>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</si>
  <si>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</si>
  <si>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</si>
  <si>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</si>
  <si>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</si>
  <si>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</si>
  <si>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</si>
  <si>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</si>
  <si>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</si>
  <si>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</si>
  <si>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</si>
  <si>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</si>
  <si>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</si>
  <si>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</si>
  <si>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</si>
  <si>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</si>
  <si>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</si>
  <si>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</si>
  <si>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</si>
  <si>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</si>
  <si>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</si>
  <si>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</si>
  <si>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</si>
  <si>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</si>
  <si>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</si>
  <si>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</si>
  <si>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</si>
  <si>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</si>
  <si>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</si>
  <si>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</si>
  <si>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</si>
  <si>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</si>
  <si>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</si>
  <si>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</si>
  <si>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</si>
  <si>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</si>
  <si>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</si>
  <si>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</si>
  <si>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</si>
  <si>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</si>
  <si>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</si>
  <si>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</si>
  <si>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</si>
  <si>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</si>
  <si>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</si>
  <si>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</si>
  <si>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</si>
  <si>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</si>
  <si>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</si>
  <si>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</si>
  <si>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</si>
  <si>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</si>
  <si>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</si>
  <si>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</si>
  <si>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</si>
  <si>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</si>
  <si>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</si>
  <si>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</si>
  <si>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</si>
  <si>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</si>
  <si>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</si>
  <si>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</si>
  <si>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</si>
  <si>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</si>
  <si>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</si>
  <si>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</si>
  <si>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</si>
  <si>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</si>
  <si>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</si>
  <si>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</si>
  <si>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</si>
  <si>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</si>
  <si>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</si>
  <si>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</si>
  <si>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</si>
  <si>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</si>
  <si>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</si>
  <si>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</si>
  <si>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</si>
  <si>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</si>
  <si>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</si>
  <si>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</si>
  <si>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</si>
  <si>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</si>
  <si>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</si>
  <si>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</si>
  <si>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</si>
  <si>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</si>
  <si>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</si>
  <si>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</si>
  <si>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</si>
  <si>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</si>
  <si>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</si>
  <si>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</si>
  <si>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</si>
  <si>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</si>
  <si>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</si>
  <si>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</si>
  <si>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</si>
  <si>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</si>
  <si>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</si>
  <si>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</si>
  <si>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</si>
  <si>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</si>
  <si>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</si>
  <si>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</si>
  <si>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</si>
  <si>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</si>
  <si>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</si>
  <si>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</si>
  <si>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</si>
  <si>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</si>
  <si>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</si>
  <si>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</si>
  <si>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</si>
  <si>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</si>
  <si>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</si>
  <si>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</si>
  <si>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</si>
  <si>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</si>
  <si>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</si>
  <si>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</si>
  <si>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</si>
  <si>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</si>
  <si>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</si>
  <si>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</si>
  <si>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</si>
  <si>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</si>
  <si>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</si>
  <si>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</si>
  <si>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</si>
  <si>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</si>
  <si>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</si>
  <si>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</si>
  <si>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</si>
  <si>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</si>
  <si>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</si>
  <si>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</si>
  <si>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</si>
  <si>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</si>
  <si>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</si>
  <si>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</si>
  <si>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</si>
  <si>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</si>
  <si>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</si>
  <si>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</si>
  <si>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</si>
  <si>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</si>
  <si>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</si>
  <si>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</si>
  <si>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</si>
  <si>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</si>
  <si>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</si>
  <si>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</si>
  <si>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</si>
  <si>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</si>
  <si>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</si>
  <si>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</si>
  <si>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</si>
  <si>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</si>
  <si>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</si>
  <si>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</si>
  <si>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</si>
  <si>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</si>
  <si>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</si>
  <si>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</si>
  <si>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</si>
  <si>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</si>
  <si>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</si>
  <si>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</si>
  <si>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</si>
  <si>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</si>
  <si>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</si>
  <si>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</si>
  <si>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</si>
  <si>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</si>
  <si>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</si>
  <si>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</si>
  <si>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</si>
  <si>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</si>
  <si>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</si>
  <si>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</si>
  <si>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</si>
  <si>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</si>
  <si>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</si>
  <si>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</si>
  <si>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</si>
  <si>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</si>
  <si>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</si>
  <si>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</si>
  <si>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</si>
  <si>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</si>
  <si>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</si>
  <si>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</si>
  <si>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</si>
  <si>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</si>
  <si>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</si>
  <si>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</si>
  <si>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</si>
  <si>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</si>
  <si>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</si>
  <si>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</si>
  <si>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</si>
  <si>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</si>
  <si>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</si>
  <si>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</si>
  <si>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</si>
  <si>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</si>
  <si>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</si>
  <si>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</si>
  <si>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</si>
  <si>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</si>
  <si>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</si>
  <si>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</si>
  <si>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</si>
  <si>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</si>
  <si>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</si>
  <si>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</si>
  <si>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</si>
  <si>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</si>
  <si>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</si>
  <si>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</si>
  <si>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</si>
  <si>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</si>
  <si>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</si>
  <si>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</si>
  <si>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</si>
  <si>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</si>
  <si>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</si>
  <si>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</si>
  <si>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</si>
  <si>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</si>
  <si>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</si>
  <si>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</si>
  <si>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</si>
  <si>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</si>
  <si>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</si>
  <si>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</si>
  <si>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</si>
  <si>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</si>
  <si>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</si>
  <si>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</si>
  <si>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</si>
  <si>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</si>
  <si>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</si>
  <si>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</si>
  <si>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</si>
  <si>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</si>
  <si>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</si>
  <si>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</si>
  <si>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</si>
  <si>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</si>
  <si>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</si>
  <si>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</si>
  <si>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</si>
  <si>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</si>
  <si>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</si>
  <si>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</si>
  <si>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</si>
  <si>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</si>
  <si>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</si>
  <si>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</si>
  <si>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</si>
  <si>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</si>
  <si>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</si>
  <si>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</si>
  <si>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</si>
  <si>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</si>
  <si>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</si>
  <si>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</si>
  <si>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</si>
  <si>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</si>
  <si>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</si>
  <si>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</si>
  <si>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</si>
  <si>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</si>
  <si>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</si>
  <si>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</si>
  <si>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</si>
  <si>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</si>
  <si>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</si>
  <si>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</si>
  <si>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</si>
  <si>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</si>
  <si>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</si>
  <si>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</si>
  <si>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</si>
  <si>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</si>
  <si>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</si>
  <si>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</si>
  <si>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</si>
  <si>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</si>
  <si>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</si>
  <si>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</si>
  <si>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</si>
  <si>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</si>
  <si>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</si>
  <si>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</si>
  <si>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</si>
  <si>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</si>
  <si>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</si>
  <si>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</si>
  <si>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</si>
  <si>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</si>
  <si>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</si>
  <si>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</si>
  <si>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</si>
  <si>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</si>
  <si>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</si>
  <si>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</si>
  <si>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</si>
  <si>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</si>
  <si>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</si>
  <si>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</si>
  <si>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</si>
  <si>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</si>
  <si>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</si>
  <si>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</si>
  <si>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</si>
  <si>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</si>
  <si>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</si>
  <si>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</si>
  <si>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</si>
  <si>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</si>
  <si>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</si>
  <si>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</si>
  <si>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</si>
  <si>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</si>
  <si>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</si>
  <si>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</si>
  <si>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</si>
  <si>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</si>
  <si>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</si>
  <si>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</si>
  <si>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</si>
  <si>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</si>
  <si>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</si>
  <si>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</si>
  <si>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</si>
  <si>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</si>
  <si>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</si>
  <si>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</si>
  <si>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</si>
  <si>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</si>
  <si>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</si>
  <si>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</si>
  <si>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</si>
  <si>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</si>
  <si>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</si>
  <si>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</si>
  <si>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</si>
  <si>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</si>
  <si>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</si>
  <si>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</si>
  <si>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</si>
  <si>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</si>
  <si>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</si>
  <si>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</si>
  <si>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</si>
  <si>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</si>
  <si>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</si>
  <si>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</si>
  <si>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</si>
  <si>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</si>
  <si>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</si>
  <si>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</si>
  <si>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</si>
  <si>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</si>
  <si>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</si>
  <si>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</si>
  <si>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</si>
  <si>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</si>
  <si>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</si>
  <si>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</si>
  <si>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</si>
  <si>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</si>
  <si>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</si>
  <si>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</si>
  <si>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</si>
  <si>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</si>
  <si>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</si>
  <si>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</si>
  <si>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</si>
  <si>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</si>
  <si>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</si>
  <si>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</si>
  <si>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</si>
  <si>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</si>
  <si>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</si>
  <si>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</si>
  <si>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</si>
  <si>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</si>
  <si>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</si>
  <si>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</si>
  <si>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</si>
  <si>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</si>
  <si>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</si>
  <si>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</si>
  <si>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</si>
  <si>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</si>
  <si>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</si>
  <si>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</si>
  <si>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</si>
  <si>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</si>
  <si>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</si>
  <si>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</si>
  <si>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</si>
  <si>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</si>
  <si>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</si>
  <si>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</si>
  <si>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</si>
  <si>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</si>
  <si>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</si>
  <si>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</si>
  <si>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</si>
  <si>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</si>
  <si>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</si>
  <si>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</si>
  <si>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</si>
  <si>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</si>
  <si>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</si>
  <si>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</si>
  <si>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</si>
  <si>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</si>
  <si>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</si>
  <si>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</si>
  <si>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</si>
  <si>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</si>
  <si>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</si>
  <si>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</si>
  <si>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</si>
  <si>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</si>
  <si>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</si>
  <si>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</si>
  <si>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</si>
  <si>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</si>
  <si>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</si>
  <si>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</si>
  <si>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</si>
  <si>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</si>
  <si>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</si>
  <si>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</si>
  <si>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</si>
  <si>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</si>
  <si>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</si>
  <si>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</si>
  <si>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</si>
  <si>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</si>
  <si>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</si>
  <si>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</si>
  <si>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</si>
  <si>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</si>
  <si>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</si>
  <si>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</si>
  <si>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</si>
  <si>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</si>
  <si>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</si>
  <si>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</si>
  <si>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</si>
  <si>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</si>
  <si>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</si>
  <si>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</si>
  <si>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</si>
  <si>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</si>
  <si>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</si>
  <si>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</si>
  <si>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</si>
  <si>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</si>
  <si>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</si>
  <si>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</si>
  <si>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</si>
  <si>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</si>
  <si>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</si>
  <si>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</si>
  <si>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</si>
  <si>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</si>
  <si>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</si>
  <si>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</si>
  <si>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</si>
  <si>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</si>
  <si>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</si>
  <si>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</si>
  <si>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</si>
  <si>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</si>
  <si>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</si>
  <si>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</si>
  <si>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</si>
  <si>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</si>
  <si>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</si>
  <si>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</si>
  <si>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</si>
  <si>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</si>
  <si>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</si>
  <si>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</si>
  <si>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</si>
  <si>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</si>
  <si>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</si>
  <si>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</si>
  <si>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</si>
  <si>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</si>
  <si>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</si>
  <si>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</si>
  <si>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</si>
  <si>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</si>
  <si>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</si>
  <si>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</si>
  <si>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</si>
  <si>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</si>
  <si>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</si>
  <si>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</si>
  <si>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</si>
  <si>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</si>
  <si>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</si>
  <si>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</si>
  <si>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</si>
  <si>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</si>
  <si>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</si>
  <si>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</si>
  <si>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</si>
  <si>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</si>
  <si>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</si>
  <si>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</si>
  <si>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</si>
  <si>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</si>
  <si>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</si>
  <si>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</si>
  <si>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</si>
  <si>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</si>
  <si>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</si>
  <si>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</si>
  <si>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</si>
  <si>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</si>
  <si>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</si>
  <si>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</si>
  <si>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</si>
  <si>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</si>
  <si>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</si>
  <si>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</si>
  <si>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</si>
  <si>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</si>
  <si>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</si>
  <si>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</si>
  <si>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</si>
  <si>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</si>
  <si>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</si>
  <si>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</si>
  <si>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</si>
  <si>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</si>
  <si>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</si>
  <si>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</si>
  <si>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</si>
  <si>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</si>
  <si>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</si>
  <si>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</si>
  <si>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</si>
  <si>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</si>
  <si>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</si>
  <si>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</si>
  <si>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</si>
  <si>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</si>
  <si>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</si>
  <si>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</si>
  <si>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</si>
  <si>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</si>
  <si>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</si>
  <si>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</si>
  <si>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</si>
  <si>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</si>
  <si>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</si>
  <si>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</si>
  <si>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</si>
  <si>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</si>
  <si>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</si>
  <si>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</si>
  <si>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</si>
  <si>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</si>
  <si>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</si>
  <si>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</si>
  <si>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</si>
  <si>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</si>
  <si>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</si>
  <si>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</si>
  <si>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</si>
  <si>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</si>
  <si>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</si>
  <si>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</si>
  <si>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</si>
  <si>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</si>
  <si>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</si>
  <si>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</si>
  <si>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</si>
  <si>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</si>
  <si>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</si>
  <si>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</si>
  <si>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</si>
  <si>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</si>
  <si>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</si>
  <si>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</si>
  <si>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</si>
  <si>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</si>
  <si>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</si>
  <si>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</si>
  <si>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</si>
  <si>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</si>
  <si>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</si>
  <si>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</si>
  <si>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</si>
  <si>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</si>
  <si>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</si>
  <si>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</si>
  <si>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</si>
  <si>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</si>
  <si>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</si>
  <si>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</si>
  <si>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</si>
  <si>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</si>
  <si>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</si>
  <si>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</si>
  <si>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</si>
  <si>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</si>
  <si>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</si>
  <si>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</si>
  <si>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</si>
  <si>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</si>
  <si>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</si>
  <si>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</si>
  <si>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</si>
  <si>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</si>
  <si>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</si>
  <si>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</si>
  <si>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</si>
  <si>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</si>
  <si>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</si>
  <si>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</si>
  <si>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</si>
  <si>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</si>
  <si>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</si>
  <si>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</si>
  <si>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</si>
  <si>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</si>
  <si>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</si>
  <si>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</si>
  <si>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</si>
  <si>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</si>
  <si>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</si>
  <si>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</si>
  <si>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</si>
  <si>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</si>
  <si>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</si>
  <si>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</si>
  <si>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</si>
  <si>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</si>
  <si>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</si>
  <si>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</si>
  <si>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</si>
  <si>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</si>
  <si>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</si>
  <si>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</si>
  <si>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</si>
  <si>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</si>
  <si>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</si>
  <si>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</si>
  <si>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</si>
  <si>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</si>
  <si>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</si>
  <si>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</si>
  <si>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</si>
  <si>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</si>
  <si>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</si>
  <si>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</si>
  <si>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</si>
  <si>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</si>
  <si>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</si>
  <si>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</si>
  <si>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</si>
  <si>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</si>
  <si>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</si>
  <si>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</si>
  <si>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</si>
  <si>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</si>
  <si>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</si>
  <si>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</si>
  <si>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</si>
  <si>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</si>
  <si>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</si>
  <si>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</si>
  <si>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</si>
  <si>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</si>
  <si>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</si>
  <si>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</si>
  <si>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</si>
  <si>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</si>
  <si>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</si>
  <si>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</si>
  <si>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</si>
  <si>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</si>
  <si>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</si>
  <si>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</si>
  <si>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</si>
  <si>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</si>
  <si>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</si>
  <si>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</si>
  <si>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</si>
  <si>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</si>
  <si>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</si>
  <si>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</si>
  <si>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</si>
  <si>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</si>
  <si>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</si>
  <si>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</si>
  <si>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</si>
  <si>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</si>
  <si>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</si>
  <si>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</si>
  <si>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</si>
  <si>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</si>
  <si>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</si>
  <si>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</si>
  <si>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</si>
  <si>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</si>
  <si>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</si>
  <si>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</si>
  <si>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</si>
  <si>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</si>
  <si>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</si>
  <si>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</si>
  <si>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</si>
  <si>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</si>
  <si>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</si>
  <si>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</si>
  <si>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</si>
  <si>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</si>
  <si>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</si>
  <si>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</si>
  <si>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</si>
  <si>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</si>
  <si>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</si>
  <si>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</si>
  <si>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</si>
  <si>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</si>
  <si>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</si>
  <si>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</si>
  <si>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</si>
  <si>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</si>
  <si>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</si>
  <si>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</si>
  <si>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</si>
  <si>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</si>
  <si>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</si>
  <si>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</si>
  <si>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</si>
  <si>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</si>
  <si>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</si>
  <si>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</si>
  <si>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</si>
  <si>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</si>
  <si>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</si>
  <si>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</si>
  <si>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</si>
  <si>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</si>
  <si>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</si>
  <si>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</si>
  <si>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</si>
  <si>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</si>
  <si>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</si>
  <si>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</si>
  <si>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</si>
  <si>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</si>
  <si>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</si>
  <si>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</si>
  <si>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</si>
  <si>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</si>
  <si>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</si>
  <si>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</si>
  <si>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</si>
  <si>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</si>
  <si>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</si>
  <si>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</si>
  <si>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</si>
  <si>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</si>
  <si>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</si>
  <si>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</si>
  <si>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</si>
  <si>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</si>
  <si>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</si>
  <si>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</si>
  <si>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</si>
  <si>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</si>
  <si>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</si>
  <si>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</si>
  <si>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</si>
  <si>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</si>
  <si>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</si>
  <si>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</si>
  <si>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</si>
  <si>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</si>
  <si>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</si>
  <si>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</si>
  <si>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</si>
  <si>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</si>
  <si>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</si>
  <si>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</si>
  <si>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</si>
  <si>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</si>
  <si>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</si>
  <si>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</si>
  <si>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</si>
  <si>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</si>
  <si>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</si>
  <si>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</si>
  <si>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</si>
  <si>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</si>
  <si>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</si>
  <si>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</si>
  <si>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</si>
  <si>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</si>
  <si>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</si>
  <si>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</si>
  <si>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</si>
  <si>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</si>
  <si>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</si>
  <si>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</si>
  <si>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</si>
  <si>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</si>
  <si>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</si>
  <si>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</si>
  <si>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</si>
  <si>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</si>
  <si>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</si>
  <si>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</si>
  <si>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</si>
  <si>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</si>
  <si>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</si>
  <si>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</si>
  <si>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</si>
  <si>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</si>
  <si>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</si>
  <si>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</si>
  <si>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</si>
  <si>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</si>
  <si>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</si>
  <si>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</si>
  <si>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</si>
  <si>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</si>
  <si>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</si>
  <si>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</si>
  <si>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</si>
  <si>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</si>
  <si>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</si>
  <si>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</si>
  <si>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</si>
  <si>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</si>
  <si>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</si>
  <si>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</si>
  <si>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</si>
  <si>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</si>
  <si>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</si>
  <si>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</si>
  <si>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</si>
  <si>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</si>
  <si>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</si>
  <si>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</si>
  <si>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</si>
  <si>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</si>
  <si>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</si>
  <si>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</si>
  <si>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</si>
  <si>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</si>
  <si>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</si>
  <si>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</si>
  <si>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</si>
  <si>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</si>
  <si>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</si>
  <si>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</si>
  <si>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</si>
  <si>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</si>
  <si>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</si>
  <si>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</si>
  <si>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</si>
  <si>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</si>
  <si>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</si>
  <si>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</si>
  <si>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</si>
  <si>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</si>
  <si>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</si>
  <si>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</si>
  <si>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</si>
  <si>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</si>
  <si>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</si>
  <si>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</si>
  <si>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</si>
  <si>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</si>
  <si>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</si>
  <si>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</si>
  <si>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</si>
  <si>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</si>
  <si>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</si>
  <si>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</si>
  <si>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</si>
  <si>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</si>
  <si>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</si>
  <si>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</si>
  <si>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</si>
  <si>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</si>
  <si>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</si>
  <si>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</si>
  <si>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</si>
  <si>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</si>
  <si>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</si>
  <si>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</si>
  <si>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</si>
  <si>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</si>
  <si>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</si>
  <si>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</si>
  <si>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</si>
  <si>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</si>
  <si>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</si>
  <si>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</si>
  <si>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</si>
  <si>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</si>
  <si>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</si>
  <si>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</si>
  <si>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</si>
  <si>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</si>
  <si>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</si>
  <si>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</si>
  <si>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</si>
  <si>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</si>
  <si>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</si>
  <si>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</si>
  <si>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</si>
  <si>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</si>
  <si>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</si>
  <si>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</si>
  <si>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</si>
  <si>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</si>
  <si>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</si>
  <si>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</si>
  <si>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</si>
  <si>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</si>
  <si>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</si>
  <si>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</si>
  <si>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</si>
  <si>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</si>
  <si>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</si>
  <si>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</si>
  <si>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</si>
  <si>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</si>
  <si>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</si>
  <si>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</si>
  <si>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</si>
  <si>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</si>
  <si>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</si>
  <si>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</si>
  <si>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</si>
  <si>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</si>
  <si>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</si>
  <si>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</si>
  <si>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</si>
  <si>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</si>
  <si>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</si>
  <si>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</si>
  <si>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</si>
  <si>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</si>
  <si>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</si>
  <si>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</si>
  <si>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</si>
  <si>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</si>
  <si>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</si>
  <si>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</si>
  <si>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</si>
  <si>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</si>
  <si>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</si>
  <si>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</si>
  <si>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</si>
  <si>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</si>
  <si>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</si>
  <si>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</si>
  <si>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</si>
  <si>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</si>
  <si>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</si>
  <si>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</si>
  <si>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</si>
  <si>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</si>
  <si>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</si>
  <si>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</si>
  <si>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</si>
  <si>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</si>
  <si>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</si>
  <si>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</si>
  <si>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</si>
  <si>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</si>
  <si>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</si>
  <si>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</si>
  <si>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</si>
  <si>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</si>
  <si>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</si>
  <si>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</si>
  <si>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</si>
  <si>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</si>
  <si>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</si>
  <si>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</si>
  <si>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</si>
  <si>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</si>
  <si>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</si>
  <si>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</si>
  <si>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</si>
  <si>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</si>
  <si>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</si>
  <si>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</si>
  <si>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</si>
  <si>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</si>
  <si>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</si>
  <si>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</si>
  <si>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</si>
  <si>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</si>
  <si>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</si>
  <si>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</si>
  <si>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</si>
  <si>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</si>
  <si>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</si>
  <si>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</si>
  <si>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</si>
  <si>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</si>
  <si>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</si>
  <si>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</si>
  <si>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</si>
  <si>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</si>
  <si>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</si>
  <si>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</si>
  <si>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</si>
  <si>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</si>
  <si>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</si>
  <si>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</si>
  <si>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</si>
  <si>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</si>
  <si>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</si>
  <si>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</si>
  <si>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</si>
  <si>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</si>
  <si>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</si>
  <si>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</si>
  <si>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</si>
  <si>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</si>
  <si>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</si>
  <si>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</si>
  <si>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</si>
  <si>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</si>
  <si>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</si>
  <si>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</si>
  <si>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</si>
  <si>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</si>
  <si>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</si>
  <si>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</si>
  <si>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</si>
  <si>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</si>
  <si>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</si>
  <si>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</si>
  <si>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</si>
  <si>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</si>
  <si>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</si>
  <si>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</si>
  <si>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</si>
  <si>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</si>
  <si>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</si>
  <si>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</si>
  <si>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</si>
  <si>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</si>
  <si>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</si>
  <si>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</si>
  <si>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</si>
  <si>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</si>
  <si>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</si>
  <si>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</si>
  <si>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</si>
  <si>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</si>
  <si>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</si>
  <si>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</si>
  <si>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</si>
  <si>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</si>
  <si>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</si>
  <si>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</si>
  <si>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</si>
  <si>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</si>
  <si>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</si>
  <si>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</si>
  <si>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</si>
  <si>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</si>
  <si>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</si>
  <si>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</si>
  <si>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</si>
  <si>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</si>
  <si>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</si>
  <si>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</si>
  <si>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</si>
  <si>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</si>
  <si>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</si>
  <si>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</si>
  <si>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</si>
  <si>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</si>
  <si>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</si>
  <si>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</si>
  <si>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</si>
  <si>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</si>
  <si>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</si>
  <si>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</si>
  <si>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</si>
  <si>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</si>
  <si>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</si>
  <si>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</si>
  <si>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</si>
  <si>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</si>
  <si>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</si>
  <si>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</si>
  <si>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</si>
  <si>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</si>
  <si>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</si>
  <si>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</si>
  <si>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</si>
  <si>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</si>
  <si>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</si>
  <si>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</si>
  <si>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</si>
  <si>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</si>
  <si>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</si>
  <si>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</si>
  <si>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</si>
  <si>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</si>
  <si>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</si>
  <si>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</si>
  <si>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</si>
  <si>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</si>
  <si>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</si>
  <si>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</si>
  <si>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</si>
  <si>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</si>
  <si>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</si>
  <si>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</si>
  <si>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</si>
  <si>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</si>
  <si>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</si>
  <si>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</si>
  <si>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</si>
  <si>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</si>
  <si>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</si>
  <si>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</si>
  <si>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</si>
  <si>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</si>
  <si>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</si>
  <si>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</si>
  <si>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</si>
  <si>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</si>
  <si>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</si>
  <si>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</si>
  <si>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</si>
  <si>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</si>
  <si>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</si>
  <si>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</si>
  <si>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</si>
  <si>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</si>
  <si>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</si>
  <si>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</si>
  <si>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</si>
  <si>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</si>
  <si>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</si>
  <si>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</si>
  <si>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</si>
  <si>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</si>
  <si>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</si>
  <si>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</si>
  <si>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</si>
  <si>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</si>
  <si>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</si>
  <si>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</si>
  <si>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</si>
  <si>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</si>
  <si>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</si>
  <si>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</si>
  <si>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</si>
  <si>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</si>
  <si>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</si>
  <si>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</si>
  <si>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</si>
  <si>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</si>
  <si>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</si>
  <si>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</si>
  <si>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</si>
  <si>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</si>
  <si>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</si>
  <si>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</si>
  <si>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</si>
  <si>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</si>
  <si>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</si>
  <si>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</si>
  <si>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</si>
  <si>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</si>
  <si>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</si>
  <si>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</si>
  <si>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</si>
  <si>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</si>
  <si>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</si>
  <si>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</si>
  <si>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</si>
  <si>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</si>
  <si>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</si>
  <si>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</si>
  <si>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</si>
  <si>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</si>
  <si>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</si>
  <si>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</si>
  <si>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</si>
  <si>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</si>
  <si>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</si>
  <si>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</si>
  <si>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</si>
  <si>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</si>
  <si>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</si>
  <si>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</si>
  <si>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</si>
  <si>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</si>
  <si>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</si>
  <si>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</si>
  <si>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</si>
  <si>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</si>
  <si>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</si>
  <si>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</si>
  <si>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</si>
  <si>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</si>
  <si>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</si>
  <si>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</si>
  <si>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</si>
  <si>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</si>
  <si>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</si>
  <si>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</si>
  <si>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</si>
  <si>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</si>
  <si>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</si>
  <si>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</si>
  <si>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</si>
  <si>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</si>
  <si>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</si>
  <si>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</si>
  <si>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</si>
  <si>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</si>
  <si>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</si>
  <si>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</si>
  <si>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</si>
  <si>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</si>
  <si>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</si>
  <si>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</si>
  <si>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</si>
  <si>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</si>
  <si>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</si>
  <si>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</si>
  <si>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</si>
  <si>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</si>
  <si>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</si>
  <si>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</si>
  <si>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</si>
  <si>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A1SA1</t>
  </si>
  <si>
    <t>Número máximo de Subarranjos</t>
  </si>
  <si>
    <t>MaxSubarrays</t>
  </si>
  <si>
    <t>Arrays</t>
  </si>
  <si>
    <t>A5</t>
  </si>
  <si>
    <t>M1A5</t>
  </si>
  <si>
    <t>M2A5</t>
  </si>
  <si>
    <t>M3A5</t>
  </si>
  <si>
    <t>Meu Projeto</t>
  </si>
  <si>
    <t>C:\Users\crist\Desktop</t>
  </si>
  <si>
    <t>C:\Program Files\Python311\python.exe</t>
  </si>
  <si>
    <t>[['Curiúva', 'Altamira do Paraná', 'Alto Paraíso', 'Alto Paraná', 'Arapongas', 'Arapoti']]</t>
  </si>
  <si>
    <t>Sumário</t>
  </si>
  <si>
    <t>['Curiúva', 'Altamira do Paraná', 'Alto Paraíso', 'Alto Paraná', 'Arapongas', 'Arapoti']</t>
  </si>
  <si>
    <t>Alto Paraná'</t>
  </si>
  <si>
    <t>Alto Paraíso'</t>
  </si>
  <si>
    <t>Arapongas'</t>
  </si>
  <si>
    <t>A2</t>
  </si>
  <si>
    <t>A2SA1</t>
  </si>
  <si>
    <t>[['Curiúva', 'Alto Paraíso', 'Alto Paraná', 'Arapongas', 'Arapoti'], ['Altamira do Paraná']]</t>
  </si>
  <si>
    <t>A3SA1</t>
  </si>
  <si>
    <t>['Curiúva', 'Alto Paraíso', 'Alto Paraná', 'Arapongas', 'Arapoti']</t>
  </si>
  <si>
    <t>Curiúva'</t>
  </si>
  <si>
    <t>A3SA2</t>
  </si>
  <si>
    <t>['Altamira do Paraná']</t>
  </si>
  <si>
    <t>Altamira do Paraná'</t>
  </si>
  <si>
    <t>[['Curiúva', 'Arapongas', 'Arapoti'], ['Altamira do Paraná', 'Alto Paraíso', 'Alto Paraná']]</t>
  </si>
  <si>
    <t>A4SA1</t>
  </si>
  <si>
    <t>['Curiúva', 'Arapongas', 'Arapoti']</t>
  </si>
  <si>
    <t>A4SA2</t>
  </si>
  <si>
    <t>['Altamira do Paraná', 'Alto Paraíso', 'Alto Paraná']</t>
  </si>
  <si>
    <t>[['Curiúva', 'Altamira do Paraná', 'Alto Paraíso'], ['Alto Paraná', 'Arapongas', 'Arapoti']]</t>
  </si>
  <si>
    <t>A5SA1</t>
  </si>
  <si>
    <t>['Curiúva', 'Altamira do Paraná', 'Alto Paraíso']</t>
  </si>
  <si>
    <t>A5SA2</t>
  </si>
  <si>
    <t>['Alto Paraná', 'Arapongas', 'Arapoti']</t>
  </si>
  <si>
    <t>A6</t>
  </si>
  <si>
    <t>[['Curiúva', 'Altamira do Paraná', 'Alto Paraíso', 'Arapongas', 'Arapoti'], ['Alto Paraná']]</t>
  </si>
  <si>
    <t>A6SA1</t>
  </si>
  <si>
    <t>['Curiúva', 'Altamira do Paraná', 'Alto Paraíso', 'Arapongas', 'Arapoti']</t>
  </si>
  <si>
    <t>A6SA2</t>
  </si>
  <si>
    <t>['Alto Paraná']</t>
  </si>
  <si>
    <t>A7</t>
  </si>
  <si>
    <t>[['Curiúva'], ['Altamira do Paraná', 'Alto Paraíso', 'Alto Paraná', 'Arapongas', 'Arapoti']]</t>
  </si>
  <si>
    <t>A7SA1</t>
  </si>
  <si>
    <t>['Curiúva']</t>
  </si>
  <si>
    <t>A7SA2</t>
  </si>
  <si>
    <t>['Altamira do Paraná', 'Alto Paraíso', 'Alto Paraná', 'Arapongas', 'Arapoti']</t>
  </si>
  <si>
    <t>A8</t>
  </si>
  <si>
    <t>[['Curiúva', 'Alto Paraíso'], ['Altamira do Paraná', 'Alto Paraná', 'Arapongas', 'Arapoti']]</t>
  </si>
  <si>
    <t>A8SA1</t>
  </si>
  <si>
    <t>['Curiúva', 'Alto Paraíso']</t>
  </si>
  <si>
    <t>A8SA2</t>
  </si>
  <si>
    <t>['Altamira do Paraná', 'Alto Paraná', 'Arapongas', 'Arapoti']</t>
  </si>
  <si>
    <t>A9</t>
  </si>
  <si>
    <t>[['Curiúva', 'Altamira do Paraná', 'Arapongas', 'Arapoti'], ['Alto Paraíso', 'Alto Paraná']]</t>
  </si>
  <si>
    <t>A9SA1</t>
  </si>
  <si>
    <t>['Curiúva', 'Altamira do Paraná', 'Arapongas', 'Arapoti']</t>
  </si>
  <si>
    <t>A9SA2</t>
  </si>
  <si>
    <t>['Alto Paraíso', 'Alto Paraná']</t>
  </si>
  <si>
    <t>A10</t>
  </si>
  <si>
    <t>[['Curiúva', 'Alto Paraíso', 'Arapongas', 'Arapoti'], ['Altamira do Paraná', 'Alto Paraná']]</t>
  </si>
  <si>
    <t>A10SA1</t>
  </si>
  <si>
    <t>['Curiúva', 'Alto Paraíso', 'Arapongas', 'Arapoti']</t>
  </si>
  <si>
    <t>A10SA2</t>
  </si>
  <si>
    <t>['Altamira do Paraná', 'Alto Paraná']</t>
  </si>
  <si>
    <t>A11</t>
  </si>
  <si>
    <t>[['Curiúva', 'Altamira do Paraná'], ['Alto Paraíso', 'Alto Paraná', 'Arapongas', 'Arapoti']]</t>
  </si>
  <si>
    <t>A11SA1</t>
  </si>
  <si>
    <t>['Curiúva', 'Altamira do Paraná']</t>
  </si>
  <si>
    <t>A11SA2</t>
  </si>
  <si>
    <t>['Alto Paraíso', 'Alto Paraná', 'Arapongas', 'Arapoti']</t>
  </si>
  <si>
    <t>A12</t>
  </si>
  <si>
    <t>[['Curiúva', 'Altamira do Paraná', 'Alto Paraná', 'Arapongas', 'Arapoti'], ['Alto Paraíso']]</t>
  </si>
  <si>
    <t>A12SA1</t>
  </si>
  <si>
    <t>['Curiúva', 'Altamira do Paraná', 'Alto Paraná', 'Arapongas', 'Arapoti']</t>
  </si>
  <si>
    <t>A12SA2</t>
  </si>
  <si>
    <t>['Alto Paraíso']</t>
  </si>
  <si>
    <t>A13</t>
  </si>
  <si>
    <t>[['Curiúva', 'Alto Paraná', 'Arapongas', 'Arapoti'], ['Altamira do Paraná', 'Alto Paraíso']]</t>
  </si>
  <si>
    <t>A13SA1</t>
  </si>
  <si>
    <t>['Curiúva', 'Alto Paraná', 'Arapongas', 'Arapoti']</t>
  </si>
  <si>
    <t>A13SA2</t>
  </si>
  <si>
    <t>['Altamira do Paraná', 'Alto Paraíso']</t>
  </si>
  <si>
    <t>A14</t>
  </si>
  <si>
    <t>[['Curiúva', 'Altamira do Paraná', 'Alto Paraíso', 'Alto Paraná', 'Arapongas'], ['Arapoti']]</t>
  </si>
  <si>
    <t>A14SA1</t>
  </si>
  <si>
    <t>['Curiúva', 'Altamira do Paraná', 'Alto Paraíso', 'Alto Paraná', 'Arapongas']</t>
  </si>
  <si>
    <t>A14SA2</t>
  </si>
  <si>
    <t>['Arapoti']</t>
  </si>
  <si>
    <t>Arapoti'</t>
  </si>
  <si>
    <t>A15</t>
  </si>
  <si>
    <t>[['Curiúva', 'Alto Paraíso', 'Alto Paraná'], ['Altamira do Paraná', 'Arapongas', 'Arapoti']]</t>
  </si>
  <si>
    <t>A15SA1</t>
  </si>
  <si>
    <t>['Curiúva', 'Alto Paraíso', 'Alto Paraná']</t>
  </si>
  <si>
    <t>A15SA2</t>
  </si>
  <si>
    <t>['Altamira do Paraná', 'Arapongas', 'Arapoti']</t>
  </si>
  <si>
    <t>A16</t>
  </si>
  <si>
    <t>[['Curiúva', 'Alto Paraná', 'Arapongas'], ['Altamira do Paraná', 'Alto Paraíso', 'Arapoti']]</t>
  </si>
  <si>
    <t>A16SA1</t>
  </si>
  <si>
    <t>['Curiúva', 'Alto Paraná', 'Arapongas']</t>
  </si>
  <si>
    <t>A16SA2</t>
  </si>
  <si>
    <t>['Altamira do Paraná', 'Alto Paraíso', 'Arapoti']</t>
  </si>
  <si>
    <t>A17</t>
  </si>
  <si>
    <t>[['Curiúva', 'Altamira do Paraná', 'Alto Paraíso', 'Alto Paraná'], ['Arapongas', 'Arapoti']]</t>
  </si>
  <si>
    <t>A17SA1</t>
  </si>
  <si>
    <t>['Curiúva', 'Altamira do Paraná', 'Alto Paraíso', 'Alto Paraná']</t>
  </si>
  <si>
    <t>A17SA2</t>
  </si>
  <si>
    <t>['Arapongas', 'Arapoti']</t>
  </si>
  <si>
    <t>A18</t>
  </si>
  <si>
    <t>[['Curiúva', 'Alto Paraíso', 'Alto Paraná', 'Arapongas'], ['Altamira do Paraná', 'Arapoti']]</t>
  </si>
  <si>
    <t>A18SA1</t>
  </si>
  <si>
    <t>['Curiúva', 'Alto Paraíso', 'Alto Paraná', 'Arapongas']</t>
  </si>
  <si>
    <t>A18SA2</t>
  </si>
  <si>
    <t>['Altamira do Paraná', 'Arapoti']</t>
  </si>
  <si>
    <t>A19</t>
  </si>
  <si>
    <t>[['Curiúva', 'Alto Paraná'], ['Altamira do Paraná', 'Alto Paraíso', 'Arapongas', 'Arapoti']]</t>
  </si>
  <si>
    <t>A19SA1</t>
  </si>
  <si>
    <t>['Curiúva', 'Alto Paraná']</t>
  </si>
  <si>
    <t>A19SA2</t>
  </si>
  <si>
    <t>['Altamira do Paraná', 'Alto Paraíso', 'Arapongas', 'Arapoti']</t>
  </si>
  <si>
    <t>A20</t>
  </si>
  <si>
    <t>[['Curiúva', 'Altamira do Paraná', 'Alto Paraná'], ['Alto Paraíso', 'Arapongas', 'Arapoti']]</t>
  </si>
  <si>
    <t>A20SA1</t>
  </si>
  <si>
    <t>['Curiúva', 'Altamira do Paraná', 'Alto Paraná']</t>
  </si>
  <si>
    <t>A20SA2</t>
  </si>
  <si>
    <t>['Alto Paraíso', 'Arapongas', 'Arapoti']</t>
  </si>
  <si>
    <t>A21</t>
  </si>
  <si>
    <t>[['Curiúva', 'Altamira do Paraná', 'Alto Paraíso', 'Arapongas'], ['Alto Paraná', 'Arapoti']]</t>
  </si>
  <si>
    <t>A21SA1</t>
  </si>
  <si>
    <t>['Curiúva', 'Altamira do Paraná', 'Alto Paraíso', 'Arapongas']</t>
  </si>
  <si>
    <t>A21SA2</t>
  </si>
  <si>
    <t>['Alto Paraná', 'Arapoti']</t>
  </si>
  <si>
    <t>A22</t>
  </si>
  <si>
    <t>[['Curiúva', 'Altamira do Paraná', 'Alto Paraná', 'Arapongas'], ['Alto Paraíso', 'Arapoti']]</t>
  </si>
  <si>
    <t>A22SA1</t>
  </si>
  <si>
    <t>['Curiúva', 'Altamira do Paraná', 'Alto Paraná', 'Arapongas']</t>
  </si>
  <si>
    <t>A22SA2</t>
  </si>
  <si>
    <t>['Alto Paraíso', 'Arapoti']</t>
  </si>
  <si>
    <t>A23</t>
  </si>
  <si>
    <t>[['Curiúva', 'Arapongas'], ['Altamira do Paraná', 'Alto Paraíso', 'Alto Paraná', 'Arapoti']]</t>
  </si>
  <si>
    <t>A23SA1</t>
  </si>
  <si>
    <t>['Curiúva', 'Arapongas']</t>
  </si>
  <si>
    <t>A23SA2</t>
  </si>
  <si>
    <t>['Altamira do Paraná', 'Alto Paraíso', 'Alto Paraná', 'Arapoti']</t>
  </si>
  <si>
    <t>A24</t>
  </si>
  <si>
    <t>[['Curiúva', 'Altamira do Paraná', 'Alto Paraíso', 'Arapoti'], ['Alto Paraná', 'Arapongas']]</t>
  </si>
  <si>
    <t>A24SA1</t>
  </si>
  <si>
    <t>['Curiúva', 'Altamira do Paraná', 'Alto Paraíso', 'Arapoti']</t>
  </si>
  <si>
    <t>A24SA2</t>
  </si>
  <si>
    <t>['Alto Paraná', 'Arapongas']</t>
  </si>
  <si>
    <t>A25</t>
  </si>
  <si>
    <t>[['Curiúva', 'Arapoti'], ['Altamira do Paraná', 'Alto Paraíso', 'Alto Paraná', 'Arapongas']]</t>
  </si>
  <si>
    <t>A25SA1</t>
  </si>
  <si>
    <t>['Curiúva', 'Arapoti']</t>
  </si>
  <si>
    <t>A25SA2</t>
  </si>
  <si>
    <t>['Altamira do Paraná', 'Alto Paraíso', 'Alto Paraná', 'Arapongas']</t>
  </si>
  <si>
    <t>A26</t>
  </si>
  <si>
    <t>[['Curiúva', 'Alto Paraíso', 'Arapoti'], ['Altamira do Paraná', 'Alto Paraná', 'Arapongas']]</t>
  </si>
  <si>
    <t>A26SA1</t>
  </si>
  <si>
    <t>['Curiúva', 'Alto Paraíso', 'Arapoti']</t>
  </si>
  <si>
    <t>A26SA2</t>
  </si>
  <si>
    <t>['Altamira do Paraná', 'Alto Paraná', 'Arapongas']</t>
  </si>
  <si>
    <t>A27</t>
  </si>
  <si>
    <t>[['Curiúva', 'Altamira do Paraná', 'Arapongas'], ['Alto Paraíso', 'Alto Paraná', 'Arapoti']]</t>
  </si>
  <si>
    <t>A27SA1</t>
  </si>
  <si>
    <t>['Curiúva', 'Altamira do Paraná', 'Arapongas']</t>
  </si>
  <si>
    <t>A27SA2</t>
  </si>
  <si>
    <t>['Alto Paraíso', 'Alto Paraná', 'Arapoti']</t>
  </si>
  <si>
    <t>A28</t>
  </si>
  <si>
    <t>[['Curiúva', 'Alto Paraíso', 'Arapongas'], ['Altamira do Paraná', 'Alto Paraná', 'Arapoti']]</t>
  </si>
  <si>
    <t>A28SA1</t>
  </si>
  <si>
    <t>['Curiúva', 'Alto Paraíso', 'Arapongas']</t>
  </si>
  <si>
    <t>A28SA2</t>
  </si>
  <si>
    <t>['Altamira do Paraná', 'Alto Paraná', 'Arapoti']</t>
  </si>
  <si>
    <t>A29</t>
  </si>
  <si>
    <t>[['Curiúva', 'Altamira do Paraná', 'Arapoti'], ['Alto Paraíso', 'Alto Paraná', 'Arapongas']]</t>
  </si>
  <si>
    <t>A29SA1</t>
  </si>
  <si>
    <t>['Curiúva', 'Altamira do Paraná', 'Arapoti']</t>
  </si>
  <si>
    <t>A29SA2</t>
  </si>
  <si>
    <t>['Alto Paraíso', 'Alto Paraná', 'Arapongas']</t>
  </si>
  <si>
    <t>A30</t>
  </si>
  <si>
    <t>[['Curiúva', 'Altamira do Paraná', 'Alto Paraíso', 'Alto Paraná', 'Arapoti'], ['Arapongas']]</t>
  </si>
  <si>
    <t>A30SA1</t>
  </si>
  <si>
    <t>['Curiúva', 'Altamira do Paraná', 'Alto Paraíso', 'Alto Paraná', 'Arapoti']</t>
  </si>
  <si>
    <t>A30SA2</t>
  </si>
  <si>
    <t>['Arapongas']</t>
  </si>
  <si>
    <t>A31</t>
  </si>
  <si>
    <t>[['Curiúva', 'Alto Paraíso', 'Alto Paraná', 'Arapoti'], ['Altamira do Paraná', 'Arapongas']]</t>
  </si>
  <si>
    <t>A31SA1</t>
  </si>
  <si>
    <t>['Curiúva', 'Alto Paraíso', 'Alto Paraná', 'Arapoti']</t>
  </si>
  <si>
    <t>A31SA2</t>
  </si>
  <si>
    <t>['Altamira do Paraná', 'Arapongas']</t>
  </si>
  <si>
    <t>A32</t>
  </si>
  <si>
    <t>[['Curiúva', 'Altamira do Paraná', 'Alto Paraná', 'Arapoti'], ['Alto Paraíso', 'Arapongas']]</t>
  </si>
  <si>
    <t>A32SA1</t>
  </si>
  <si>
    <t>['Curiúva', 'Altamira do Paraná', 'Alto Paraná', 'Arapoti']</t>
  </si>
  <si>
    <t>A32SA2</t>
  </si>
  <si>
    <t>['Alto Paraíso', 'Arapongas']</t>
  </si>
  <si>
    <t>A33</t>
  </si>
  <si>
    <t>[['Curiúva', 'Alto Paraná', 'Arapoti'], ['Altamira do Paraná', 'Alto Paraíso', 'Arapongas']]</t>
  </si>
  <si>
    <t>A33SA1</t>
  </si>
  <si>
    <t>['Curiúva', 'Alto Paraná', 'Arapoti']</t>
  </si>
  <si>
    <t>A33SA2</t>
  </si>
  <si>
    <t>['Altamira do Paraná', 'Alto Paraíso', 'Arapongas']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</si>
  <si>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</si>
  <si>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</si>
  <si>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</si>
  <si>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</si>
  <si>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</si>
  <si>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</si>
  <si>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</si>
  <si>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</si>
  <si>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</si>
  <si>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</si>
  <si>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</si>
  <si>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</si>
  <si>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</si>
  <si>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</si>
  <si>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</si>
  <si>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</si>
  <si>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</si>
  <si>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</si>
  <si>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</si>
  <si>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</si>
  <si>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</si>
  <si>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</si>
  <si>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</si>
  <si>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</si>
  <si>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</si>
  <si>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</si>
  <si>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</si>
  <si>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</si>
  <si>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</si>
  <si>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</si>
  <si>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</si>
  <si>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</si>
  <si>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</si>
  <si>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</si>
  <si>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</si>
  <si>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</si>
  <si>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</si>
  <si>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</si>
  <si>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</si>
  <si>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</si>
  <si>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</si>
  <si>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</si>
  <si>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</si>
  <si>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</si>
  <si>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</si>
  <si>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</si>
  <si>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</si>
  <si>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</si>
  <si>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</si>
  <si>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</si>
  <si>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</si>
  <si>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</si>
  <si>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</si>
  <si>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</si>
  <si>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</si>
  <si>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</si>
  <si>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</si>
  <si>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</si>
  <si>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</si>
  <si>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</si>
  <si>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</si>
  <si>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</si>
  <si>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</si>
  <si>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</si>
  <si>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</si>
  <si>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</si>
  <si>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</si>
  <si>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</si>
  <si>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</si>
  <si>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</si>
  <si>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</si>
  <si>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</si>
  <si>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</si>
  <si>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</si>
  <si>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</si>
  <si>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</si>
  <si>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</si>
  <si>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</si>
  <si>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</si>
  <si>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</si>
  <si>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</si>
  <si>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</si>
  <si>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</si>
  <si>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</si>
  <si>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</si>
  <si>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</si>
  <si>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</si>
  <si>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</si>
  <si>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</si>
  <si>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</si>
  <si>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</si>
  <si>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</si>
  <si>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</si>
  <si>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</si>
  <si>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</si>
  <si>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</si>
  <si>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</si>
  <si>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</si>
  <si>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</si>
  <si>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</si>
  <si>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</si>
  <si>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</si>
  <si>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</si>
  <si>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</si>
  <si>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</si>
  <si>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</si>
  <si>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</si>
  <si>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</si>
  <si>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</si>
  <si>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</si>
  <si>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</si>
  <si>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</si>
  <si>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</si>
  <si>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</si>
  <si>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</si>
  <si>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</si>
  <si>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</si>
  <si>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</si>
  <si>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</si>
  <si>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</si>
  <si>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</si>
  <si>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</si>
  <si>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</si>
  <si>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</si>
  <si>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</si>
  <si>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</si>
  <si>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</si>
  <si>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</si>
  <si>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</si>
  <si>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</si>
  <si>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</si>
  <si>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M1A5SA1RT1-A</t>
  </si>
  <si>
    <t>M1A5SA1RT1-B</t>
  </si>
  <si>
    <t>M1A5SA1RT1-C</t>
  </si>
  <si>
    <t>M1A5SA1RT2</t>
  </si>
  <si>
    <t>M1A5SA1RT3</t>
  </si>
  <si>
    <t>M1A5SA1RT4</t>
  </si>
  <si>
    <t>M1A5SA1RT5</t>
  </si>
  <si>
    <t>A5SA1(Consolidado)</t>
  </si>
  <si>
    <t>M1A5SA1</t>
  </si>
  <si>
    <t>M1A5SA2RT1-A</t>
  </si>
  <si>
    <t>M1A5SA2RT1-B</t>
  </si>
  <si>
    <t>M1A5SA2RT1-C</t>
  </si>
  <si>
    <t>M1A5SA2RT2</t>
  </si>
  <si>
    <t>M1A5SA2RT3</t>
  </si>
  <si>
    <t>M1A5SA2RT4</t>
  </si>
  <si>
    <t>M1A5SA2RT5</t>
  </si>
  <si>
    <t>A5SA2(Consolidado)</t>
  </si>
  <si>
    <t>M1A5SA2</t>
  </si>
  <si>
    <t>A5(Consolidado)</t>
  </si>
  <si>
    <t>M2A5SA1RT1-A</t>
  </si>
  <si>
    <t>M2A5SA1RT1-B</t>
  </si>
  <si>
    <t>M2A5SA1RT1-C</t>
  </si>
  <si>
    <t>M2A5SA1RT2</t>
  </si>
  <si>
    <t>M2A5SA1RT3</t>
  </si>
  <si>
    <t>M2A5SA1RT4</t>
  </si>
  <si>
    <t>M2A5SA1RT5</t>
  </si>
  <si>
    <t>M2A5SA1</t>
  </si>
  <si>
    <t>M2A5SA2RT1-A</t>
  </si>
  <si>
    <t>M2A5SA2RT1-B</t>
  </si>
  <si>
    <t>M2A5SA2RT1-C</t>
  </si>
  <si>
    <t>M2A5SA2RT2</t>
  </si>
  <si>
    <t>M2A5SA2RT3</t>
  </si>
  <si>
    <t>M2A5SA2RT4</t>
  </si>
  <si>
    <t>M2A5SA2RT5</t>
  </si>
  <si>
    <t>M2A5SA2</t>
  </si>
  <si>
    <t>M3A5SA1RT1-A</t>
  </si>
  <si>
    <t>M3A5SA1RT1-B</t>
  </si>
  <si>
    <t>M3A5SA1RT1-C</t>
  </si>
  <si>
    <t>M3A5SA1RT2</t>
  </si>
  <si>
    <t>M3A5SA1RT3</t>
  </si>
  <si>
    <t>M3A5SA1RT4</t>
  </si>
  <si>
    <t>M3A5SA1RT5</t>
  </si>
  <si>
    <t>M3A5SA1</t>
  </si>
  <si>
    <t>M3A5SA2RT1-A</t>
  </si>
  <si>
    <t>M3A5SA2RT1-B</t>
  </si>
  <si>
    <t>M3A5SA2RT1-C</t>
  </si>
  <si>
    <t>M3A5SA2RT2</t>
  </si>
  <si>
    <t>M3A5SA2RT3</t>
  </si>
  <si>
    <t>M3A5SA2RT4</t>
  </si>
  <si>
    <t>M3A5SA2RT5</t>
  </si>
  <si>
    <t>M3A5SA2</t>
  </si>
  <si>
    <t>Aterro Potencial</t>
  </si>
  <si>
    <t>Essa é minha conclusão sobre o projeto mais bonito do Brasil.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</si>
  <si>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07/04/2023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</si>
</sst>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28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34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0" fontId="35" fillId="11" borderId="0" xfId="0" applyFont="1" applyFill="1" applyAlignment="1">
      <alignment horizontal="center" vertical="center" wrapText="1"/>
    </xf>
    <xf numFmtId="0" fontId="35" fillId="6" borderId="0" xfId="0" applyFont="1" applyFill="1" applyAlignment="1">
      <alignment vertical="center" wrapText="1"/>
    </xf>
    <xf numFmtId="0" fontId="35" fillId="6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3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4A373"/>
      <color rgb="FF2A9D8F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  <c:pt idx="4">
                  <c:v>383.1253517223621</c:v>
                </c:pt>
                <c:pt idx="5">
                  <c:v>506.29267117987803</c:v>
                </c:pt>
                <c:pt idx="6">
                  <c:v>686.60330095819779</c:v>
                </c:pt>
                <c:pt idx="7">
                  <c:v>686.70686670947396</c:v>
                </c:pt>
                <c:pt idx="8">
                  <c:v>359.67053928565883</c:v>
                </c:pt>
                <c:pt idx="9">
                  <c:v>456.81883934023995</c:v>
                </c:pt>
                <c:pt idx="10">
                  <c:v>633.41021931807563</c:v>
                </c:pt>
                <c:pt idx="11">
                  <c:v>633.45225678333759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486.48452963577546</c:v>
                </c:pt>
                <c:pt idx="1">
                  <c:v>610.09192374025884</c:v>
                </c:pt>
                <c:pt idx="2">
                  <c:v>789.96247887161121</c:v>
                </c:pt>
                <c:pt idx="3">
                  <c:v>790.06604462288726</c:v>
                </c:pt>
                <c:pt idx="4">
                  <c:v>486.48452963577546</c:v>
                </c:pt>
                <c:pt idx="5">
                  <c:v>610.09192374025884</c:v>
                </c:pt>
                <c:pt idx="6">
                  <c:v>789.96247887161121</c:v>
                </c:pt>
                <c:pt idx="7">
                  <c:v>790.06604462288726</c:v>
                </c:pt>
                <c:pt idx="8">
                  <c:v>443.67225214907216</c:v>
                </c:pt>
                <c:pt idx="9">
                  <c:v>541.26062685062061</c:v>
                </c:pt>
                <c:pt idx="10">
                  <c:v>717.41193218148885</c:v>
                </c:pt>
                <c:pt idx="11">
                  <c:v>717.45396964675092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84.001712863413388</c:v>
                </c:pt>
                <c:pt idx="1">
                  <c:v>84.441787510380649</c:v>
                </c:pt>
                <c:pt idx="2">
                  <c:v>84.001712863413402</c:v>
                </c:pt>
                <c:pt idx="3">
                  <c:v>84.001712863413346</c:v>
                </c:pt>
                <c:pt idx="4">
                  <c:v>103.35917791341336</c:v>
                </c:pt>
                <c:pt idx="5">
                  <c:v>103.79925256038069</c:v>
                </c:pt>
                <c:pt idx="6">
                  <c:v>103.35917791341338</c:v>
                </c:pt>
                <c:pt idx="7">
                  <c:v>103.35917791341332</c:v>
                </c:pt>
                <c:pt idx="8">
                  <c:v>84.001712863413331</c:v>
                </c:pt>
                <c:pt idx="9">
                  <c:v>84.441787510380649</c:v>
                </c:pt>
                <c:pt idx="10">
                  <c:v>84.001712863413346</c:v>
                </c:pt>
                <c:pt idx="11">
                  <c:v>84.001712863413289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  <c:pt idx="4">
                  <c:v>383.1253517223621</c:v>
                </c:pt>
                <c:pt idx="5">
                  <c:v>506.29267117987803</c:v>
                </c:pt>
                <c:pt idx="6">
                  <c:v>686.60330095819779</c:v>
                </c:pt>
                <c:pt idx="7">
                  <c:v>686.70686670947396</c:v>
                </c:pt>
                <c:pt idx="8">
                  <c:v>359.67053928565883</c:v>
                </c:pt>
                <c:pt idx="9">
                  <c:v>456.81883934023995</c:v>
                </c:pt>
                <c:pt idx="10">
                  <c:v>633.41021931807563</c:v>
                </c:pt>
                <c:pt idx="11">
                  <c:v>633.45225678333759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486.48452963577546</c:v>
                </c:pt>
                <c:pt idx="1">
                  <c:v>610.09192374025884</c:v>
                </c:pt>
                <c:pt idx="2">
                  <c:v>789.96247887161121</c:v>
                </c:pt>
                <c:pt idx="3">
                  <c:v>790.06604462288726</c:v>
                </c:pt>
                <c:pt idx="4">
                  <c:v>486.48452963577546</c:v>
                </c:pt>
                <c:pt idx="5">
                  <c:v>610.09192374025884</c:v>
                </c:pt>
                <c:pt idx="6">
                  <c:v>789.96247887161121</c:v>
                </c:pt>
                <c:pt idx="7">
                  <c:v>790.06604462288726</c:v>
                </c:pt>
                <c:pt idx="8">
                  <c:v>443.67225214907216</c:v>
                </c:pt>
                <c:pt idx="9">
                  <c:v>541.26062685062061</c:v>
                </c:pt>
                <c:pt idx="10">
                  <c:v>717.41193218148885</c:v>
                </c:pt>
                <c:pt idx="11">
                  <c:v>717.45396964675092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84.001712863413388</c:v>
                </c:pt>
                <c:pt idx="1">
                  <c:v>84.441787510380649</c:v>
                </c:pt>
                <c:pt idx="2">
                  <c:v>84.001712863413402</c:v>
                </c:pt>
                <c:pt idx="3">
                  <c:v>84.001712863413346</c:v>
                </c:pt>
                <c:pt idx="4">
                  <c:v>103.35917791341336</c:v>
                </c:pt>
                <c:pt idx="5">
                  <c:v>103.79925256038069</c:v>
                </c:pt>
                <c:pt idx="6">
                  <c:v>103.35917791341338</c:v>
                </c:pt>
                <c:pt idx="7">
                  <c:v>103.35917791341332</c:v>
                </c:pt>
                <c:pt idx="8">
                  <c:v>84.001712863413331</c:v>
                </c:pt>
                <c:pt idx="9">
                  <c:v>84.441787510380649</c:v>
                </c:pt>
                <c:pt idx="10">
                  <c:v>84.001712863413346</c:v>
                </c:pt>
                <c:pt idx="11">
                  <c:v>84.001712863413289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  <c:pt idx="4">
                  <c:v>383.1253517223621</c:v>
                </c:pt>
                <c:pt idx="5">
                  <c:v>506.29267117987803</c:v>
                </c:pt>
                <c:pt idx="6">
                  <c:v>686.60330095819779</c:v>
                </c:pt>
                <c:pt idx="7">
                  <c:v>686.70686670947396</c:v>
                </c:pt>
                <c:pt idx="8">
                  <c:v>359.67053928565883</c:v>
                </c:pt>
                <c:pt idx="9">
                  <c:v>456.81883934023995</c:v>
                </c:pt>
                <c:pt idx="10">
                  <c:v>633.41021931807563</c:v>
                </c:pt>
                <c:pt idx="11">
                  <c:v>633.45225678333759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486.48452963577546</c:v>
                </c:pt>
                <c:pt idx="1">
                  <c:v>610.09192374025884</c:v>
                </c:pt>
                <c:pt idx="2">
                  <c:v>789.96247887161121</c:v>
                </c:pt>
                <c:pt idx="3">
                  <c:v>790.06604462288726</c:v>
                </c:pt>
                <c:pt idx="4">
                  <c:v>486.48452963577546</c:v>
                </c:pt>
                <c:pt idx="5">
                  <c:v>610.09192374025884</c:v>
                </c:pt>
                <c:pt idx="6">
                  <c:v>789.96247887161121</c:v>
                </c:pt>
                <c:pt idx="7">
                  <c:v>790.06604462288726</c:v>
                </c:pt>
                <c:pt idx="8">
                  <c:v>443.67225214907216</c:v>
                </c:pt>
                <c:pt idx="9">
                  <c:v>541.26062685062061</c:v>
                </c:pt>
                <c:pt idx="10">
                  <c:v>717.41193218148885</c:v>
                </c:pt>
                <c:pt idx="11">
                  <c:v>717.45396964675092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0.32547033063182851</c:v>
                </c:pt>
                <c:pt idx="1">
                  <c:v>0.31310410611242551</c:v>
                </c:pt>
                <c:pt idx="2">
                  <c:v>0.19188673533921055</c:v>
                </c:pt>
                <c:pt idx="3">
                  <c:v>0.18978389879843854</c:v>
                </c:pt>
                <c:pt idx="4">
                  <c:v>0.39243991508942616</c:v>
                </c:pt>
                <c:pt idx="5">
                  <c:v>0.3789231782900751</c:v>
                </c:pt>
                <c:pt idx="6">
                  <c:v>0.24477563257507409</c:v>
                </c:pt>
                <c:pt idx="7">
                  <c:v>0.24244344634660048</c:v>
                </c:pt>
                <c:pt idx="8">
                  <c:v>0.34571055132414197</c:v>
                </c:pt>
                <c:pt idx="9">
                  <c:v>0.33162385365546276</c:v>
                </c:pt>
                <c:pt idx="10">
                  <c:v>0.20032435709683197</c:v>
                </c:pt>
                <c:pt idx="11">
                  <c:v>0.19801874507611769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  <c:pt idx="4">
                  <c:v>383.1253517223621</c:v>
                </c:pt>
                <c:pt idx="5">
                  <c:v>506.29267117987803</c:v>
                </c:pt>
                <c:pt idx="6">
                  <c:v>686.60330095819779</c:v>
                </c:pt>
                <c:pt idx="7">
                  <c:v>686.70686670947396</c:v>
                </c:pt>
                <c:pt idx="8">
                  <c:v>359.67053928565883</c:v>
                </c:pt>
                <c:pt idx="9">
                  <c:v>456.81883934023995</c:v>
                </c:pt>
                <c:pt idx="10">
                  <c:v>633.41021931807563</c:v>
                </c:pt>
                <c:pt idx="11">
                  <c:v>633.45225678333759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0.32547033063182851</c:v>
                </c:pt>
                <c:pt idx="1">
                  <c:v>0.31310410611242551</c:v>
                </c:pt>
                <c:pt idx="2">
                  <c:v>0.19188673533921055</c:v>
                </c:pt>
                <c:pt idx="3">
                  <c:v>0.18978389879843854</c:v>
                </c:pt>
                <c:pt idx="4">
                  <c:v>0.39243991508942616</c:v>
                </c:pt>
                <c:pt idx="5">
                  <c:v>0.3789231782900751</c:v>
                </c:pt>
                <c:pt idx="6">
                  <c:v>0.24477563257507409</c:v>
                </c:pt>
                <c:pt idx="7">
                  <c:v>0.24244344634660048</c:v>
                </c:pt>
                <c:pt idx="8">
                  <c:v>0.34571055132414197</c:v>
                </c:pt>
                <c:pt idx="9">
                  <c:v>0.33162385365546276</c:v>
                </c:pt>
                <c:pt idx="10">
                  <c:v>0.20032435709683197</c:v>
                </c:pt>
                <c:pt idx="11">
                  <c:v>0.19801874507611769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189318</c:v>
                </c:pt>
                <c:pt idx="1">
                  <c:v>187889</c:v>
                </c:pt>
                <c:pt idx="2">
                  <c:v>170314</c:v>
                </c:pt>
                <c:pt idx="3">
                  <c:v>19348</c:v>
                </c:pt>
                <c:pt idx="4">
                  <c:v>189318</c:v>
                </c:pt>
                <c:pt idx="5">
                  <c:v>187889</c:v>
                </c:pt>
                <c:pt idx="6">
                  <c:v>170314</c:v>
                </c:pt>
                <c:pt idx="7">
                  <c:v>19348</c:v>
                </c:pt>
                <c:pt idx="8">
                  <c:v>189318</c:v>
                </c:pt>
                <c:pt idx="9">
                  <c:v>187889</c:v>
                </c:pt>
                <c:pt idx="10">
                  <c:v>170314</c:v>
                </c:pt>
                <c:pt idx="11">
                  <c:v>19348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</c:v>
                </c:pt>
                <c:pt idx="1">
                  <c:v>199.99999999999997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199.99999999999997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199.99999999999997</c:v>
                </c:pt>
                <c:pt idx="10">
                  <c:v>200</c:v>
                </c:pt>
                <c:pt idx="11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66.408338116291901</c:v>
                </c:pt>
                <c:pt idx="1">
                  <c:v>66.408338116291887</c:v>
                </c:pt>
                <c:pt idx="2">
                  <c:v>66.408338116291901</c:v>
                </c:pt>
                <c:pt idx="3">
                  <c:v>66.408338116291915</c:v>
                </c:pt>
                <c:pt idx="4">
                  <c:v>66.408338116291901</c:v>
                </c:pt>
                <c:pt idx="5">
                  <c:v>66.408338116291887</c:v>
                </c:pt>
                <c:pt idx="6">
                  <c:v>66.408338116291901</c:v>
                </c:pt>
                <c:pt idx="7">
                  <c:v>66.408338116291915</c:v>
                </c:pt>
                <c:pt idx="8">
                  <c:v>66.408338116291901</c:v>
                </c:pt>
                <c:pt idx="9">
                  <c:v>66.408338116291887</c:v>
                </c:pt>
                <c:pt idx="10">
                  <c:v>66.408338116291901</c:v>
                </c:pt>
                <c:pt idx="11">
                  <c:v>66.408338116291915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26.800745055282508</c:v>
                </c:pt>
                <c:pt idx="1">
                  <c:v>26.792531245966526</c:v>
                </c:pt>
                <c:pt idx="2">
                  <c:v>26.800745055282505</c:v>
                </c:pt>
                <c:pt idx="3">
                  <c:v>26.800745055282505</c:v>
                </c:pt>
                <c:pt idx="4">
                  <c:v>26.800745055282508</c:v>
                </c:pt>
                <c:pt idx="5">
                  <c:v>26.792531245966526</c:v>
                </c:pt>
                <c:pt idx="6">
                  <c:v>26.800745055282505</c:v>
                </c:pt>
                <c:pt idx="7">
                  <c:v>26.800745055282505</c:v>
                </c:pt>
                <c:pt idx="8">
                  <c:v>26.800745055282508</c:v>
                </c:pt>
                <c:pt idx="9">
                  <c:v>26.792531245966526</c:v>
                </c:pt>
                <c:pt idx="10">
                  <c:v>26.800745055282505</c:v>
                </c:pt>
                <c:pt idx="11">
                  <c:v>26.800745055282505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189318</c:v>
                </c:pt>
                <c:pt idx="1">
                  <c:v>187889</c:v>
                </c:pt>
                <c:pt idx="2">
                  <c:v>170314</c:v>
                </c:pt>
                <c:pt idx="3">
                  <c:v>19348</c:v>
                </c:pt>
                <c:pt idx="4">
                  <c:v>189318</c:v>
                </c:pt>
                <c:pt idx="5">
                  <c:v>187889</c:v>
                </c:pt>
                <c:pt idx="6">
                  <c:v>170314</c:v>
                </c:pt>
                <c:pt idx="7">
                  <c:v>19348</c:v>
                </c:pt>
                <c:pt idx="8">
                  <c:v>189318</c:v>
                </c:pt>
                <c:pt idx="9">
                  <c:v>187889</c:v>
                </c:pt>
                <c:pt idx="10">
                  <c:v>170314</c:v>
                </c:pt>
                <c:pt idx="11">
                  <c:v>19348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129.970575682646</c:v>
                </c:pt>
                <c:pt idx="1">
                  <c:v>167.04428385488742</c:v>
                </c:pt>
                <c:pt idx="2">
                  <c:v>207.12846684328503</c:v>
                </c:pt>
                <c:pt idx="3">
                  <c:v>207.12914756087631</c:v>
                </c:pt>
                <c:pt idx="4">
                  <c:v>129.970575682646</c:v>
                </c:pt>
                <c:pt idx="5">
                  <c:v>167.04428385488742</c:v>
                </c:pt>
                <c:pt idx="6">
                  <c:v>207.12846684328503</c:v>
                </c:pt>
                <c:pt idx="7">
                  <c:v>207.12914756087631</c:v>
                </c:pt>
                <c:pt idx="8">
                  <c:v>90.963912203230876</c:v>
                </c:pt>
                <c:pt idx="9">
                  <c:v>100.65449364441511</c:v>
                </c:pt>
                <c:pt idx="10">
                  <c:v>140.656349535022</c:v>
                </c:pt>
                <c:pt idx="11">
                  <c:v>140.65549065414226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21.511738204032913</c:v>
                </c:pt>
                <c:pt idx="1">
                  <c:v>29.410981806723399</c:v>
                </c:pt>
                <c:pt idx="2">
                  <c:v>37.459027150098294</c:v>
                </c:pt>
                <c:pt idx="3">
                  <c:v>37.46242730532699</c:v>
                </c:pt>
                <c:pt idx="4">
                  <c:v>21.511738204032913</c:v>
                </c:pt>
                <c:pt idx="5">
                  <c:v>29.410981806723399</c:v>
                </c:pt>
                <c:pt idx="6">
                  <c:v>37.459027150098294</c:v>
                </c:pt>
                <c:pt idx="7">
                  <c:v>37.46242730532699</c:v>
                </c:pt>
                <c:pt idx="8">
                  <c:v>19.362802333502334</c:v>
                </c:pt>
                <c:pt idx="9">
                  <c:v>24.33077533626653</c:v>
                </c:pt>
                <c:pt idx="10">
                  <c:v>32.336267738078092</c:v>
                </c:pt>
                <c:pt idx="11">
                  <c:v>32.338831446018368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66.408338116291901</c:v>
                </c:pt>
                <c:pt idx="1">
                  <c:v>66.408338116291887</c:v>
                </c:pt>
                <c:pt idx="2">
                  <c:v>66.408338116291901</c:v>
                </c:pt>
                <c:pt idx="3">
                  <c:v>66.408338116291915</c:v>
                </c:pt>
                <c:pt idx="4">
                  <c:v>66.408338116291901</c:v>
                </c:pt>
                <c:pt idx="5">
                  <c:v>66.408338116291887</c:v>
                </c:pt>
                <c:pt idx="6">
                  <c:v>66.408338116291901</c:v>
                </c:pt>
                <c:pt idx="7">
                  <c:v>66.408338116291915</c:v>
                </c:pt>
                <c:pt idx="8">
                  <c:v>66.408338116291901</c:v>
                </c:pt>
                <c:pt idx="9">
                  <c:v>66.408338116291887</c:v>
                </c:pt>
                <c:pt idx="10">
                  <c:v>66.408338116291901</c:v>
                </c:pt>
                <c:pt idx="11">
                  <c:v>66.408338116291915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66.408338116291901</c:v>
                </c:pt>
                <c:pt idx="1">
                  <c:v>66.408338116291887</c:v>
                </c:pt>
                <c:pt idx="2">
                  <c:v>66.408338116291901</c:v>
                </c:pt>
                <c:pt idx="3">
                  <c:v>66.408338116291915</c:v>
                </c:pt>
                <c:pt idx="4">
                  <c:v>66.408338116291901</c:v>
                </c:pt>
                <c:pt idx="5">
                  <c:v>66.408338116291887</c:v>
                </c:pt>
                <c:pt idx="6">
                  <c:v>66.408338116291901</c:v>
                </c:pt>
                <c:pt idx="7">
                  <c:v>66.408338116291915</c:v>
                </c:pt>
                <c:pt idx="8">
                  <c:v>66.408338116291901</c:v>
                </c:pt>
                <c:pt idx="9">
                  <c:v>66.408338116291887</c:v>
                </c:pt>
                <c:pt idx="10">
                  <c:v>66.408338116291901</c:v>
                </c:pt>
                <c:pt idx="11">
                  <c:v>66.408338116291915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84.001712863413388</c:v>
                </c:pt>
                <c:pt idx="1">
                  <c:v>84.441787510380649</c:v>
                </c:pt>
                <c:pt idx="2">
                  <c:v>84.001712863413402</c:v>
                </c:pt>
                <c:pt idx="3">
                  <c:v>84.001712863413346</c:v>
                </c:pt>
                <c:pt idx="4">
                  <c:v>103.35917791341336</c:v>
                </c:pt>
                <c:pt idx="5">
                  <c:v>103.79925256038069</c:v>
                </c:pt>
                <c:pt idx="6">
                  <c:v>103.35917791341338</c:v>
                </c:pt>
                <c:pt idx="7">
                  <c:v>103.35917791341332</c:v>
                </c:pt>
                <c:pt idx="8">
                  <c:v>84.001712863413331</c:v>
                </c:pt>
                <c:pt idx="9">
                  <c:v>84.441787510380649</c:v>
                </c:pt>
                <c:pt idx="10">
                  <c:v>84.001712863413346</c:v>
                </c:pt>
                <c:pt idx="11">
                  <c:v>84.001712863413289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  <c:pt idx="4">
                  <c:v>383.1253517223621</c:v>
                </c:pt>
                <c:pt idx="5">
                  <c:v>506.29267117987803</c:v>
                </c:pt>
                <c:pt idx="6">
                  <c:v>686.60330095819779</c:v>
                </c:pt>
                <c:pt idx="7">
                  <c:v>686.70686670947396</c:v>
                </c:pt>
                <c:pt idx="8">
                  <c:v>359.67053928565883</c:v>
                </c:pt>
                <c:pt idx="9">
                  <c:v>456.81883934023995</c:v>
                </c:pt>
                <c:pt idx="10">
                  <c:v>633.41021931807563</c:v>
                </c:pt>
                <c:pt idx="11">
                  <c:v>633.45225678333759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0.32547033063182851</c:v>
                </c:pt>
                <c:pt idx="1">
                  <c:v>0.31310410611242551</c:v>
                </c:pt>
                <c:pt idx="2">
                  <c:v>0.19188673533921055</c:v>
                </c:pt>
                <c:pt idx="3">
                  <c:v>0.18978389879843854</c:v>
                </c:pt>
                <c:pt idx="4">
                  <c:v>0.39243991508942616</c:v>
                </c:pt>
                <c:pt idx="5">
                  <c:v>0.3789231782900751</c:v>
                </c:pt>
                <c:pt idx="6">
                  <c:v>0.24477563257507409</c:v>
                </c:pt>
                <c:pt idx="7">
                  <c:v>0.24244344634660048</c:v>
                </c:pt>
                <c:pt idx="8">
                  <c:v>0.34571055132414197</c:v>
                </c:pt>
                <c:pt idx="9">
                  <c:v>0.33162385365546276</c:v>
                </c:pt>
                <c:pt idx="10">
                  <c:v>0.20032435709683197</c:v>
                </c:pt>
                <c:pt idx="11">
                  <c:v>0.19801874507611769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333.47903222089241</c:v>
                </c:pt>
                <c:pt idx="1">
                  <c:v>369.9346367618075</c:v>
                </c:pt>
                <c:pt idx="2">
                  <c:v>477.14036710582548</c:v>
                </c:pt>
                <c:pt idx="3">
                  <c:v>477.28440322437484</c:v>
                </c:pt>
                <c:pt idx="4">
                  <c:v>333.47903222089241</c:v>
                </c:pt>
                <c:pt idx="5">
                  <c:v>369.93463676180744</c:v>
                </c:pt>
                <c:pt idx="6">
                  <c:v>477.14036710582548</c:v>
                </c:pt>
                <c:pt idx="7">
                  <c:v>477.28440322437484</c:v>
                </c:pt>
                <c:pt idx="8">
                  <c:v>284.01243971715542</c:v>
                </c:pt>
                <c:pt idx="9">
                  <c:v>297.82021483158007</c:v>
                </c:pt>
                <c:pt idx="10">
                  <c:v>399.58627141136611</c:v>
                </c:pt>
                <c:pt idx="11">
                  <c:v>399.64110559946261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81.676115450503545</c:v>
                </c:pt>
                <c:pt idx="1">
                  <c:v>82.270001783018003</c:v>
                </c:pt>
                <c:pt idx="2">
                  <c:v>88.123691326239452</c:v>
                </c:pt>
                <c:pt idx="3">
                  <c:v>88.221259729563968</c:v>
                </c:pt>
                <c:pt idx="4">
                  <c:v>81.676115450503545</c:v>
                </c:pt>
                <c:pt idx="5">
                  <c:v>82.270001783018003</c:v>
                </c:pt>
                <c:pt idx="6">
                  <c:v>88.123691326239452</c:v>
                </c:pt>
                <c:pt idx="7">
                  <c:v>88.221259729563968</c:v>
                </c:pt>
                <c:pt idx="8">
                  <c:v>59.642499999999984</c:v>
                </c:pt>
                <c:pt idx="9">
                  <c:v>59.654868641572669</c:v>
                </c:pt>
                <c:pt idx="10">
                  <c:v>59.642499999999998</c:v>
                </c:pt>
                <c:pt idx="11">
                  <c:v>59.642499999999991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173.95879336029816</c:v>
                </c:pt>
                <c:pt idx="1">
                  <c:v>184.88060858573215</c:v>
                </c:pt>
                <c:pt idx="2">
                  <c:v>260.95460722732287</c:v>
                </c:pt>
                <c:pt idx="3">
                  <c:v>260.99285817626981</c:v>
                </c:pt>
                <c:pt idx="4">
                  <c:v>173.95879336029816</c:v>
                </c:pt>
                <c:pt idx="5">
                  <c:v>184.88060858573215</c:v>
                </c:pt>
                <c:pt idx="6">
                  <c:v>260.95460722732287</c:v>
                </c:pt>
                <c:pt idx="7">
                  <c:v>260.99285817626981</c:v>
                </c:pt>
                <c:pt idx="8">
                  <c:v>157.18636701264873</c:v>
                </c:pt>
                <c:pt idx="9">
                  <c:v>157.13814072772288</c:v>
                </c:pt>
                <c:pt idx="10">
                  <c:v>233.75229430224005</c:v>
                </c:pt>
                <c:pt idx="11">
                  <c:v>233.80113815153666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77.844123410090688</c:v>
                </c:pt>
                <c:pt idx="1">
                  <c:v>102.78402639305736</c:v>
                </c:pt>
                <c:pt idx="2">
                  <c:v>128.06206855226316</c:v>
                </c:pt>
                <c:pt idx="3">
                  <c:v>128.07028531854107</c:v>
                </c:pt>
                <c:pt idx="4">
                  <c:v>77.844123410090688</c:v>
                </c:pt>
                <c:pt idx="5">
                  <c:v>102.78402639305735</c:v>
                </c:pt>
                <c:pt idx="6">
                  <c:v>128.06206855226316</c:v>
                </c:pt>
                <c:pt idx="7">
                  <c:v>128.0702853185411</c:v>
                </c:pt>
                <c:pt idx="8">
                  <c:v>67.183572704506716</c:v>
                </c:pt>
                <c:pt idx="9">
                  <c:v>81.027205462284527</c:v>
                </c:pt>
                <c:pt idx="10">
                  <c:v>106.19147710912608</c:v>
                </c:pt>
                <c:pt idx="11">
                  <c:v>106.19746744792593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66.408338116291901</c:v>
                </c:pt>
                <c:pt idx="1">
                  <c:v>66.408338116291887</c:v>
                </c:pt>
                <c:pt idx="2">
                  <c:v>66.408338116291901</c:v>
                </c:pt>
                <c:pt idx="3">
                  <c:v>66.408338116291915</c:v>
                </c:pt>
                <c:pt idx="4">
                  <c:v>66.408338116291901</c:v>
                </c:pt>
                <c:pt idx="5">
                  <c:v>66.408338116291887</c:v>
                </c:pt>
                <c:pt idx="6">
                  <c:v>66.408338116291901</c:v>
                </c:pt>
                <c:pt idx="7">
                  <c:v>66.408338116291915</c:v>
                </c:pt>
                <c:pt idx="8">
                  <c:v>66.408338116291901</c:v>
                </c:pt>
                <c:pt idx="9">
                  <c:v>66.408338116291887</c:v>
                </c:pt>
                <c:pt idx="10">
                  <c:v>66.408338116291901</c:v>
                </c:pt>
                <c:pt idx="11">
                  <c:v>66.408338116291915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81.676115450503545</c:v>
                </c:pt>
                <c:pt idx="1">
                  <c:v>82.270001783018003</c:v>
                </c:pt>
                <c:pt idx="2">
                  <c:v>88.123691326239452</c:v>
                </c:pt>
                <c:pt idx="3">
                  <c:v>88.221259729563968</c:v>
                </c:pt>
                <c:pt idx="4">
                  <c:v>81.676115450503545</c:v>
                </c:pt>
                <c:pt idx="5">
                  <c:v>82.270001783018003</c:v>
                </c:pt>
                <c:pt idx="6">
                  <c:v>88.123691326239452</c:v>
                </c:pt>
                <c:pt idx="7">
                  <c:v>88.221259729563968</c:v>
                </c:pt>
                <c:pt idx="8">
                  <c:v>59.642499999999984</c:v>
                </c:pt>
                <c:pt idx="9">
                  <c:v>59.654868641572669</c:v>
                </c:pt>
                <c:pt idx="10">
                  <c:v>59.642499999999998</c:v>
                </c:pt>
                <c:pt idx="11">
                  <c:v>59.642499999999991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81.676115450503545</c:v>
                </c:pt>
                <c:pt idx="1">
                  <c:v>82.270001783018003</c:v>
                </c:pt>
                <c:pt idx="2">
                  <c:v>88.123691326239452</c:v>
                </c:pt>
                <c:pt idx="3">
                  <c:v>88.221259729563968</c:v>
                </c:pt>
                <c:pt idx="4">
                  <c:v>81.676115450503545</c:v>
                </c:pt>
                <c:pt idx="5">
                  <c:v>82.270001783018003</c:v>
                </c:pt>
                <c:pt idx="6">
                  <c:v>88.123691326239452</c:v>
                </c:pt>
                <c:pt idx="7">
                  <c:v>88.221259729563968</c:v>
                </c:pt>
                <c:pt idx="8">
                  <c:v>59.642499999999984</c:v>
                </c:pt>
                <c:pt idx="9">
                  <c:v>59.654868641572669</c:v>
                </c:pt>
                <c:pt idx="10">
                  <c:v>59.642499999999998</c:v>
                </c:pt>
                <c:pt idx="11">
                  <c:v>59.642499999999991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D454CBE-8012-4E06-8152-FA6C07A752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DC78B7-5F2B-4263-B3E6-206FE45EBA5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5FF53B-9C3A-41AA-9EB2-38EF217F8CD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C6006C-FC90-4485-9B07-DE434CADB3F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0.32547033063182851</c:v>
                </c:pt>
                <c:pt idx="1">
                  <c:v>0.31310410611242551</c:v>
                </c:pt>
                <c:pt idx="2">
                  <c:v>0.19188673533921055</c:v>
                </c:pt>
                <c:pt idx="3">
                  <c:v>0.18978389879843854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B547DBE-13D1-4834-B9F0-D31E71715C6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D3BF63-ED4E-4AD9-987C-8197B5A0570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886A67-AD52-4815-9180-474E1211E76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D9231B4-EC94-4D2A-84C9-303F62C993A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383.1253517223621</c:v>
                </c:pt>
                <c:pt idx="1">
                  <c:v>506.29267117987803</c:v>
                </c:pt>
                <c:pt idx="2">
                  <c:v>686.60330095819779</c:v>
                </c:pt>
                <c:pt idx="3">
                  <c:v>686.70686670947396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0.39243991508942616</c:v>
                </c:pt>
                <c:pt idx="1">
                  <c:v>0.3789231782900751</c:v>
                </c:pt>
                <c:pt idx="2">
                  <c:v>0.24477563257507409</c:v>
                </c:pt>
                <c:pt idx="3">
                  <c:v>0.24244344634660048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A62CCC1-E47A-433C-AFAE-9DE7C837EE2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66B444-490C-47A5-9CCD-34C99FE3D87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A6947E-D124-4E94-A4BA-D834FF5FE99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9D66F2-6241-4EE9-9F80-709ECE61DD0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359.67053928565883</c:v>
                </c:pt>
                <c:pt idx="1">
                  <c:v>456.81883934023995</c:v>
                </c:pt>
                <c:pt idx="2">
                  <c:v>633.41021931807563</c:v>
                </c:pt>
                <c:pt idx="3">
                  <c:v>633.45225678333759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0.34571055132414197</c:v>
                </c:pt>
                <c:pt idx="1">
                  <c:v>0.33162385365546276</c:v>
                </c:pt>
                <c:pt idx="2">
                  <c:v>0.20032435709683197</c:v>
                </c:pt>
                <c:pt idx="3">
                  <c:v>0.19801874507611769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486.48452963577546</c:v>
                </c:pt>
                <c:pt idx="1">
                  <c:v>610.09192374025884</c:v>
                </c:pt>
                <c:pt idx="2">
                  <c:v>789.96247887161121</c:v>
                </c:pt>
                <c:pt idx="3">
                  <c:v>790.06604462288726</c:v>
                </c:pt>
                <c:pt idx="4">
                  <c:v>486.48452963577546</c:v>
                </c:pt>
                <c:pt idx="5">
                  <c:v>610.09192374025884</c:v>
                </c:pt>
                <c:pt idx="6">
                  <c:v>789.96247887161121</c:v>
                </c:pt>
                <c:pt idx="7">
                  <c:v>790.06604462288726</c:v>
                </c:pt>
                <c:pt idx="8">
                  <c:v>443.67225214907216</c:v>
                </c:pt>
                <c:pt idx="9">
                  <c:v>541.26062685062061</c:v>
                </c:pt>
                <c:pt idx="10">
                  <c:v>717.41193218148885</c:v>
                </c:pt>
                <c:pt idx="11">
                  <c:v>717.45396964675092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  <c:pt idx="4">
                  <c:v>383.1253517223621</c:v>
                </c:pt>
                <c:pt idx="5">
                  <c:v>506.29267117987803</c:v>
                </c:pt>
                <c:pt idx="6">
                  <c:v>686.60330095819779</c:v>
                </c:pt>
                <c:pt idx="7">
                  <c:v>686.70686670947396</c:v>
                </c:pt>
                <c:pt idx="8">
                  <c:v>359.67053928565883</c:v>
                </c:pt>
                <c:pt idx="9">
                  <c:v>456.81883934023995</c:v>
                </c:pt>
                <c:pt idx="10">
                  <c:v>633.41021931807563</c:v>
                </c:pt>
                <c:pt idx="11">
                  <c:v>633.45225678333759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333.47903222089241</c:v>
                </c:pt>
                <c:pt idx="1">
                  <c:v>369.9346367618075</c:v>
                </c:pt>
                <c:pt idx="2">
                  <c:v>477.14036710582548</c:v>
                </c:pt>
                <c:pt idx="3">
                  <c:v>477.28440322437484</c:v>
                </c:pt>
                <c:pt idx="4">
                  <c:v>333.47903222089241</c:v>
                </c:pt>
                <c:pt idx="5">
                  <c:v>369.93463676180744</c:v>
                </c:pt>
                <c:pt idx="6">
                  <c:v>477.14036710582548</c:v>
                </c:pt>
                <c:pt idx="7">
                  <c:v>477.28440322437484</c:v>
                </c:pt>
                <c:pt idx="8">
                  <c:v>284.01243971715542</c:v>
                </c:pt>
                <c:pt idx="9">
                  <c:v>297.82021483158007</c:v>
                </c:pt>
                <c:pt idx="10">
                  <c:v>399.58627141136611</c:v>
                </c:pt>
                <c:pt idx="11">
                  <c:v>399.64110559946261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486.48452963577546</c:v>
                </c:pt>
                <c:pt idx="1">
                  <c:v>610.09192374025884</c:v>
                </c:pt>
                <c:pt idx="2">
                  <c:v>789.96247887161121</c:v>
                </c:pt>
                <c:pt idx="3">
                  <c:v>790.06604462288726</c:v>
                </c:pt>
                <c:pt idx="4">
                  <c:v>486.48452963577546</c:v>
                </c:pt>
                <c:pt idx="5">
                  <c:v>610.09192374025884</c:v>
                </c:pt>
                <c:pt idx="6">
                  <c:v>789.96247887161121</c:v>
                </c:pt>
                <c:pt idx="7">
                  <c:v>790.06604462288726</c:v>
                </c:pt>
                <c:pt idx="8">
                  <c:v>443.67225214907216</c:v>
                </c:pt>
                <c:pt idx="9">
                  <c:v>541.26062685062061</c:v>
                </c:pt>
                <c:pt idx="10">
                  <c:v>717.41193218148885</c:v>
                </c:pt>
                <c:pt idx="11">
                  <c:v>717.45396964675092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402.48281677236207</c:v>
                </c:pt>
                <c:pt idx="1">
                  <c:v>525.65013622987817</c:v>
                </c:pt>
                <c:pt idx="2">
                  <c:v>705.96076600819777</c:v>
                </c:pt>
                <c:pt idx="3">
                  <c:v>706.06433175947393</c:v>
                </c:pt>
                <c:pt idx="4">
                  <c:v>383.1253517223621</c:v>
                </c:pt>
                <c:pt idx="5">
                  <c:v>506.29267117987803</c:v>
                </c:pt>
                <c:pt idx="6">
                  <c:v>686.60330095819779</c:v>
                </c:pt>
                <c:pt idx="7">
                  <c:v>686.70686670947396</c:v>
                </c:pt>
                <c:pt idx="8">
                  <c:v>359.67053928565883</c:v>
                </c:pt>
                <c:pt idx="9">
                  <c:v>456.81883934023995</c:v>
                </c:pt>
                <c:pt idx="10">
                  <c:v>633.41021931807563</c:v>
                </c:pt>
                <c:pt idx="11">
                  <c:v>633.45225678333759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333.47903222089241</c:v>
                </c:pt>
                <c:pt idx="1">
                  <c:v>369.9346367618075</c:v>
                </c:pt>
                <c:pt idx="2">
                  <c:v>477.14036710582548</c:v>
                </c:pt>
                <c:pt idx="3">
                  <c:v>477.28440322437484</c:v>
                </c:pt>
                <c:pt idx="4">
                  <c:v>333.47903222089241</c:v>
                </c:pt>
                <c:pt idx="5">
                  <c:v>369.93463676180744</c:v>
                </c:pt>
                <c:pt idx="6">
                  <c:v>477.14036710582548</c:v>
                </c:pt>
                <c:pt idx="7">
                  <c:v>477.28440322437484</c:v>
                </c:pt>
                <c:pt idx="8">
                  <c:v>284.01243971715542</c:v>
                </c:pt>
                <c:pt idx="9">
                  <c:v>297.82021483158007</c:v>
                </c:pt>
                <c:pt idx="10">
                  <c:v>399.58627141136611</c:v>
                </c:pt>
                <c:pt idx="11">
                  <c:v>399.64110559946261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0.32547033063182851</c:v>
                </c:pt>
                <c:pt idx="1">
                  <c:v>0.31310410611242551</c:v>
                </c:pt>
                <c:pt idx="2">
                  <c:v>0.19188673533921055</c:v>
                </c:pt>
                <c:pt idx="3">
                  <c:v>0.18978389879843854</c:v>
                </c:pt>
                <c:pt idx="4">
                  <c:v>0.39243991508942616</c:v>
                </c:pt>
                <c:pt idx="5">
                  <c:v>0.3789231782900751</c:v>
                </c:pt>
                <c:pt idx="6">
                  <c:v>0.24477563257507409</c:v>
                </c:pt>
                <c:pt idx="7">
                  <c:v>0.24244344634660048</c:v>
                </c:pt>
                <c:pt idx="8">
                  <c:v>0.34571055132414197</c:v>
                </c:pt>
                <c:pt idx="9">
                  <c:v>0.33162385365546276</c:v>
                </c:pt>
                <c:pt idx="10">
                  <c:v>0.20032435709683197</c:v>
                </c:pt>
                <c:pt idx="11">
                  <c:v>0.19801874507611769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173.95879336029816</c:v>
                </c:pt>
                <c:pt idx="1">
                  <c:v>184.88060858573215</c:v>
                </c:pt>
                <c:pt idx="2">
                  <c:v>260.95460722732287</c:v>
                </c:pt>
                <c:pt idx="3">
                  <c:v>260.99285817626981</c:v>
                </c:pt>
                <c:pt idx="4">
                  <c:v>173.95879336029816</c:v>
                </c:pt>
                <c:pt idx="5">
                  <c:v>184.88060858573215</c:v>
                </c:pt>
                <c:pt idx="6">
                  <c:v>260.95460722732287</c:v>
                </c:pt>
                <c:pt idx="7">
                  <c:v>260.99285817626981</c:v>
                </c:pt>
                <c:pt idx="8">
                  <c:v>157.18636701264873</c:v>
                </c:pt>
                <c:pt idx="9">
                  <c:v>157.13814072772288</c:v>
                </c:pt>
                <c:pt idx="10">
                  <c:v>233.75229430224005</c:v>
                </c:pt>
                <c:pt idx="11">
                  <c:v>233.80113815153666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76.930878417473096</c:v>
                </c:pt>
                <c:pt idx="1">
                  <c:v>76.930878417473082</c:v>
                </c:pt>
                <c:pt idx="2">
                  <c:v>76.930878417473082</c:v>
                </c:pt>
                <c:pt idx="3">
                  <c:v>76.930878417473082</c:v>
                </c:pt>
                <c:pt idx="4">
                  <c:v>76.930878417473096</c:v>
                </c:pt>
                <c:pt idx="5">
                  <c:v>76.930878417473082</c:v>
                </c:pt>
                <c:pt idx="6">
                  <c:v>76.930878417473082</c:v>
                </c:pt>
                <c:pt idx="7">
                  <c:v>76.930878417473082</c:v>
                </c:pt>
                <c:pt idx="8">
                  <c:v>76.930878417473096</c:v>
                </c:pt>
                <c:pt idx="9">
                  <c:v>76.930878417473082</c:v>
                </c:pt>
                <c:pt idx="10">
                  <c:v>76.930878417473082</c:v>
                </c:pt>
                <c:pt idx="11">
                  <c:v>76.930878417473082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40.42829789284378</c:v>
                </c:pt>
                <c:pt idx="1">
                  <c:v>44.979054236774616</c:v>
                </c:pt>
                <c:pt idx="2">
                  <c:v>76.676553670770744</c:v>
                </c:pt>
                <c:pt idx="3">
                  <c:v>76.692491566165288</c:v>
                </c:pt>
                <c:pt idx="4">
                  <c:v>40.42829789284378</c:v>
                </c:pt>
                <c:pt idx="5">
                  <c:v>44.979054236774616</c:v>
                </c:pt>
                <c:pt idx="6">
                  <c:v>76.676553670770744</c:v>
                </c:pt>
                <c:pt idx="7">
                  <c:v>76.692491566165288</c:v>
                </c:pt>
                <c:pt idx="8">
                  <c:v>33.439786914656516</c:v>
                </c:pt>
                <c:pt idx="9">
                  <c:v>33.419692629270756</c:v>
                </c:pt>
                <c:pt idx="10">
                  <c:v>65.342256618652911</c:v>
                </c:pt>
                <c:pt idx="11">
                  <c:v>65.362608222526518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56.599617049981291</c:v>
                </c:pt>
                <c:pt idx="1">
                  <c:v>62.970675931484465</c:v>
                </c:pt>
                <c:pt idx="2">
                  <c:v>107.34717513907907</c:v>
                </c:pt>
                <c:pt idx="3">
                  <c:v>107.36948819263141</c:v>
                </c:pt>
                <c:pt idx="4">
                  <c:v>56.599617049981291</c:v>
                </c:pt>
                <c:pt idx="5">
                  <c:v>62.970675931484465</c:v>
                </c:pt>
                <c:pt idx="6">
                  <c:v>107.34717513907907</c:v>
                </c:pt>
                <c:pt idx="7">
                  <c:v>107.36948819263141</c:v>
                </c:pt>
                <c:pt idx="8">
                  <c:v>46.815701680519119</c:v>
                </c:pt>
                <c:pt idx="9">
                  <c:v>46.78756968097904</c:v>
                </c:pt>
                <c:pt idx="10">
                  <c:v>91.479159266114067</c:v>
                </c:pt>
                <c:pt idx="11">
                  <c:v>91.507651511537105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77.844123410090688</c:v>
                </c:pt>
                <c:pt idx="1">
                  <c:v>102.78402639305736</c:v>
                </c:pt>
                <c:pt idx="2">
                  <c:v>128.06206855226316</c:v>
                </c:pt>
                <c:pt idx="3">
                  <c:v>128.07028531854107</c:v>
                </c:pt>
                <c:pt idx="4">
                  <c:v>77.844123410090688</c:v>
                </c:pt>
                <c:pt idx="5">
                  <c:v>102.78402639305735</c:v>
                </c:pt>
                <c:pt idx="6">
                  <c:v>128.06206855226316</c:v>
                </c:pt>
                <c:pt idx="7">
                  <c:v>128.0702853185411</c:v>
                </c:pt>
                <c:pt idx="8">
                  <c:v>67.183572704506716</c:v>
                </c:pt>
                <c:pt idx="9">
                  <c:v>81.027205462284527</c:v>
                </c:pt>
                <c:pt idx="10">
                  <c:v>106.19147710912608</c:v>
                </c:pt>
                <c:pt idx="11">
                  <c:v>106.19746744792593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26.797109509005391</c:v>
                </c:pt>
                <c:pt idx="1">
                  <c:v>35.547952660923521</c:v>
                </c:pt>
                <c:pt idx="2">
                  <c:v>44.417441137837841</c:v>
                </c:pt>
                <c:pt idx="3">
                  <c:v>44.420324213724832</c:v>
                </c:pt>
                <c:pt idx="4">
                  <c:v>26.797109509005391</c:v>
                </c:pt>
                <c:pt idx="5">
                  <c:v>35.547952660923521</c:v>
                </c:pt>
                <c:pt idx="6">
                  <c:v>44.417441137837841</c:v>
                </c:pt>
                <c:pt idx="7">
                  <c:v>44.420324213724847</c:v>
                </c:pt>
                <c:pt idx="8">
                  <c:v>23.056565401782947</c:v>
                </c:pt>
                <c:pt idx="9">
                  <c:v>27.913980404511999</c:v>
                </c:pt>
                <c:pt idx="10">
                  <c:v>36.743549403403776</c:v>
                </c:pt>
                <c:pt idx="11">
                  <c:v>36.745651276666877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1.4723613094253225</c:v>
                </c:pt>
                <c:pt idx="1">
                  <c:v>1.4723613094253218</c:v>
                </c:pt>
                <c:pt idx="2">
                  <c:v>1.4723613094253221</c:v>
                </c:pt>
                <c:pt idx="3">
                  <c:v>1.4723613094253221</c:v>
                </c:pt>
                <c:pt idx="4">
                  <c:v>1.4723613094253225</c:v>
                </c:pt>
                <c:pt idx="5">
                  <c:v>1.4723613094253218</c:v>
                </c:pt>
                <c:pt idx="6">
                  <c:v>1.4723613094253221</c:v>
                </c:pt>
                <c:pt idx="7">
                  <c:v>1.4723613094253221</c:v>
                </c:pt>
                <c:pt idx="8">
                  <c:v>1.4723613094253225</c:v>
                </c:pt>
                <c:pt idx="9">
                  <c:v>1.4723613094253218</c:v>
                </c:pt>
                <c:pt idx="10">
                  <c:v>1.4723613094253221</c:v>
                </c:pt>
                <c:pt idx="11">
                  <c:v>1.4723613094253221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49.574652591659969</c:v>
                </c:pt>
                <c:pt idx="1">
                  <c:v>65.763712422708522</c:v>
                </c:pt>
                <c:pt idx="2">
                  <c:v>82.172266105000006</c:v>
                </c:pt>
                <c:pt idx="3">
                  <c:v>82.177599795390947</c:v>
                </c:pt>
                <c:pt idx="4">
                  <c:v>49.574652591659969</c:v>
                </c:pt>
                <c:pt idx="5">
                  <c:v>65.763712422708508</c:v>
                </c:pt>
                <c:pt idx="6">
                  <c:v>82.172266105000006</c:v>
                </c:pt>
                <c:pt idx="7">
                  <c:v>82.177599795390947</c:v>
                </c:pt>
                <c:pt idx="8">
                  <c:v>42.654645993298445</c:v>
                </c:pt>
                <c:pt idx="9">
                  <c:v>51.640863748347186</c:v>
                </c:pt>
                <c:pt idx="10">
                  <c:v>67.975566396296969</c:v>
                </c:pt>
                <c:pt idx="11">
                  <c:v>67.979454861833716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66.408338116291901</c:v>
                </c:pt>
                <c:pt idx="1">
                  <c:v>66.408338116291887</c:v>
                </c:pt>
                <c:pt idx="2">
                  <c:v>66.408338116291901</c:v>
                </c:pt>
                <c:pt idx="3">
                  <c:v>66.408338116291915</c:v>
                </c:pt>
                <c:pt idx="4">
                  <c:v>66.408338116291901</c:v>
                </c:pt>
                <c:pt idx="5">
                  <c:v>66.408338116291887</c:v>
                </c:pt>
                <c:pt idx="6">
                  <c:v>66.408338116291901</c:v>
                </c:pt>
                <c:pt idx="7">
                  <c:v>66.408338116291915</c:v>
                </c:pt>
                <c:pt idx="8">
                  <c:v>66.408338116291901</c:v>
                </c:pt>
                <c:pt idx="9">
                  <c:v>66.408338116291887</c:v>
                </c:pt>
                <c:pt idx="10">
                  <c:v>66.408338116291901</c:v>
                </c:pt>
                <c:pt idx="11">
                  <c:v>66.408338116291915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101.46076875000003</c:v>
                </c:pt>
                <c:pt idx="1">
                  <c:v>101.46076874999999</c:v>
                </c:pt>
                <c:pt idx="2">
                  <c:v>101.46076875000001</c:v>
                </c:pt>
                <c:pt idx="3">
                  <c:v>101.46076874999996</c:v>
                </c:pt>
                <c:pt idx="4">
                  <c:v>101.46076875000003</c:v>
                </c:pt>
                <c:pt idx="5">
                  <c:v>101.46076874999999</c:v>
                </c:pt>
                <c:pt idx="6">
                  <c:v>101.46076875000001</c:v>
                </c:pt>
                <c:pt idx="7">
                  <c:v>101.46076874999996</c:v>
                </c:pt>
                <c:pt idx="8">
                  <c:v>101.46076875000003</c:v>
                </c:pt>
                <c:pt idx="9">
                  <c:v>101.46076874999999</c:v>
                </c:pt>
                <c:pt idx="10">
                  <c:v>101.46076875000001</c:v>
                </c:pt>
                <c:pt idx="11">
                  <c:v>101.46076874999996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19.357465050000005</c:v>
                </c:pt>
                <c:pt idx="6">
                  <c:v>19.357465049999995</c:v>
                </c:pt>
                <c:pt idx="7">
                  <c:v>19.357465049999991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66.408338116291901</c:v>
                </c:pt>
                <c:pt idx="1">
                  <c:v>66.408338116291887</c:v>
                </c:pt>
                <c:pt idx="2">
                  <c:v>66.408338116291901</c:v>
                </c:pt>
                <c:pt idx="3">
                  <c:v>66.408338116291915</c:v>
                </c:pt>
                <c:pt idx="4">
                  <c:v>66.408338116291901</c:v>
                </c:pt>
                <c:pt idx="5">
                  <c:v>66.408338116291887</c:v>
                </c:pt>
                <c:pt idx="6">
                  <c:v>66.408338116291901</c:v>
                </c:pt>
                <c:pt idx="7">
                  <c:v>66.408338116291915</c:v>
                </c:pt>
                <c:pt idx="8">
                  <c:v>66.408338116291901</c:v>
                </c:pt>
                <c:pt idx="9">
                  <c:v>66.408338116291887</c:v>
                </c:pt>
                <c:pt idx="10">
                  <c:v>66.408338116291901</c:v>
                </c:pt>
                <c:pt idx="11">
                  <c:v>66.408338116291915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5.2960649647742803</c:v>
                </c:pt>
                <c:pt idx="1">
                  <c:v>5.2960649647742786</c:v>
                </c:pt>
                <c:pt idx="2">
                  <c:v>5.2960649647742786</c:v>
                </c:pt>
                <c:pt idx="3">
                  <c:v>5.2960649647742803</c:v>
                </c:pt>
                <c:pt idx="4">
                  <c:v>5.2960649647742803</c:v>
                </c:pt>
                <c:pt idx="5">
                  <c:v>5.2960649647742786</c:v>
                </c:pt>
                <c:pt idx="6">
                  <c:v>5.2960649647742786</c:v>
                </c:pt>
                <c:pt idx="7">
                  <c:v>5.2960649647742803</c:v>
                </c:pt>
                <c:pt idx="8">
                  <c:v>5.2960649647742803</c:v>
                </c:pt>
                <c:pt idx="9">
                  <c:v>5.2960649647742786</c:v>
                </c:pt>
                <c:pt idx="10">
                  <c:v>5.2960649647742786</c:v>
                </c:pt>
                <c:pt idx="11">
                  <c:v>5.2960649647742803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13.056211315353574</c:v>
                </c:pt>
                <c:pt idx="1">
                  <c:v>13.041426458584809</c:v>
                </c:pt>
                <c:pt idx="2">
                  <c:v>13.056211315353568</c:v>
                </c:pt>
                <c:pt idx="3">
                  <c:v>13.056211315353568</c:v>
                </c:pt>
                <c:pt idx="4">
                  <c:v>13.056211315353574</c:v>
                </c:pt>
                <c:pt idx="5">
                  <c:v>13.041426458584809</c:v>
                </c:pt>
                <c:pt idx="6">
                  <c:v>13.056211315353568</c:v>
                </c:pt>
                <c:pt idx="7">
                  <c:v>13.056211315353568</c:v>
                </c:pt>
                <c:pt idx="8">
                  <c:v>13.056211315353574</c:v>
                </c:pt>
                <c:pt idx="9">
                  <c:v>13.041426458584809</c:v>
                </c:pt>
                <c:pt idx="10">
                  <c:v>13.056211315353568</c:v>
                </c:pt>
                <c:pt idx="11">
                  <c:v>13.056211315353568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11.92361710878021</c:v>
                </c:pt>
                <c:pt idx="1">
                  <c:v>11.923617108780212</c:v>
                </c:pt>
                <c:pt idx="2">
                  <c:v>11.92361710878021</c:v>
                </c:pt>
                <c:pt idx="3">
                  <c:v>11.923617108780212</c:v>
                </c:pt>
                <c:pt idx="4">
                  <c:v>11.92361710878021</c:v>
                </c:pt>
                <c:pt idx="5">
                  <c:v>11.923617108780212</c:v>
                </c:pt>
                <c:pt idx="6">
                  <c:v>11.92361710878021</c:v>
                </c:pt>
                <c:pt idx="7">
                  <c:v>11.923617108780212</c:v>
                </c:pt>
                <c:pt idx="8">
                  <c:v>11.92361710878021</c:v>
                </c:pt>
                <c:pt idx="9">
                  <c:v>11.923617108780212</c:v>
                </c:pt>
                <c:pt idx="10">
                  <c:v>11.92361710878021</c:v>
                </c:pt>
                <c:pt idx="11">
                  <c:v>11.923617108780212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60.880376139230698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60.880376139230698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60.880376139230698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-17.459055886586672</c:v>
                </c:pt>
                <c:pt idx="1">
                  <c:v>-17.327251626598247</c:v>
                </c:pt>
                <c:pt idx="2">
                  <c:v>-17.459055886586668</c:v>
                </c:pt>
                <c:pt idx="3">
                  <c:v>-17.459055886586661</c:v>
                </c:pt>
                <c:pt idx="4">
                  <c:v>-17.459055886586672</c:v>
                </c:pt>
                <c:pt idx="5">
                  <c:v>-17.327251626598247</c:v>
                </c:pt>
                <c:pt idx="6">
                  <c:v>-17.459055886586668</c:v>
                </c:pt>
                <c:pt idx="7">
                  <c:v>-17.459055886586661</c:v>
                </c:pt>
                <c:pt idx="8">
                  <c:v>-17.459055886586672</c:v>
                </c:pt>
                <c:pt idx="9">
                  <c:v>-17.327251626598247</c:v>
                </c:pt>
                <c:pt idx="10">
                  <c:v>-17.459055886586668</c:v>
                </c:pt>
                <c:pt idx="11">
                  <c:v>-17.459055886586661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0.30827038697890718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0.30827038697890718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0.30827038697890718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0.17267088210657872</c:v>
                </c:pt>
                <c:pt idx="1">
                  <c:v>0.17060258953630289</c:v>
                </c:pt>
                <c:pt idx="2">
                  <c:v>0.14764531548015164</c:v>
                </c:pt>
                <c:pt idx="3">
                  <c:v>0.1472517885208382</c:v>
                </c:pt>
                <c:pt idx="4">
                  <c:v>0.21246138698551631</c:v>
                </c:pt>
                <c:pt idx="5">
                  <c:v>0.20991034627683444</c:v>
                </c:pt>
                <c:pt idx="6">
                  <c:v>0.18166889591416518</c:v>
                </c:pt>
                <c:pt idx="7">
                  <c:v>0.18118468408544289</c:v>
                </c:pt>
                <c:pt idx="8">
                  <c:v>0.18933280694594595</c:v>
                </c:pt>
                <c:pt idx="9">
                  <c:v>0.18712029400721356</c:v>
                </c:pt>
                <c:pt idx="10">
                  <c:v>0.16241149860139539</c:v>
                </c:pt>
                <c:pt idx="11">
                  <c:v>0.16198819308814111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456.01963505347896</c:v>
                </c:pt>
                <c:pt idx="1">
                  <c:v>581.21557721450029</c:v>
                </c:pt>
                <c:pt idx="2">
                  <c:v>481.52326330418066</c:v>
                </c:pt>
                <c:pt idx="3">
                  <c:v>402.48281677236207</c:v>
                </c:pt>
                <c:pt idx="4">
                  <c:v>519.99825888516625</c:v>
                </c:pt>
                <c:pt idx="5">
                  <c:v>733.53921499066951</c:v>
                </c:pt>
                <c:pt idx="6">
                  <c:v>682.09389261430783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597.17510814694663</c:v>
                </c:pt>
                <c:pt idx="1">
                  <c:v>597.17510814694663</c:v>
                </c:pt>
                <c:pt idx="2">
                  <c:v>597.17510814694663</c:v>
                </c:pt>
                <c:pt idx="3">
                  <c:v>486.48452963577546</c:v>
                </c:pt>
                <c:pt idx="4">
                  <c:v>603.70478438038072</c:v>
                </c:pt>
                <c:pt idx="5">
                  <c:v>1021.207820595175</c:v>
                </c:pt>
                <c:pt idx="6">
                  <c:v>981.23128001995656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382.15961449849715</c:v>
                </c:pt>
                <c:pt idx="1">
                  <c:v>404.40802779810053</c:v>
                </c:pt>
                <c:pt idx="2">
                  <c:v>390.73357599032846</c:v>
                </c:pt>
                <c:pt idx="3">
                  <c:v>333.47903222089241</c:v>
                </c:pt>
                <c:pt idx="4">
                  <c:v>359.66111096142492</c:v>
                </c:pt>
                <c:pt idx="5">
                  <c:v>518.51733346235471</c:v>
                </c:pt>
                <c:pt idx="6">
                  <c:v>511.3638733886076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82</c:v>
                </c:pt>
                <c:pt idx="2">
                  <c:v>256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82</c:v>
                </c:pt>
                <c:pt idx="1">
                  <c:v>174</c:v>
                </c:pt>
                <c:pt idx="2">
                  <c:v>78</c:v>
                </c:pt>
                <c:pt idx="3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183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-17</c:v>
                </c:pt>
                <c:pt idx="2">
                  <c:v>0</c:v>
                </c:pt>
                <c:pt idx="3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610</c:v>
                </c:pt>
                <c:pt idx="2">
                  <c:v>0</c:v>
                </c:pt>
                <c:pt idx="3">
                  <c:v>627</c:v>
                </c:pt>
                <c:pt idx="4">
                  <c:v>627</c:v>
                </c:pt>
                <c:pt idx="5">
                  <c:v>627</c:v>
                </c:pt>
                <c:pt idx="6">
                  <c:v>526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610</c:v>
                </c:pt>
                <c:pt idx="1">
                  <c:v>0</c:v>
                </c:pt>
                <c:pt idx="2">
                  <c:v>610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101</c:v>
                </c:pt>
                <c:pt idx="7">
                  <c:v>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790</c:v>
                </c:pt>
                <c:pt idx="2">
                  <c:v>0</c:v>
                </c:pt>
                <c:pt idx="3">
                  <c:v>807</c:v>
                </c:pt>
                <c:pt idx="4">
                  <c:v>807</c:v>
                </c:pt>
                <c:pt idx="5">
                  <c:v>807</c:v>
                </c:pt>
                <c:pt idx="6">
                  <c:v>706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790</c:v>
                </c:pt>
                <c:pt idx="1">
                  <c:v>0</c:v>
                </c:pt>
                <c:pt idx="2">
                  <c:v>790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101</c:v>
                </c:pt>
                <c:pt idx="7">
                  <c:v>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790</c:v>
                </c:pt>
                <c:pt idx="2">
                  <c:v>0</c:v>
                </c:pt>
                <c:pt idx="3">
                  <c:v>807</c:v>
                </c:pt>
                <c:pt idx="4">
                  <c:v>807</c:v>
                </c:pt>
                <c:pt idx="5">
                  <c:v>807</c:v>
                </c:pt>
                <c:pt idx="6">
                  <c:v>706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790</c:v>
                </c:pt>
                <c:pt idx="1">
                  <c:v>0</c:v>
                </c:pt>
                <c:pt idx="2">
                  <c:v>790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101</c:v>
                </c:pt>
                <c:pt idx="7">
                  <c:v>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82</c:v>
                </c:pt>
                <c:pt idx="2">
                  <c:v>267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82</c:v>
                </c:pt>
                <c:pt idx="1">
                  <c:v>185</c:v>
                </c:pt>
                <c:pt idx="2">
                  <c:v>103</c:v>
                </c:pt>
                <c:pt idx="3">
                  <c:v>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88</c:v>
                </c:pt>
                <c:pt idx="2">
                  <c:v>349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88</c:v>
                </c:pt>
                <c:pt idx="1">
                  <c:v>261</c:v>
                </c:pt>
                <c:pt idx="2">
                  <c:v>128</c:v>
                </c:pt>
                <c:pt idx="3">
                  <c:v>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88</c:v>
                </c:pt>
                <c:pt idx="2">
                  <c:v>349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88</c:v>
                </c:pt>
                <c:pt idx="1">
                  <c:v>261</c:v>
                </c:pt>
                <c:pt idx="2">
                  <c:v>128</c:v>
                </c:pt>
                <c:pt idx="3">
                  <c:v>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183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-17</c:v>
                </c:pt>
                <c:pt idx="2">
                  <c:v>0</c:v>
                </c:pt>
                <c:pt idx="3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183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-17</c:v>
                </c:pt>
                <c:pt idx="2">
                  <c:v>0</c:v>
                </c:pt>
                <c:pt idx="3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183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-17</c:v>
                </c:pt>
                <c:pt idx="2">
                  <c:v>0</c:v>
                </c:pt>
                <c:pt idx="3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486</c:v>
                </c:pt>
                <c:pt idx="2">
                  <c:v>0</c:v>
                </c:pt>
                <c:pt idx="3">
                  <c:v>503</c:v>
                </c:pt>
                <c:pt idx="4">
                  <c:v>503</c:v>
                </c:pt>
                <c:pt idx="5">
                  <c:v>503</c:v>
                </c:pt>
                <c:pt idx="6">
                  <c:v>402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486</c:v>
                </c:pt>
                <c:pt idx="1">
                  <c:v>0</c:v>
                </c:pt>
                <c:pt idx="2">
                  <c:v>486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101</c:v>
                </c:pt>
                <c:pt idx="7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3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8.75" zeroHeight="1" x14ac:dyDescent="0.4"/>
  <cols>
    <col min="1" max="1" width="5.7109375" style="47" customWidth="1"/>
    <col min="2" max="12" width="9.85546875" style="47" customWidth="1"/>
    <col min="13" max="13" width="5.42578125" style="47" customWidth="1"/>
    <col min="14" max="16383" width="9.140625" style="47" hidden="1"/>
    <col min="16384" max="16384" width="0.140625" style="47" customWidth="1"/>
  </cols>
  <sheetData>
    <row r="1" spans="1:16" ht="15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6"/>
      <c r="C2" s="46"/>
      <c r="D2" s="46"/>
      <c r="E2" s="115" t="s">
        <v>10458</v>
      </c>
      <c r="F2" s="115"/>
      <c r="G2" s="115"/>
      <c r="H2" s="115"/>
      <c r="I2" s="115"/>
      <c r="J2" s="115"/>
      <c r="K2" s="115"/>
      <c r="L2" s="115"/>
      <c r="M2" s="46"/>
    </row>
    <row r="3" spans="1:16" ht="15" customHeight="1" x14ac:dyDescent="0.6">
      <c r="A3" s="46"/>
      <c r="B3" s="46"/>
      <c r="C3" s="46"/>
      <c r="D3" s="46"/>
      <c r="E3" s="115"/>
      <c r="F3" s="115"/>
      <c r="G3" s="115"/>
      <c r="H3" s="115"/>
      <c r="I3" s="115"/>
      <c r="J3" s="115"/>
      <c r="K3" s="115"/>
      <c r="L3" s="115"/>
      <c r="M3" s="45"/>
      <c r="N3" s="44"/>
      <c r="O3" s="44"/>
      <c r="P3" s="44"/>
    </row>
    <row r="4" spans="1:16" ht="15" customHeight="1" x14ac:dyDescent="0.6">
      <c r="A4" s="46"/>
      <c r="B4" s="46"/>
      <c r="C4" s="46"/>
      <c r="D4" s="46"/>
      <c r="E4" s="116" t="s">
        <v>10459</v>
      </c>
      <c r="F4" s="116"/>
      <c r="G4" s="116"/>
      <c r="H4" s="116"/>
      <c r="I4" s="116"/>
      <c r="J4" s="116"/>
      <c r="K4" s="116"/>
      <c r="L4" s="116"/>
      <c r="M4" s="45"/>
      <c r="N4" s="44"/>
      <c r="O4" s="44"/>
      <c r="P4" s="44"/>
    </row>
    <row r="5" spans="1:16" ht="15" customHeight="1" x14ac:dyDescent="0.4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">
      <c r="A6" s="46"/>
      <c r="B6" s="118" t="s">
        <v>10536</v>
      </c>
      <c r="C6" s="118"/>
      <c r="D6" s="118"/>
      <c r="E6" s="69"/>
      <c r="F6" s="69"/>
      <c r="G6" s="69"/>
      <c r="H6" s="117" t="s">
        <v>10951</v>
      </c>
      <c r="I6" s="117"/>
      <c r="J6" s="117"/>
      <c r="K6" s="117"/>
      <c r="L6" s="117"/>
      <c r="M6" s="46"/>
    </row>
    <row r="7" spans="1:16" ht="15" customHeight="1" x14ac:dyDescent="0.4"/>
    <row r="8" spans="1:16" ht="15" customHeight="1" x14ac:dyDescent="0.4"/>
    <row r="9" spans="1:16" ht="15" customHeight="1" x14ac:dyDescent="0.4"/>
    <row r="10" spans="1:16" ht="15" customHeight="1" x14ac:dyDescent="0.4"/>
    <row r="11" spans="1:16" s="70" customFormat="1" ht="15" customHeight="1" x14ac:dyDescent="0.4"/>
    <row r="12" spans="1:16" ht="15" customHeight="1" x14ac:dyDescent="0.4"/>
    <row r="13" spans="1:16" ht="15" customHeight="1" x14ac:dyDescent="0.4">
      <c r="B13" s="113" t="s">
        <v>10471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</row>
    <row r="14" spans="1:16" ht="15" customHeight="1" x14ac:dyDescent="0.4">
      <c r="B14" s="114" t="s">
        <v>10474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</row>
    <row r="15" spans="1:16" ht="15" customHeight="1" x14ac:dyDescent="0.4">
      <c r="B15" s="114" t="s">
        <v>10472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</row>
    <row r="16" spans="1:16" ht="15" customHeight="1" x14ac:dyDescent="0.4"/>
    <row r="17" spans="2:12" ht="15" customHeight="1" x14ac:dyDescent="0.4">
      <c r="B17" s="113" t="s">
        <v>10473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</row>
    <row r="18" spans="2:12" ht="15" customHeight="1" x14ac:dyDescent="0.4">
      <c r="B18" s="114" t="s">
        <v>10475</v>
      </c>
      <c r="C18" s="114"/>
      <c r="D18" s="114"/>
      <c r="E18" s="114"/>
      <c r="F18" s="114"/>
      <c r="G18" s="114"/>
      <c r="H18" s="114"/>
      <c r="I18" s="114"/>
      <c r="J18" s="114"/>
      <c r="K18" s="114"/>
      <c r="L18" s="114"/>
    </row>
    <row r="19" spans="2:12" ht="15" customHeight="1" x14ac:dyDescent="0.4"/>
    <row r="20" spans="2:12" s="70" customFormat="1" ht="15" customHeight="1" x14ac:dyDescent="0.4"/>
    <row r="21" spans="2:12" ht="15" customHeight="1" x14ac:dyDescent="0.4"/>
    <row r="22" spans="2:12" ht="15" customHeight="1" x14ac:dyDescent="0.4"/>
    <row r="29" spans="2:12" s="70" customFormat="1" hidden="1" x14ac:dyDescent="0.4"/>
    <row r="33" s="47" customFormat="1" hidden="1" x14ac:dyDescent="0.4"/>
    <row r="34" s="47" customFormat="1" hidden="1" x14ac:dyDescent="0.4"/>
    <row r="35" s="47" customFormat="1" hidden="1" x14ac:dyDescent="0.4"/>
    <row r="36" s="47" customFormat="1" hidden="1" x14ac:dyDescent="0.4"/>
    <row r="37" s="47" customFormat="1" hidden="1" x14ac:dyDescent="0.4"/>
    <row r="38" s="47" customFormat="1" hidden="1" x14ac:dyDescent="0.4"/>
    <row r="39" s="47" customFormat="1" hidden="1" x14ac:dyDescent="0.4"/>
    <row r="40" s="47" customFormat="1" hidden="1" x14ac:dyDescent="0.4"/>
    <row r="41" s="47" customFormat="1" hidden="1" x14ac:dyDescent="0.4"/>
    <row r="42" s="47" customFormat="1" hidden="1" x14ac:dyDescent="0.4"/>
    <row r="43" s="47" customFormat="1" hidden="1" x14ac:dyDescent="0.4"/>
    <row r="44" s="47" customFormat="1" hidden="1" x14ac:dyDescent="0.4"/>
    <row r="45" s="47" customFormat="1" hidden="1" x14ac:dyDescent="0.4"/>
    <row r="46" s="70" customFormat="1" hidden="1" x14ac:dyDescent="0.4"/>
    <row r="47" s="47" customFormat="1" hidden="1" x14ac:dyDescent="0.4"/>
    <row r="48" s="47" customFormat="1" hidden="1" x14ac:dyDescent="0.4"/>
    <row r="49" s="47" customFormat="1" hidden="1" x14ac:dyDescent="0.4"/>
    <row r="50" s="47" customFormat="1" hidden="1" x14ac:dyDescent="0.4"/>
    <row r="51" s="47" customFormat="1" hidden="1" x14ac:dyDescent="0.4"/>
    <row r="52" s="47" customFormat="1" hidden="1" x14ac:dyDescent="0.4"/>
    <row r="53" s="47" customFormat="1" hidden="1" x14ac:dyDescent="0.4"/>
    <row r="54" s="47" customFormat="1" hidden="1" x14ac:dyDescent="0.4"/>
    <row r="55" s="47" customFormat="1" hidden="1" x14ac:dyDescent="0.4"/>
    <row r="56" s="47" customFormat="1" hidden="1" x14ac:dyDescent="0.4"/>
    <row r="57" s="47" customFormat="1" hidden="1" x14ac:dyDescent="0.4"/>
    <row r="58" s="47" customFormat="1" hidden="1" x14ac:dyDescent="0.4"/>
    <row r="59" s="47" customFormat="1" hidden="1" x14ac:dyDescent="0.4"/>
    <row r="60" s="47" customFormat="1" hidden="1" x14ac:dyDescent="0.4"/>
    <row r="61" s="47" customFormat="1" hidden="1" x14ac:dyDescent="0.4"/>
    <row r="62" s="47" customFormat="1" hidden="1" x14ac:dyDescent="0.4"/>
    <row r="63" s="70" customFormat="1" hidden="1" x14ac:dyDescent="0.4"/>
    <row r="64" s="47" customFormat="1" hidden="1" x14ac:dyDescent="0.4"/>
    <row r="65" s="47" customFormat="1" hidden="1" x14ac:dyDescent="0.4"/>
    <row r="66" s="47" customFormat="1" hidden="1" x14ac:dyDescent="0.4"/>
    <row r="67" s="47" customFormat="1" hidden="1" x14ac:dyDescent="0.4"/>
    <row r="68" s="47" customFormat="1" hidden="1" x14ac:dyDescent="0.4"/>
    <row r="69" s="47" customFormat="1" hidden="1" x14ac:dyDescent="0.4"/>
    <row r="70" s="47" customFormat="1" hidden="1" x14ac:dyDescent="0.4"/>
    <row r="71" s="47" customFormat="1" hidden="1" x14ac:dyDescent="0.4"/>
    <row r="72" s="47" customFormat="1" hidden="1" x14ac:dyDescent="0.4"/>
    <row r="73" s="47" customFormat="1" hidden="1" x14ac:dyDescent="0.4"/>
    <row r="74" s="47" customFormat="1" hidden="1" x14ac:dyDescent="0.4"/>
    <row r="75" s="47" customFormat="1" hidden="1" x14ac:dyDescent="0.4"/>
    <row r="76" s="47" customFormat="1" hidden="1" x14ac:dyDescent="0.4"/>
    <row r="77" s="47" customFormat="1" hidden="1" x14ac:dyDescent="0.4"/>
    <row r="78" s="47" customFormat="1" hidden="1" x14ac:dyDescent="0.4"/>
    <row r="79" s="47" customFormat="1" hidden="1" x14ac:dyDescent="0.4"/>
    <row r="80" s="70" customFormat="1" hidden="1" x14ac:dyDescent="0.4"/>
    <row r="81" s="47" customFormat="1" hidden="1" x14ac:dyDescent="0.4"/>
    <row r="82" s="47" customFormat="1" hidden="1" x14ac:dyDescent="0.4"/>
    <row r="83" s="47" customFormat="1" hidden="1" x14ac:dyDescent="0.4"/>
    <row r="84" s="47" customFormat="1" hidden="1" x14ac:dyDescent="0.4"/>
    <row r="85" s="47" customFormat="1" hidden="1" x14ac:dyDescent="0.4"/>
    <row r="86" s="47" customFormat="1" hidden="1" x14ac:dyDescent="0.4"/>
    <row r="87" s="47" customFormat="1" hidden="1" x14ac:dyDescent="0.4"/>
    <row r="88" s="47" customFormat="1" hidden="1" x14ac:dyDescent="0.4"/>
    <row r="89" s="47" customFormat="1" hidden="1" x14ac:dyDescent="0.4"/>
    <row r="90" s="47" customFormat="1" hidden="1" x14ac:dyDescent="0.4"/>
    <row r="91" s="47" customFormat="1" hidden="1" x14ac:dyDescent="0.4"/>
    <row r="92" s="47" customFormat="1" hidden="1" x14ac:dyDescent="0.4"/>
    <row r="93" s="47" customFormat="1" hidden="1" x14ac:dyDescent="0.4"/>
    <row r="94" s="47" customFormat="1" hidden="1" x14ac:dyDescent="0.4"/>
    <row r="95" s="47" customFormat="1" hidden="1" x14ac:dyDescent="0.4"/>
    <row r="96" s="47" customFormat="1" hidden="1" x14ac:dyDescent="0.4"/>
    <row r="97" s="70" customFormat="1" hidden="1" x14ac:dyDescent="0.4"/>
    <row r="98" s="47" customFormat="1" hidden="1" x14ac:dyDescent="0.4"/>
    <row r="99" s="47" customFormat="1" hidden="1" x14ac:dyDescent="0.4"/>
    <row r="100" s="47" customFormat="1" hidden="1" x14ac:dyDescent="0.4"/>
    <row r="101" s="47" customFormat="1" hidden="1" x14ac:dyDescent="0.4"/>
    <row r="102" s="47" customFormat="1" hidden="1" x14ac:dyDescent="0.4"/>
    <row r="103" s="47" customFormat="1" hidden="1" x14ac:dyDescent="0.4"/>
    <row r="104" s="47" customFormat="1" hidden="1" x14ac:dyDescent="0.4"/>
    <row r="105" s="47" customFormat="1" hidden="1" x14ac:dyDescent="0.4"/>
    <row r="106" s="47" customFormat="1" hidden="1" x14ac:dyDescent="0.4"/>
    <row r="107" s="47" customFormat="1" hidden="1" x14ac:dyDescent="0.4"/>
    <row r="108" s="47" customFormat="1" hidden="1" x14ac:dyDescent="0.4"/>
    <row r="109" s="47" customFormat="1" hidden="1" x14ac:dyDescent="0.4"/>
    <row r="110" s="47" customFormat="1" hidden="1" x14ac:dyDescent="0.4"/>
    <row r="111" s="47" customFormat="1" hidden="1" x14ac:dyDescent="0.4"/>
    <row r="112" s="47" customFormat="1" hidden="1" x14ac:dyDescent="0.4"/>
    <row r="113" s="47" customFormat="1" hidden="1" x14ac:dyDescent="0.4"/>
    <row r="114" s="70" customFormat="1" hidden="1" x14ac:dyDescent="0.4"/>
    <row r="115" s="47" customFormat="1" hidden="1" x14ac:dyDescent="0.4"/>
    <row r="116" s="47" customFormat="1" hidden="1" x14ac:dyDescent="0.4"/>
    <row r="117" s="47" customFormat="1" hidden="1" x14ac:dyDescent="0.4"/>
    <row r="118" s="47" customFormat="1" hidden="1" x14ac:dyDescent="0.4"/>
    <row r="119" s="47" customFormat="1" hidden="1" x14ac:dyDescent="0.4"/>
    <row r="120" s="47" customFormat="1" hidden="1" x14ac:dyDescent="0.4"/>
    <row r="121" s="47" customFormat="1" hidden="1" x14ac:dyDescent="0.4"/>
    <row r="122" s="47" customFormat="1" hidden="1" x14ac:dyDescent="0.4"/>
    <row r="123" s="47" customFormat="1" hidden="1" x14ac:dyDescent="0.4"/>
    <row r="124" s="47" customFormat="1" hidden="1" x14ac:dyDescent="0.4"/>
    <row r="125" s="47" customFormat="1" hidden="1" x14ac:dyDescent="0.4"/>
    <row r="126" s="47" customFormat="1" hidden="1" x14ac:dyDescent="0.4"/>
    <row r="127" s="47" customFormat="1" hidden="1" x14ac:dyDescent="0.4"/>
    <row r="128" s="47" customFormat="1" hidden="1" x14ac:dyDescent="0.4"/>
    <row r="129" s="47" customFormat="1" hidden="1" x14ac:dyDescent="0.4"/>
    <row r="130" s="47" customFormat="1" hidden="1" x14ac:dyDescent="0.4"/>
    <row r="131" s="70" customFormat="1" hidden="1" x14ac:dyDescent="0.4"/>
    <row r="132" s="47" customFormat="1" hidden="1" x14ac:dyDescent="0.4"/>
    <row r="133" s="47" customFormat="1" hidden="1" x14ac:dyDescent="0.4"/>
    <row r="134" s="47" customFormat="1" hidden="1" x14ac:dyDescent="0.4"/>
    <row r="135" s="47" customFormat="1" hidden="1" x14ac:dyDescent="0.4"/>
    <row r="136" s="47" customFormat="1" hidden="1" x14ac:dyDescent="0.4"/>
    <row r="137" s="47" customFormat="1" hidden="1" x14ac:dyDescent="0.4"/>
    <row r="138" s="47" customFormat="1" hidden="1" x14ac:dyDescent="0.4"/>
    <row r="139" s="47" customFormat="1" hidden="1" x14ac:dyDescent="0.4"/>
    <row r="140" s="47" customFormat="1" hidden="1" x14ac:dyDescent="0.4"/>
    <row r="141" s="47" customFormat="1" hidden="1" x14ac:dyDescent="0.4"/>
    <row r="142" s="47" customFormat="1" hidden="1" x14ac:dyDescent="0.4"/>
    <row r="143" s="47" customFormat="1" hidden="1" x14ac:dyDescent="0.4"/>
    <row r="144" s="47" customFormat="1" hidden="1" x14ac:dyDescent="0.4"/>
    <row r="145" s="47" customFormat="1" hidden="1" x14ac:dyDescent="0.4"/>
    <row r="146" s="47" customFormat="1" hidden="1" x14ac:dyDescent="0.4"/>
    <row r="147" s="47" customFormat="1" hidden="1" x14ac:dyDescent="0.4"/>
    <row r="148" s="70" customFormat="1" hidden="1" x14ac:dyDescent="0.4"/>
    <row r="149" s="47" customFormat="1" hidden="1" x14ac:dyDescent="0.4"/>
    <row r="150" s="47" customFormat="1" hidden="1" x14ac:dyDescent="0.4"/>
    <row r="151" s="47" customFormat="1" hidden="1" x14ac:dyDescent="0.4"/>
    <row r="152" s="47" customFormat="1" hidden="1" x14ac:dyDescent="0.4"/>
    <row r="153" s="47" customFormat="1" hidden="1" x14ac:dyDescent="0.4"/>
    <row r="154" s="47" customFormat="1" hidden="1" x14ac:dyDescent="0.4"/>
    <row r="155" s="47" customFormat="1" hidden="1" x14ac:dyDescent="0.4"/>
    <row r="156" s="47" customFormat="1" hidden="1" x14ac:dyDescent="0.4"/>
    <row r="157" s="47" customFormat="1" hidden="1" x14ac:dyDescent="0.4"/>
    <row r="158" s="47" customFormat="1" hidden="1" x14ac:dyDescent="0.4"/>
    <row r="159" s="47" customFormat="1" hidden="1" x14ac:dyDescent="0.4"/>
    <row r="160" s="47" customFormat="1" hidden="1" x14ac:dyDescent="0.4"/>
    <row r="161" s="47" customFormat="1" hidden="1" x14ac:dyDescent="0.4"/>
    <row r="162" s="47" customFormat="1" hidden="1" x14ac:dyDescent="0.4"/>
    <row r="163" s="47" customFormat="1" hidden="1" x14ac:dyDescent="0.4"/>
    <row r="164" s="47" customFormat="1" hidden="1" x14ac:dyDescent="0.4"/>
    <row r="165" s="70" customFormat="1" hidden="1" x14ac:dyDescent="0.4"/>
    <row r="166" s="47" customFormat="1" hidden="1" x14ac:dyDescent="0.4"/>
    <row r="167" s="47" customFormat="1" hidden="1" x14ac:dyDescent="0.4"/>
    <row r="168" s="47" customFormat="1" hidden="1" x14ac:dyDescent="0.4"/>
    <row r="169" s="47" customFormat="1" hidden="1" x14ac:dyDescent="0.4"/>
    <row r="170" s="47" customFormat="1" hidden="1" x14ac:dyDescent="0.4"/>
    <row r="171" s="47" customFormat="1" hidden="1" x14ac:dyDescent="0.4"/>
    <row r="172" s="47" customFormat="1" hidden="1" x14ac:dyDescent="0.4"/>
    <row r="173" s="47" customFormat="1" hidden="1" x14ac:dyDescent="0.4"/>
    <row r="174" s="47" customFormat="1" hidden="1" x14ac:dyDescent="0.4"/>
    <row r="175" s="47" customFormat="1" hidden="1" x14ac:dyDescent="0.4"/>
    <row r="176" s="47" customFormat="1" hidden="1" x14ac:dyDescent="0.4"/>
    <row r="177" s="47" customFormat="1" hidden="1" x14ac:dyDescent="0.4"/>
    <row r="178" s="47" customFormat="1" hidden="1" x14ac:dyDescent="0.4"/>
    <row r="179" s="47" customFormat="1" hidden="1" x14ac:dyDescent="0.4"/>
    <row r="180" s="47" customFormat="1" hidden="1" x14ac:dyDescent="0.4"/>
    <row r="181" s="47" customFormat="1" hidden="1" x14ac:dyDescent="0.4"/>
    <row r="182" s="70" customFormat="1" hidden="1" x14ac:dyDescent="0.4"/>
    <row r="183" s="47" customFormat="1" hidden="1" x14ac:dyDescent="0.4"/>
    <row r="184" s="47" customFormat="1" hidden="1" x14ac:dyDescent="0.4"/>
    <row r="185" s="47" customFormat="1" hidden="1" x14ac:dyDescent="0.4"/>
    <row r="186" s="47" customFormat="1" hidden="1" x14ac:dyDescent="0.4"/>
    <row r="187" s="47" customFormat="1" hidden="1" x14ac:dyDescent="0.4"/>
    <row r="188" s="47" customFormat="1" hidden="1" x14ac:dyDescent="0.4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3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35">
      <c r="A5572" s="8"/>
      <c r="B5572" s="8"/>
      <c r="C5572" s="8"/>
      <c r="D5572" s="8"/>
      <c r="E5572" s="8"/>
      <c r="F5572" s="2"/>
      <c r="G5572" s="112"/>
      <c r="H5572" s="112"/>
    </row>
    <row r="5573" spans="1:9" x14ac:dyDescent="0.35">
      <c r="A5573" s="8"/>
      <c r="B5573" s="8"/>
      <c r="C5573" s="8"/>
      <c r="D5573" s="8"/>
      <c r="E5573" s="8"/>
      <c r="F5573" s="2"/>
      <c r="G5573" s="112"/>
      <c r="H5573" s="112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1"/>
  <sheetViews>
    <sheetView topLeftCell="B1" zoomScale="80" zoomScaleNormal="80" workbookViewId="0">
      <pane ySplit="1" topLeftCell="A200" activePane="bottomLeft" state="frozen"/>
      <selection pane="bottomLeft" activeCell="J208" sqref="J208:J224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85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19" t="s">
        <v>9640</v>
      </c>
      <c r="B2" s="76" t="s">
        <v>9881</v>
      </c>
      <c r="C2" s="76" t="s">
        <v>10274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8" t="s">
        <v>10570</v>
      </c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Sim</v>
      </c>
      <c r="O2" s="79" t="s">
        <v>9780</v>
      </c>
      <c r="P2" s="79" t="s">
        <v>9780</v>
      </c>
    </row>
    <row r="3" spans="1:16" ht="17.25" customHeight="1" x14ac:dyDescent="0.35">
      <c r="A3" s="119"/>
      <c r="B3" s="76" t="s">
        <v>9881</v>
      </c>
      <c r="C3" s="76" t="s">
        <v>10274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8" t="s">
        <v>10571</v>
      </c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2" si="0">IF(F3="String",IF(I3&lt;&gt;"","Sim","Não"),IF(F3="List",IF(I3&lt;&gt;"","Sim","Não"),IF(AND(I3&gt;=O3,I3&lt;=P3,I3&lt;&gt;""),"Sim","Não")))</f>
        <v>Sim</v>
      </c>
      <c r="O3" s="79" t="s">
        <v>9780</v>
      </c>
      <c r="P3" s="79" t="s">
        <v>9780</v>
      </c>
    </row>
    <row r="4" spans="1:16" ht="17.25" customHeight="1" x14ac:dyDescent="0.35">
      <c r="A4" s="119" t="s">
        <v>9639</v>
      </c>
      <c r="B4" s="76" t="s">
        <v>9881</v>
      </c>
      <c r="C4" s="76" t="s">
        <v>10276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102">
        <v>0.9</v>
      </c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Sim</v>
      </c>
      <c r="O4" s="79">
        <v>0.75</v>
      </c>
      <c r="P4" s="79">
        <v>1.25</v>
      </c>
    </row>
    <row r="5" spans="1:16" ht="17.25" customHeight="1" x14ac:dyDescent="0.35">
      <c r="A5" s="119"/>
      <c r="B5" s="76" t="s">
        <v>9881</v>
      </c>
      <c r="C5" s="76" t="s">
        <v>10276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102">
        <v>2.5</v>
      </c>
      <c r="J5" s="80">
        <v>2.5</v>
      </c>
      <c r="K5" s="79" t="s">
        <v>9951</v>
      </c>
      <c r="L5" s="15" t="s">
        <v>9949</v>
      </c>
      <c r="M5" s="15" t="s">
        <v>9737</v>
      </c>
      <c r="N5" s="79" t="str">
        <f t="shared" si="0"/>
        <v>Sim</v>
      </c>
      <c r="O5" s="79">
        <v>0</v>
      </c>
      <c r="P5" s="79">
        <v>100</v>
      </c>
    </row>
    <row r="6" spans="1:16" ht="17.25" customHeight="1" x14ac:dyDescent="0.35">
      <c r="A6" s="119"/>
      <c r="B6" s="76" t="s">
        <v>9881</v>
      </c>
      <c r="C6" s="76" t="s">
        <v>10276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102">
        <v>0.5</v>
      </c>
      <c r="J6" s="80">
        <v>0.5</v>
      </c>
      <c r="K6" s="79" t="s">
        <v>9951</v>
      </c>
      <c r="L6" s="15" t="s">
        <v>9949</v>
      </c>
      <c r="M6" s="15" t="s">
        <v>9738</v>
      </c>
      <c r="N6" s="79" t="str">
        <f t="shared" si="0"/>
        <v>Sim</v>
      </c>
      <c r="O6" s="79">
        <v>0</v>
      </c>
      <c r="P6" s="79">
        <v>100</v>
      </c>
    </row>
    <row r="7" spans="1:16" ht="17.25" customHeight="1" x14ac:dyDescent="0.35">
      <c r="A7" s="119"/>
      <c r="B7" s="76" t="s">
        <v>9881</v>
      </c>
      <c r="C7" s="76" t="s">
        <v>10276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102">
        <v>1</v>
      </c>
      <c r="J7" s="80">
        <v>1</v>
      </c>
      <c r="K7" s="79" t="s">
        <v>9951</v>
      </c>
      <c r="L7" s="15" t="s">
        <v>9949</v>
      </c>
      <c r="M7" s="15" t="s">
        <v>9739</v>
      </c>
      <c r="N7" s="79" t="str">
        <f t="shared" si="0"/>
        <v>Sim</v>
      </c>
      <c r="O7" s="79">
        <v>0</v>
      </c>
      <c r="P7" s="79">
        <v>100</v>
      </c>
    </row>
    <row r="8" spans="1:16" ht="17.25" customHeight="1" x14ac:dyDescent="0.35">
      <c r="A8" s="119" t="s">
        <v>9660</v>
      </c>
      <c r="B8" s="76" t="s">
        <v>9881</v>
      </c>
      <c r="C8" s="76" t="s">
        <v>10275</v>
      </c>
      <c r="D8" s="77" t="s">
        <v>9646</v>
      </c>
      <c r="E8" s="78" t="s">
        <v>9672</v>
      </c>
      <c r="F8" s="79" t="s">
        <v>9687</v>
      </c>
      <c r="G8" s="79" t="s">
        <v>9719</v>
      </c>
      <c r="H8" s="79" t="s">
        <v>9634</v>
      </c>
      <c r="I8" s="103">
        <v>48.4</v>
      </c>
      <c r="J8" s="27">
        <v>48.4</v>
      </c>
      <c r="K8" s="79" t="s">
        <v>9951</v>
      </c>
      <c r="L8" s="15" t="s">
        <v>9949</v>
      </c>
      <c r="M8" s="15" t="s">
        <v>9741</v>
      </c>
      <c r="N8" s="79" t="str">
        <f t="shared" si="0"/>
        <v>Sim</v>
      </c>
      <c r="O8" s="79">
        <v>0</v>
      </c>
      <c r="P8" s="79">
        <v>100</v>
      </c>
    </row>
    <row r="9" spans="1:16" ht="17.25" customHeight="1" x14ac:dyDescent="0.35">
      <c r="A9" s="119"/>
      <c r="B9" s="76" t="s">
        <v>9881</v>
      </c>
      <c r="C9" s="76" t="s">
        <v>10275</v>
      </c>
      <c r="D9" s="77" t="s">
        <v>9647</v>
      </c>
      <c r="E9" s="78" t="s">
        <v>9673</v>
      </c>
      <c r="F9" s="79" t="s">
        <v>9687</v>
      </c>
      <c r="G9" s="79" t="s">
        <v>9719</v>
      </c>
      <c r="H9" s="79" t="s">
        <v>9634</v>
      </c>
      <c r="I9" s="103">
        <v>3</v>
      </c>
      <c r="J9" s="27">
        <v>3</v>
      </c>
      <c r="K9" s="79" t="s">
        <v>9951</v>
      </c>
      <c r="L9" s="15" t="s">
        <v>9949</v>
      </c>
      <c r="M9" s="15" t="s">
        <v>9742</v>
      </c>
      <c r="N9" s="79" t="str">
        <f t="shared" si="0"/>
        <v>Sim</v>
      </c>
      <c r="O9" s="79">
        <v>0</v>
      </c>
      <c r="P9" s="79">
        <v>100</v>
      </c>
    </row>
    <row r="10" spans="1:16" ht="17.25" customHeight="1" x14ac:dyDescent="0.35">
      <c r="A10" s="119"/>
      <c r="B10" s="76" t="s">
        <v>9881</v>
      </c>
      <c r="C10" s="76" t="s">
        <v>10275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79" t="s">
        <v>9634</v>
      </c>
      <c r="I10" s="103">
        <v>13.1</v>
      </c>
      <c r="J10" s="27">
        <v>13.1</v>
      </c>
      <c r="K10" s="79" t="s">
        <v>9951</v>
      </c>
      <c r="L10" s="15" t="s">
        <v>9949</v>
      </c>
      <c r="M10" s="15" t="s">
        <v>9743</v>
      </c>
      <c r="N10" s="79" t="str">
        <f t="shared" si="0"/>
        <v>Sim</v>
      </c>
      <c r="O10" s="79">
        <v>0</v>
      </c>
      <c r="P10" s="79">
        <v>100</v>
      </c>
    </row>
    <row r="11" spans="1:16" s="18" customFormat="1" ht="17.25" customHeight="1" x14ac:dyDescent="0.35">
      <c r="A11" s="119"/>
      <c r="B11" s="76" t="s">
        <v>9881</v>
      </c>
      <c r="C11" s="76" t="s">
        <v>10275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79" t="s">
        <v>9634</v>
      </c>
      <c r="I11" s="103">
        <v>8.9</v>
      </c>
      <c r="J11" s="27">
        <v>8.9</v>
      </c>
      <c r="K11" s="79" t="s">
        <v>9951</v>
      </c>
      <c r="L11" s="15" t="s">
        <v>9949</v>
      </c>
      <c r="M11" s="15" t="s">
        <v>9744</v>
      </c>
      <c r="N11" s="79" t="str">
        <f t="shared" si="0"/>
        <v>Sim</v>
      </c>
      <c r="O11" s="79">
        <v>0</v>
      </c>
      <c r="P11" s="79">
        <v>100</v>
      </c>
    </row>
    <row r="12" spans="1:16" ht="17.25" customHeight="1" x14ac:dyDescent="0.35">
      <c r="A12" s="119"/>
      <c r="B12" s="76" t="s">
        <v>9881</v>
      </c>
      <c r="C12" s="76" t="s">
        <v>10275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79" t="s">
        <v>9634</v>
      </c>
      <c r="I12" s="103">
        <v>4.5999999999999996</v>
      </c>
      <c r="J12" s="27">
        <v>4.5999999999999996</v>
      </c>
      <c r="K12" s="79" t="s">
        <v>9951</v>
      </c>
      <c r="L12" s="15" t="s">
        <v>9949</v>
      </c>
      <c r="M12" s="15" t="s">
        <v>9745</v>
      </c>
      <c r="N12" s="79" t="str">
        <f t="shared" si="0"/>
        <v>Sim</v>
      </c>
      <c r="O12" s="79">
        <v>0</v>
      </c>
      <c r="P12" s="79">
        <v>100</v>
      </c>
    </row>
    <row r="13" spans="1:16" ht="17.25" customHeight="1" x14ac:dyDescent="0.35">
      <c r="A13" s="119"/>
      <c r="B13" s="76" t="s">
        <v>9881</v>
      </c>
      <c r="C13" s="76" t="s">
        <v>10275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79" t="s">
        <v>9634</v>
      </c>
      <c r="I13" s="103">
        <v>2.4</v>
      </c>
      <c r="J13" s="27">
        <v>2.4</v>
      </c>
      <c r="K13" s="79" t="s">
        <v>9951</v>
      </c>
      <c r="L13" s="15" t="s">
        <v>9949</v>
      </c>
      <c r="M13" s="15" t="s">
        <v>9746</v>
      </c>
      <c r="N13" s="79" t="str">
        <f t="shared" si="0"/>
        <v>Sim</v>
      </c>
      <c r="O13" s="79">
        <v>0</v>
      </c>
      <c r="P13" s="79">
        <v>100</v>
      </c>
    </row>
    <row r="14" spans="1:16" ht="17.25" customHeight="1" x14ac:dyDescent="0.35">
      <c r="A14" s="119"/>
      <c r="B14" s="76" t="s">
        <v>9881</v>
      </c>
      <c r="C14" s="76" t="s">
        <v>10275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79" t="s">
        <v>9634</v>
      </c>
      <c r="I14" s="103">
        <v>2.2999999999999998</v>
      </c>
      <c r="J14" s="27">
        <v>2.2999999999999998</v>
      </c>
      <c r="K14" s="79" t="s">
        <v>9951</v>
      </c>
      <c r="L14" s="15" t="s">
        <v>9949</v>
      </c>
      <c r="M14" s="15" t="s">
        <v>9747</v>
      </c>
      <c r="N14" s="79" t="str">
        <f t="shared" si="0"/>
        <v>Sim</v>
      </c>
      <c r="O14" s="79">
        <v>0</v>
      </c>
      <c r="P14" s="79">
        <v>100</v>
      </c>
    </row>
    <row r="15" spans="1:16" ht="17.25" customHeight="1" x14ac:dyDescent="0.35">
      <c r="A15" s="119"/>
      <c r="B15" s="76" t="s">
        <v>9881</v>
      </c>
      <c r="C15" s="76" t="s">
        <v>10275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79" t="s">
        <v>9634</v>
      </c>
      <c r="I15" s="103">
        <v>0.6</v>
      </c>
      <c r="J15" s="27">
        <v>0.6</v>
      </c>
      <c r="K15" s="79" t="s">
        <v>9951</v>
      </c>
      <c r="L15" s="15" t="s">
        <v>9949</v>
      </c>
      <c r="M15" s="15" t="s">
        <v>9748</v>
      </c>
      <c r="N15" s="79" t="str">
        <f t="shared" si="0"/>
        <v>Sim</v>
      </c>
      <c r="O15" s="79">
        <v>0</v>
      </c>
      <c r="P15" s="79">
        <v>100</v>
      </c>
    </row>
    <row r="16" spans="1:16" ht="17.25" customHeight="1" x14ac:dyDescent="0.35">
      <c r="A16" s="119"/>
      <c r="B16" s="76" t="s">
        <v>9881</v>
      </c>
      <c r="C16" s="76" t="s">
        <v>10275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79" t="s">
        <v>9634</v>
      </c>
      <c r="I16" s="103">
        <v>2.6</v>
      </c>
      <c r="J16" s="27">
        <v>2.6</v>
      </c>
      <c r="K16" s="79" t="s">
        <v>9951</v>
      </c>
      <c r="L16" s="15" t="s">
        <v>9949</v>
      </c>
      <c r="M16" s="15" t="s">
        <v>9749</v>
      </c>
      <c r="N16" s="79" t="str">
        <f t="shared" si="0"/>
        <v>Sim</v>
      </c>
      <c r="O16" s="79">
        <v>0</v>
      </c>
      <c r="P16" s="79">
        <v>100</v>
      </c>
    </row>
    <row r="17" spans="1:16" ht="17.25" customHeight="1" x14ac:dyDescent="0.35">
      <c r="A17" s="119"/>
      <c r="B17" s="76" t="s">
        <v>9881</v>
      </c>
      <c r="C17" s="76" t="s">
        <v>10275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79" t="s">
        <v>9634</v>
      </c>
      <c r="I17" s="103">
        <v>0.7</v>
      </c>
      <c r="J17" s="27">
        <v>0.7</v>
      </c>
      <c r="K17" s="79" t="s">
        <v>9951</v>
      </c>
      <c r="L17" s="15" t="s">
        <v>9949</v>
      </c>
      <c r="M17" s="15" t="s">
        <v>9750</v>
      </c>
      <c r="N17" s="79" t="str">
        <f t="shared" si="0"/>
        <v>Sim</v>
      </c>
      <c r="O17" s="79">
        <v>0</v>
      </c>
      <c r="P17" s="79">
        <v>100</v>
      </c>
    </row>
    <row r="18" spans="1:16" ht="17.25" customHeight="1" x14ac:dyDescent="0.35">
      <c r="A18" s="119"/>
      <c r="B18" s="76" t="s">
        <v>9881</v>
      </c>
      <c r="C18" s="76" t="s">
        <v>10275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79" t="s">
        <v>9634</v>
      </c>
      <c r="I18" s="103">
        <v>4</v>
      </c>
      <c r="J18" s="27">
        <v>4</v>
      </c>
      <c r="K18" s="79" t="s">
        <v>9951</v>
      </c>
      <c r="L18" s="15" t="s">
        <v>9949</v>
      </c>
      <c r="M18" s="15" t="s">
        <v>9751</v>
      </c>
      <c r="N18" s="79" t="str">
        <f t="shared" si="0"/>
        <v>Sim</v>
      </c>
      <c r="O18" s="79">
        <v>0</v>
      </c>
      <c r="P18" s="79">
        <v>100</v>
      </c>
    </row>
    <row r="19" spans="1:16" ht="17.25" customHeight="1" x14ac:dyDescent="0.35">
      <c r="A19" s="119"/>
      <c r="B19" s="76" t="s">
        <v>9881</v>
      </c>
      <c r="C19" s="76" t="s">
        <v>10275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79" t="s">
        <v>9634</v>
      </c>
      <c r="I19" s="103">
        <v>4.7</v>
      </c>
      <c r="J19" s="27">
        <v>4.7</v>
      </c>
      <c r="K19" s="79" t="s">
        <v>9951</v>
      </c>
      <c r="L19" s="15" t="s">
        <v>9949</v>
      </c>
      <c r="M19" s="15" t="s">
        <v>9752</v>
      </c>
      <c r="N19" s="79" t="str">
        <f t="shared" si="0"/>
        <v>Sim</v>
      </c>
      <c r="O19" s="79">
        <v>0</v>
      </c>
      <c r="P19" s="79">
        <v>100</v>
      </c>
    </row>
    <row r="20" spans="1:16" s="18" customFormat="1" ht="17.25" customHeight="1" x14ac:dyDescent="0.35">
      <c r="A20" s="119"/>
      <c r="B20" s="76" t="s">
        <v>9881</v>
      </c>
      <c r="C20" s="76" t="s">
        <v>10275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79" t="s">
        <v>9634</v>
      </c>
      <c r="I20" s="103">
        <v>0</v>
      </c>
      <c r="J20" s="27">
        <v>0</v>
      </c>
      <c r="K20" s="79" t="s">
        <v>9951</v>
      </c>
      <c r="L20" s="15" t="s">
        <v>9949</v>
      </c>
      <c r="M20" s="15" t="s">
        <v>9753</v>
      </c>
      <c r="N20" s="79" t="str">
        <f t="shared" si="0"/>
        <v>Sim</v>
      </c>
      <c r="O20" s="79">
        <v>0</v>
      </c>
      <c r="P20" s="79">
        <v>100</v>
      </c>
    </row>
    <row r="21" spans="1:16" ht="17.25" customHeight="1" x14ac:dyDescent="0.35">
      <c r="A21" s="119"/>
      <c r="B21" s="76" t="s">
        <v>9881</v>
      </c>
      <c r="C21" s="76" t="s">
        <v>10275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79" t="s">
        <v>9634</v>
      </c>
      <c r="I21" s="103">
        <v>4.7</v>
      </c>
      <c r="J21" s="27">
        <v>4.7</v>
      </c>
      <c r="K21" s="79" t="s">
        <v>9951</v>
      </c>
      <c r="L21" s="15" t="s">
        <v>9949</v>
      </c>
      <c r="M21" s="15" t="s">
        <v>9754</v>
      </c>
      <c r="N21" s="79" t="str">
        <f t="shared" si="0"/>
        <v>Sim</v>
      </c>
      <c r="O21" s="79">
        <v>0</v>
      </c>
      <c r="P21" s="79">
        <v>100</v>
      </c>
    </row>
    <row r="22" spans="1:16" ht="17.25" customHeight="1" x14ac:dyDescent="0.35">
      <c r="A22" s="119"/>
      <c r="B22" s="76" t="s">
        <v>9881</v>
      </c>
      <c r="C22" s="76" t="s">
        <v>10275</v>
      </c>
      <c r="D22" s="77" t="s">
        <v>10297</v>
      </c>
      <c r="E22" s="22" t="s">
        <v>10298</v>
      </c>
      <c r="F22" s="79" t="s">
        <v>9687</v>
      </c>
      <c r="G22" s="79" t="s">
        <v>9719</v>
      </c>
      <c r="H22" s="79" t="s">
        <v>9634</v>
      </c>
      <c r="I22" s="103">
        <v>100</v>
      </c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Sim</v>
      </c>
      <c r="O22" s="79">
        <v>100</v>
      </c>
      <c r="P22" s="79">
        <v>100</v>
      </c>
    </row>
    <row r="23" spans="1:16" ht="17.25" customHeight="1" x14ac:dyDescent="0.35">
      <c r="A23" s="119" t="s">
        <v>9697</v>
      </c>
      <c r="B23" s="76" t="s">
        <v>9881</v>
      </c>
      <c r="C23" s="76" t="s">
        <v>10277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3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Sim</v>
      </c>
      <c r="O23" s="15">
        <v>20</v>
      </c>
      <c r="P23" s="15">
        <v>80</v>
      </c>
    </row>
    <row r="24" spans="1:16" ht="17.25" customHeight="1" x14ac:dyDescent="0.35">
      <c r="A24" s="119"/>
      <c r="B24" s="76" t="s">
        <v>9881</v>
      </c>
      <c r="C24" s="76" t="s">
        <v>10277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3">
        <v>30</v>
      </c>
      <c r="J24" s="27">
        <v>30</v>
      </c>
      <c r="K24" s="79" t="s">
        <v>9951</v>
      </c>
      <c r="L24" s="15" t="s">
        <v>9949</v>
      </c>
      <c r="M24" s="15" t="s">
        <v>9820</v>
      </c>
      <c r="N24" s="79" t="str">
        <f t="shared" si="0"/>
        <v>Sim</v>
      </c>
      <c r="O24" s="15">
        <v>20</v>
      </c>
      <c r="P24" s="15">
        <v>35</v>
      </c>
    </row>
    <row r="25" spans="1:16" ht="17.25" customHeight="1" x14ac:dyDescent="0.35">
      <c r="A25" s="119"/>
      <c r="B25" s="76" t="s">
        <v>9881</v>
      </c>
      <c r="C25" s="76" t="s">
        <v>10277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3">
        <v>20</v>
      </c>
      <c r="J25" s="27">
        <v>20</v>
      </c>
      <c r="K25" s="79" t="s">
        <v>9951</v>
      </c>
      <c r="L25" s="15" t="s">
        <v>9949</v>
      </c>
      <c r="M25" s="15" t="s">
        <v>9821</v>
      </c>
      <c r="N25" s="79" t="str">
        <f t="shared" si="0"/>
        <v>Sim</v>
      </c>
      <c r="O25" s="15">
        <v>15</v>
      </c>
      <c r="P25" s="15">
        <v>40</v>
      </c>
    </row>
    <row r="26" spans="1:16" ht="17.25" customHeight="1" x14ac:dyDescent="0.35">
      <c r="A26" s="119"/>
      <c r="B26" s="76" t="s">
        <v>9881</v>
      </c>
      <c r="C26" s="76" t="s">
        <v>10277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3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Sim</v>
      </c>
      <c r="O26" s="15">
        <v>75</v>
      </c>
      <c r="P26" s="15">
        <v>300</v>
      </c>
    </row>
    <row r="27" spans="1:16" ht="17.25" customHeight="1" x14ac:dyDescent="0.35">
      <c r="A27" s="119"/>
      <c r="B27" s="76" t="s">
        <v>9881</v>
      </c>
      <c r="C27" s="76" t="s">
        <v>10277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3">
        <v>200</v>
      </c>
      <c r="J27" s="27">
        <v>200</v>
      </c>
      <c r="K27" s="27" t="s">
        <v>9968</v>
      </c>
      <c r="L27" s="15" t="s">
        <v>10508</v>
      </c>
      <c r="M27" s="15" t="s">
        <v>9839</v>
      </c>
      <c r="N27" s="79" t="str">
        <f t="shared" si="0"/>
        <v>Sim</v>
      </c>
      <c r="O27" s="15">
        <v>100</v>
      </c>
      <c r="P27" s="15">
        <v>1000</v>
      </c>
    </row>
    <row r="28" spans="1:16" ht="17.25" customHeight="1" x14ac:dyDescent="0.35">
      <c r="A28" s="119"/>
      <c r="B28" s="76" t="s">
        <v>9881</v>
      </c>
      <c r="C28" s="76" t="s">
        <v>10277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3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Sim</v>
      </c>
      <c r="O28" s="15">
        <v>0</v>
      </c>
      <c r="P28" s="15">
        <v>5</v>
      </c>
    </row>
    <row r="29" spans="1:16" s="18" customFormat="1" ht="17.25" customHeight="1" x14ac:dyDescent="0.35">
      <c r="A29" s="119"/>
      <c r="B29" s="76" t="s">
        <v>9881</v>
      </c>
      <c r="C29" s="76" t="s">
        <v>10277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3">
        <v>300</v>
      </c>
      <c r="J29" s="27">
        <v>300</v>
      </c>
      <c r="K29" s="79" t="s">
        <v>9951</v>
      </c>
      <c r="L29" s="15" t="s">
        <v>9949</v>
      </c>
      <c r="M29" s="15" t="s">
        <v>9822</v>
      </c>
      <c r="N29" s="79" t="str">
        <f t="shared" si="0"/>
        <v>Sim</v>
      </c>
      <c r="O29" s="15">
        <v>200</v>
      </c>
      <c r="P29" s="15">
        <v>1000</v>
      </c>
    </row>
    <row r="30" spans="1:16" s="18" customFormat="1" ht="17.25" customHeight="1" x14ac:dyDescent="0.35">
      <c r="A30" s="119"/>
      <c r="B30" s="76" t="s">
        <v>9881</v>
      </c>
      <c r="C30" s="76" t="s">
        <v>10277</v>
      </c>
      <c r="D30" s="77" t="s">
        <v>10559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3">
        <v>50</v>
      </c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Sim</v>
      </c>
      <c r="O30" s="15">
        <v>0</v>
      </c>
      <c r="P30" s="15">
        <v>500</v>
      </c>
    </row>
    <row r="31" spans="1:16" ht="17.25" customHeight="1" x14ac:dyDescent="0.35">
      <c r="A31" s="119"/>
      <c r="B31" s="76" t="s">
        <v>9881</v>
      </c>
      <c r="C31" s="76" t="s">
        <v>10277</v>
      </c>
      <c r="D31" s="77" t="s">
        <v>9693</v>
      </c>
      <c r="E31" s="82" t="s">
        <v>10560</v>
      </c>
      <c r="F31" s="79" t="s">
        <v>9687</v>
      </c>
      <c r="G31" s="79" t="s">
        <v>9720</v>
      </c>
      <c r="H31" s="79" t="s">
        <v>9634</v>
      </c>
      <c r="I31" s="104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5">
        <v>0</v>
      </c>
      <c r="P31" s="15">
        <v>100</v>
      </c>
    </row>
    <row r="32" spans="1:16" ht="17.25" customHeight="1" x14ac:dyDescent="0.35">
      <c r="A32" s="119" t="s">
        <v>9711</v>
      </c>
      <c r="B32" s="76" t="s">
        <v>9965</v>
      </c>
      <c r="C32" s="76" t="s">
        <v>10282</v>
      </c>
      <c r="D32" s="77" t="s">
        <v>10299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102">
        <v>1.24</v>
      </c>
      <c r="J32" s="80">
        <v>1.24</v>
      </c>
      <c r="K32" s="79" t="s">
        <v>9951</v>
      </c>
      <c r="L32" s="15" t="s">
        <v>9949</v>
      </c>
      <c r="M32" s="15" t="s">
        <v>9713</v>
      </c>
      <c r="N32" s="79" t="str">
        <f t="shared" si="0"/>
        <v>Sim</v>
      </c>
      <c r="O32" s="15">
        <v>0.5</v>
      </c>
      <c r="P32" s="15">
        <v>2.5</v>
      </c>
    </row>
    <row r="33" spans="1:16" ht="17.25" customHeight="1" x14ac:dyDescent="0.35">
      <c r="A33" s="119"/>
      <c r="B33" s="76" t="s">
        <v>9965</v>
      </c>
      <c r="C33" s="76" t="s">
        <v>10282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102">
        <v>30</v>
      </c>
      <c r="J33" s="80">
        <v>30</v>
      </c>
      <c r="K33" s="79" t="s">
        <v>9951</v>
      </c>
      <c r="L33" s="15" t="s">
        <v>9949</v>
      </c>
      <c r="M33" s="15" t="s">
        <v>9715</v>
      </c>
      <c r="N33" s="79" t="str">
        <f t="shared" si="0"/>
        <v>Sim</v>
      </c>
      <c r="O33" s="15">
        <v>0</v>
      </c>
      <c r="P33" s="15">
        <v>100</v>
      </c>
    </row>
    <row r="34" spans="1:16" ht="17.25" customHeight="1" x14ac:dyDescent="0.35">
      <c r="A34" s="119"/>
      <c r="B34" s="76" t="s">
        <v>9965</v>
      </c>
      <c r="C34" s="76" t="s">
        <v>10282</v>
      </c>
      <c r="D34" s="77" t="s">
        <v>10450</v>
      </c>
      <c r="E34" s="78" t="s">
        <v>10452</v>
      </c>
      <c r="F34" s="79" t="s">
        <v>9687</v>
      </c>
      <c r="G34" s="79" t="s">
        <v>9719</v>
      </c>
      <c r="H34" s="79" t="s">
        <v>10456</v>
      </c>
      <c r="I34" s="102">
        <v>150</v>
      </c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Sim</v>
      </c>
      <c r="O34" s="15">
        <v>0</v>
      </c>
      <c r="P34" s="15">
        <v>500</v>
      </c>
    </row>
    <row r="35" spans="1:16" ht="17.25" customHeight="1" x14ac:dyDescent="0.35">
      <c r="A35" s="119"/>
      <c r="B35" s="76" t="s">
        <v>9965</v>
      </c>
      <c r="C35" s="76" t="s">
        <v>10282</v>
      </c>
      <c r="D35" s="77" t="s">
        <v>10451</v>
      </c>
      <c r="E35" s="78" t="s">
        <v>10453</v>
      </c>
      <c r="F35" s="79" t="s">
        <v>9687</v>
      </c>
      <c r="G35" s="79" t="s">
        <v>9719</v>
      </c>
      <c r="H35" s="79" t="s">
        <v>10456</v>
      </c>
      <c r="I35" s="102">
        <v>25</v>
      </c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Sim</v>
      </c>
      <c r="O35" s="15">
        <v>0</v>
      </c>
      <c r="P35" s="15">
        <v>250</v>
      </c>
    </row>
    <row r="36" spans="1:16" ht="17.25" customHeight="1" x14ac:dyDescent="0.35">
      <c r="A36" s="119"/>
      <c r="B36" s="76" t="s">
        <v>9965</v>
      </c>
      <c r="C36" s="76" t="s">
        <v>10313</v>
      </c>
      <c r="D36" s="77" t="s">
        <v>10314</v>
      </c>
      <c r="E36" s="78" t="s">
        <v>10315</v>
      </c>
      <c r="F36" s="79" t="s">
        <v>9642</v>
      </c>
      <c r="G36" s="79" t="s">
        <v>9719</v>
      </c>
      <c r="H36" s="79" t="s">
        <v>9688</v>
      </c>
      <c r="I36" s="105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Sim</v>
      </c>
      <c r="O36" s="15" t="s">
        <v>9780</v>
      </c>
      <c r="P36" s="15" t="s">
        <v>9780</v>
      </c>
    </row>
    <row r="37" spans="1:16" ht="17.25" customHeight="1" x14ac:dyDescent="0.35">
      <c r="A37" s="119"/>
      <c r="B37" s="76" t="s">
        <v>10316</v>
      </c>
      <c r="C37" s="76" t="s">
        <v>10313</v>
      </c>
      <c r="D37" s="77" t="s">
        <v>10317</v>
      </c>
      <c r="E37" s="78" t="s">
        <v>10318</v>
      </c>
      <c r="F37" s="79" t="s">
        <v>9642</v>
      </c>
      <c r="G37" s="79" t="s">
        <v>9719</v>
      </c>
      <c r="H37" s="79" t="s">
        <v>9688</v>
      </c>
      <c r="I37" s="105" t="s">
        <v>9720</v>
      </c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Sim</v>
      </c>
      <c r="O37" s="15" t="s">
        <v>9780</v>
      </c>
      <c r="P37" s="15" t="s">
        <v>9780</v>
      </c>
    </row>
    <row r="38" spans="1:16" ht="17.25" customHeight="1" x14ac:dyDescent="0.35">
      <c r="A38" s="119" t="s">
        <v>9956</v>
      </c>
      <c r="B38" s="15" t="s">
        <v>9965</v>
      </c>
      <c r="C38" s="15" t="s">
        <v>10278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5">
        <v>10</v>
      </c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Sim</v>
      </c>
      <c r="O38" s="15">
        <v>1</v>
      </c>
      <c r="P38" s="15">
        <v>25</v>
      </c>
    </row>
    <row r="39" spans="1:16" ht="17.25" customHeight="1" x14ac:dyDescent="0.35">
      <c r="A39" s="119"/>
      <c r="B39" s="15" t="s">
        <v>9965</v>
      </c>
      <c r="C39" s="15" t="s">
        <v>10278</v>
      </c>
      <c r="D39" s="81" t="s">
        <v>10563</v>
      </c>
      <c r="E39" s="22" t="s">
        <v>10564</v>
      </c>
      <c r="F39" s="15" t="s">
        <v>9687</v>
      </c>
      <c r="G39" s="15" t="s">
        <v>9719</v>
      </c>
      <c r="H39" s="15" t="s">
        <v>10565</v>
      </c>
      <c r="I39" s="105">
        <v>2</v>
      </c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Sim</v>
      </c>
      <c r="O39" s="15">
        <v>1</v>
      </c>
      <c r="P39" s="15">
        <v>3</v>
      </c>
    </row>
    <row r="40" spans="1:16" ht="17.25" customHeight="1" x14ac:dyDescent="0.35">
      <c r="A40" s="119"/>
      <c r="B40" s="15" t="s">
        <v>9965</v>
      </c>
      <c r="C40" s="15" t="s">
        <v>10278</v>
      </c>
      <c r="D40" s="81" t="s">
        <v>9958</v>
      </c>
      <c r="E40" s="22" t="s">
        <v>9960</v>
      </c>
      <c r="F40" s="15" t="s">
        <v>9687</v>
      </c>
      <c r="G40" s="15" t="s">
        <v>9719</v>
      </c>
      <c r="H40" s="15" t="s">
        <v>9783</v>
      </c>
      <c r="I40" s="105">
        <v>0</v>
      </c>
      <c r="J40" s="15">
        <v>0</v>
      </c>
      <c r="K40" s="15" t="s">
        <v>9780</v>
      </c>
      <c r="L40" s="15" t="s">
        <v>9780</v>
      </c>
      <c r="M40" s="15" t="s">
        <v>9780</v>
      </c>
      <c r="N40" s="79" t="str">
        <f t="shared" si="0"/>
        <v>Sim</v>
      </c>
      <c r="O40" s="15">
        <v>0</v>
      </c>
      <c r="P40" s="15">
        <v>500</v>
      </c>
    </row>
    <row r="41" spans="1:16" ht="17.25" customHeight="1" x14ac:dyDescent="0.35">
      <c r="A41" s="119"/>
      <c r="B41" s="76" t="s">
        <v>9965</v>
      </c>
      <c r="C41" s="76" t="s">
        <v>10278</v>
      </c>
      <c r="D41" s="81" t="s">
        <v>9953</v>
      </c>
      <c r="E41" s="22" t="s">
        <v>9954</v>
      </c>
      <c r="F41" s="15" t="s">
        <v>9642</v>
      </c>
      <c r="G41" s="15" t="s">
        <v>9719</v>
      </c>
      <c r="H41" s="15" t="s">
        <v>9955</v>
      </c>
      <c r="I41" s="105" t="s">
        <v>10572</v>
      </c>
      <c r="J41" s="15" t="s">
        <v>9780</v>
      </c>
      <c r="K41" s="15" t="s">
        <v>9780</v>
      </c>
      <c r="L41" s="15" t="s">
        <v>9780</v>
      </c>
      <c r="M41" s="15" t="s">
        <v>9780</v>
      </c>
      <c r="N41" s="79" t="str">
        <f t="shared" si="0"/>
        <v>Sim</v>
      </c>
      <c r="O41" s="15" t="s">
        <v>9780</v>
      </c>
      <c r="P41" s="15" t="s">
        <v>9780</v>
      </c>
    </row>
    <row r="42" spans="1:16" ht="17.25" customHeight="1" x14ac:dyDescent="0.35">
      <c r="A42" s="119"/>
      <c r="B42" s="76" t="s">
        <v>9965</v>
      </c>
      <c r="C42" s="76" t="s">
        <v>10313</v>
      </c>
      <c r="D42" s="81" t="s">
        <v>10295</v>
      </c>
      <c r="E42" s="22" t="s">
        <v>10296</v>
      </c>
      <c r="F42" s="15" t="s">
        <v>9642</v>
      </c>
      <c r="G42" s="15" t="s">
        <v>9719</v>
      </c>
      <c r="H42" s="15" t="s">
        <v>9688</v>
      </c>
      <c r="I42" s="105" t="s">
        <v>9720</v>
      </c>
      <c r="J42" s="15" t="s">
        <v>9719</v>
      </c>
      <c r="K42" s="15" t="s">
        <v>9780</v>
      </c>
      <c r="L42" s="15" t="s">
        <v>9780</v>
      </c>
      <c r="M42" s="15" t="s">
        <v>9780</v>
      </c>
      <c r="N42" s="79" t="str">
        <f t="shared" si="0"/>
        <v>Sim</v>
      </c>
      <c r="O42" s="15" t="s">
        <v>9780</v>
      </c>
      <c r="P42" s="15" t="s">
        <v>9780</v>
      </c>
    </row>
    <row r="43" spans="1:16" ht="17.25" customHeight="1" x14ac:dyDescent="0.4">
      <c r="A43" s="119" t="s">
        <v>10002</v>
      </c>
      <c r="B43" s="76" t="s">
        <v>9865</v>
      </c>
      <c r="C43" s="76" t="s">
        <v>10285</v>
      </c>
      <c r="D43" s="81" t="s">
        <v>10003</v>
      </c>
      <c r="E43" s="22" t="s">
        <v>10009</v>
      </c>
      <c r="F43" s="15" t="s">
        <v>9687</v>
      </c>
      <c r="G43" s="15" t="s">
        <v>9719</v>
      </c>
      <c r="H43" s="15" t="s">
        <v>10162</v>
      </c>
      <c r="I43" s="105">
        <v>100</v>
      </c>
      <c r="J43" s="15">
        <v>100</v>
      </c>
      <c r="K43" s="79" t="s">
        <v>9951</v>
      </c>
      <c r="L43" s="83" t="s">
        <v>10005</v>
      </c>
      <c r="M43" s="83" t="s">
        <v>10006</v>
      </c>
      <c r="N43" s="79" t="str">
        <f t="shared" si="0"/>
        <v>Sim</v>
      </c>
      <c r="O43" s="15">
        <v>20</v>
      </c>
      <c r="P43" s="15">
        <v>100</v>
      </c>
    </row>
    <row r="44" spans="1:16" ht="17.25" customHeight="1" x14ac:dyDescent="0.4">
      <c r="A44" s="119"/>
      <c r="B44" s="76" t="s">
        <v>9865</v>
      </c>
      <c r="C44" s="76" t="s">
        <v>10285</v>
      </c>
      <c r="D44" s="81" t="s">
        <v>10004</v>
      </c>
      <c r="E44" s="22" t="s">
        <v>10008</v>
      </c>
      <c r="F44" s="15" t="s">
        <v>9687</v>
      </c>
      <c r="G44" s="15" t="s">
        <v>9719</v>
      </c>
      <c r="H44" s="15" t="s">
        <v>10162</v>
      </c>
      <c r="I44" s="105">
        <v>25</v>
      </c>
      <c r="J44" s="15">
        <v>25</v>
      </c>
      <c r="K44" s="79" t="s">
        <v>9951</v>
      </c>
      <c r="L44" s="83" t="s">
        <v>10163</v>
      </c>
      <c r="M44" s="83" t="s">
        <v>10007</v>
      </c>
      <c r="N44" s="79" t="str">
        <f t="shared" si="0"/>
        <v>Sim</v>
      </c>
      <c r="O44" s="15">
        <v>5</v>
      </c>
      <c r="P44" s="15">
        <v>50</v>
      </c>
    </row>
    <row r="45" spans="1:16" ht="17.25" customHeight="1" x14ac:dyDescent="0.35">
      <c r="A45" s="119" t="s">
        <v>9732</v>
      </c>
      <c r="B45" s="76" t="s">
        <v>9865</v>
      </c>
      <c r="C45" s="76" t="s">
        <v>10279</v>
      </c>
      <c r="D45" s="81" t="s">
        <v>9722</v>
      </c>
      <c r="E45" s="82" t="s">
        <v>9996</v>
      </c>
      <c r="F45" s="79" t="s">
        <v>9687</v>
      </c>
      <c r="G45" s="79" t="s">
        <v>9719</v>
      </c>
      <c r="H45" s="15" t="s">
        <v>9733</v>
      </c>
      <c r="I45" s="103">
        <v>6</v>
      </c>
      <c r="J45" s="27">
        <v>6</v>
      </c>
      <c r="K45" s="79" t="s">
        <v>9951</v>
      </c>
      <c r="L45" s="15" t="s">
        <v>9949</v>
      </c>
      <c r="M45" s="15" t="s">
        <v>9736</v>
      </c>
      <c r="N45" s="79" t="str">
        <f t="shared" si="0"/>
        <v>Sim</v>
      </c>
      <c r="O45" s="15">
        <v>1</v>
      </c>
      <c r="P45" s="15">
        <v>10</v>
      </c>
    </row>
    <row r="46" spans="1:16" ht="17.25" customHeight="1" x14ac:dyDescent="0.35">
      <c r="A46" s="119"/>
      <c r="B46" s="76" t="s">
        <v>9865</v>
      </c>
      <c r="C46" s="76" t="s">
        <v>10279</v>
      </c>
      <c r="D46" s="81" t="s">
        <v>9723</v>
      </c>
      <c r="E46" s="82" t="s">
        <v>9997</v>
      </c>
      <c r="F46" s="79" t="s">
        <v>9687</v>
      </c>
      <c r="G46" s="79" t="s">
        <v>9719</v>
      </c>
      <c r="H46" s="15" t="s">
        <v>10122</v>
      </c>
      <c r="I46" s="103">
        <v>5.5</v>
      </c>
      <c r="J46" s="27">
        <v>5.5</v>
      </c>
      <c r="K46" s="79" t="s">
        <v>9951</v>
      </c>
      <c r="L46" s="15" t="s">
        <v>9949</v>
      </c>
      <c r="M46" s="15" t="s">
        <v>9737</v>
      </c>
      <c r="N46" s="79" t="str">
        <f t="shared" si="0"/>
        <v>Sim</v>
      </c>
      <c r="O46" s="15">
        <v>1</v>
      </c>
      <c r="P46" s="15">
        <v>10</v>
      </c>
    </row>
    <row r="47" spans="1:16" ht="17.25" customHeight="1" x14ac:dyDescent="0.35">
      <c r="A47" s="119"/>
      <c r="B47" s="76" t="s">
        <v>9865</v>
      </c>
      <c r="C47" s="76" t="s">
        <v>10279</v>
      </c>
      <c r="D47" s="81" t="s">
        <v>9724</v>
      </c>
      <c r="E47" s="82" t="s">
        <v>10134</v>
      </c>
      <c r="F47" s="79" t="s">
        <v>9687</v>
      </c>
      <c r="G47" s="79" t="s">
        <v>9719</v>
      </c>
      <c r="H47" s="15" t="s">
        <v>9634</v>
      </c>
      <c r="I47" s="103">
        <v>40</v>
      </c>
      <c r="J47" s="27">
        <v>40</v>
      </c>
      <c r="K47" s="79" t="s">
        <v>9951</v>
      </c>
      <c r="L47" s="15" t="s">
        <v>9949</v>
      </c>
      <c r="M47" s="15" t="s">
        <v>9738</v>
      </c>
      <c r="N47" s="79" t="str">
        <f t="shared" si="0"/>
        <v>Sim</v>
      </c>
      <c r="O47" s="15">
        <v>10</v>
      </c>
      <c r="P47" s="15">
        <v>60</v>
      </c>
    </row>
    <row r="48" spans="1:16" s="18" customFormat="1" ht="17.25" customHeight="1" x14ac:dyDescent="0.35">
      <c r="A48" s="119"/>
      <c r="B48" s="76" t="s">
        <v>9865</v>
      </c>
      <c r="C48" s="76" t="s">
        <v>10279</v>
      </c>
      <c r="D48" s="81" t="s">
        <v>9725</v>
      </c>
      <c r="E48" s="82" t="s">
        <v>9999</v>
      </c>
      <c r="F48" s="79" t="s">
        <v>9687</v>
      </c>
      <c r="G48" s="79" t="s">
        <v>9719</v>
      </c>
      <c r="H48" s="15" t="s">
        <v>9734</v>
      </c>
      <c r="I48" s="103">
        <v>0</v>
      </c>
      <c r="J48" s="27">
        <v>0</v>
      </c>
      <c r="K48" s="79" t="s">
        <v>9951</v>
      </c>
      <c r="L48" s="15" t="s">
        <v>9949</v>
      </c>
      <c r="M48" s="15" t="s">
        <v>9739</v>
      </c>
      <c r="N48" s="79" t="str">
        <f t="shared" si="0"/>
        <v>Sim</v>
      </c>
      <c r="O48" s="15">
        <v>0</v>
      </c>
      <c r="P48" s="15">
        <v>1000</v>
      </c>
    </row>
    <row r="49" spans="1:16" ht="17.25" customHeight="1" x14ac:dyDescent="0.35">
      <c r="A49" s="119"/>
      <c r="B49" s="76" t="s">
        <v>9865</v>
      </c>
      <c r="C49" s="76" t="s">
        <v>10279</v>
      </c>
      <c r="D49" s="81" t="s">
        <v>9726</v>
      </c>
      <c r="E49" s="82" t="s">
        <v>10000</v>
      </c>
      <c r="F49" s="79" t="s">
        <v>9687</v>
      </c>
      <c r="G49" s="79" t="s">
        <v>9719</v>
      </c>
      <c r="H49" s="15" t="s">
        <v>9734</v>
      </c>
      <c r="I49" s="103">
        <v>25</v>
      </c>
      <c r="J49" s="27">
        <v>25</v>
      </c>
      <c r="K49" s="79" t="s">
        <v>9951</v>
      </c>
      <c r="L49" s="15" t="s">
        <v>9949</v>
      </c>
      <c r="M49" s="15" t="s">
        <v>9713</v>
      </c>
      <c r="N49" s="79" t="str">
        <f t="shared" si="0"/>
        <v>Sim</v>
      </c>
      <c r="O49" s="15">
        <v>0</v>
      </c>
      <c r="P49" s="15">
        <v>100</v>
      </c>
    </row>
    <row r="50" spans="1:16" ht="17.25" customHeight="1" x14ac:dyDescent="0.35">
      <c r="A50" s="119"/>
      <c r="B50" s="76" t="s">
        <v>9865</v>
      </c>
      <c r="C50" s="76" t="s">
        <v>10279</v>
      </c>
      <c r="D50" s="81" t="s">
        <v>9727</v>
      </c>
      <c r="E50" s="82" t="s">
        <v>10001</v>
      </c>
      <c r="F50" s="79" t="s">
        <v>9687</v>
      </c>
      <c r="G50" s="79" t="s">
        <v>9719</v>
      </c>
      <c r="H50" s="15" t="s">
        <v>9734</v>
      </c>
      <c r="I50" s="103">
        <v>500</v>
      </c>
      <c r="J50" s="27">
        <v>500</v>
      </c>
      <c r="K50" s="79" t="s">
        <v>9951</v>
      </c>
      <c r="L50" s="15" t="s">
        <v>9949</v>
      </c>
      <c r="M50" s="15" t="s">
        <v>9714</v>
      </c>
      <c r="N50" s="79" t="str">
        <f t="shared" si="0"/>
        <v>Sim</v>
      </c>
      <c r="O50" s="15">
        <v>0</v>
      </c>
      <c r="P50" s="15">
        <v>5000</v>
      </c>
    </row>
    <row r="51" spans="1:16" ht="17.25" customHeight="1" x14ac:dyDescent="0.35">
      <c r="A51" s="119"/>
      <c r="B51" s="76" t="s">
        <v>9865</v>
      </c>
      <c r="C51" s="76" t="s">
        <v>10279</v>
      </c>
      <c r="D51" s="81" t="s">
        <v>9728</v>
      </c>
      <c r="E51" s="82" t="s">
        <v>10117</v>
      </c>
      <c r="F51" s="79" t="s">
        <v>9687</v>
      </c>
      <c r="G51" s="79" t="s">
        <v>9719</v>
      </c>
      <c r="H51" s="15" t="s">
        <v>9634</v>
      </c>
      <c r="I51" s="103">
        <v>65</v>
      </c>
      <c r="J51" s="27">
        <v>65</v>
      </c>
      <c r="K51" s="79" t="s">
        <v>9951</v>
      </c>
      <c r="L51" s="15" t="s">
        <v>9949</v>
      </c>
      <c r="M51" s="15" t="s">
        <v>9715</v>
      </c>
      <c r="N51" s="79" t="str">
        <f t="shared" si="0"/>
        <v>Sim</v>
      </c>
      <c r="O51" s="15">
        <v>25</v>
      </c>
      <c r="P51" s="15">
        <v>100</v>
      </c>
    </row>
    <row r="52" spans="1:16" ht="17.25" customHeight="1" x14ac:dyDescent="0.35">
      <c r="A52" s="119"/>
      <c r="B52" s="76" t="s">
        <v>9865</v>
      </c>
      <c r="C52" s="76" t="s">
        <v>10279</v>
      </c>
      <c r="D52" s="81" t="s">
        <v>9729</v>
      </c>
      <c r="E52" s="82" t="s">
        <v>10118</v>
      </c>
      <c r="F52" s="79" t="s">
        <v>9687</v>
      </c>
      <c r="G52" s="79" t="s">
        <v>9719</v>
      </c>
      <c r="H52" s="15" t="s">
        <v>9735</v>
      </c>
      <c r="I52" s="103">
        <v>5000</v>
      </c>
      <c r="J52" s="27">
        <v>5000</v>
      </c>
      <c r="K52" s="79" t="s">
        <v>9951</v>
      </c>
      <c r="L52" s="15" t="s">
        <v>9949</v>
      </c>
      <c r="M52" s="15" t="s">
        <v>9740</v>
      </c>
      <c r="N52" s="79" t="str">
        <f t="shared" si="0"/>
        <v>Sim</v>
      </c>
      <c r="O52" s="15">
        <v>3000</v>
      </c>
      <c r="P52" s="15">
        <v>10000</v>
      </c>
    </row>
    <row r="53" spans="1:16" ht="17.25" customHeight="1" x14ac:dyDescent="0.35">
      <c r="A53" s="119"/>
      <c r="B53" s="76" t="s">
        <v>9865</v>
      </c>
      <c r="C53" s="76" t="s">
        <v>10279</v>
      </c>
      <c r="D53" s="81" t="s">
        <v>9730</v>
      </c>
      <c r="E53" s="82" t="s">
        <v>10119</v>
      </c>
      <c r="F53" s="79" t="s">
        <v>9687</v>
      </c>
      <c r="G53" s="79" t="s">
        <v>9719</v>
      </c>
      <c r="H53" s="15" t="s">
        <v>9734</v>
      </c>
      <c r="I53" s="103">
        <v>1500</v>
      </c>
      <c r="J53" s="27">
        <v>1500</v>
      </c>
      <c r="K53" s="79" t="s">
        <v>9951</v>
      </c>
      <c r="L53" s="15" t="s">
        <v>9949</v>
      </c>
      <c r="M53" s="15" t="s">
        <v>9741</v>
      </c>
      <c r="N53" s="79" t="str">
        <f t="shared" si="0"/>
        <v>Sim</v>
      </c>
      <c r="O53" s="15">
        <v>1000</v>
      </c>
      <c r="P53" s="15">
        <v>5000</v>
      </c>
    </row>
    <row r="54" spans="1:16" ht="17.25" customHeight="1" x14ac:dyDescent="0.35">
      <c r="A54" s="119"/>
      <c r="B54" s="76" t="s">
        <v>9865</v>
      </c>
      <c r="C54" s="76" t="s">
        <v>10279</v>
      </c>
      <c r="D54" s="81" t="s">
        <v>9731</v>
      </c>
      <c r="E54" s="82" t="s">
        <v>9998</v>
      </c>
      <c r="F54" s="79" t="s">
        <v>9687</v>
      </c>
      <c r="G54" s="79" t="s">
        <v>9719</v>
      </c>
      <c r="H54" s="15" t="s">
        <v>9634</v>
      </c>
      <c r="I54" s="103">
        <v>0</v>
      </c>
      <c r="J54" s="27">
        <v>0</v>
      </c>
      <c r="K54" s="79" t="s">
        <v>9951</v>
      </c>
      <c r="L54" s="15" t="s">
        <v>9949</v>
      </c>
      <c r="M54" s="15" t="s">
        <v>9742</v>
      </c>
      <c r="N54" s="79" t="str">
        <f t="shared" si="0"/>
        <v>Sim</v>
      </c>
      <c r="O54" s="15">
        <v>0</v>
      </c>
      <c r="P54" s="15">
        <v>100</v>
      </c>
    </row>
    <row r="55" spans="1:16" ht="17.25" customHeight="1" x14ac:dyDescent="0.35">
      <c r="A55" s="119"/>
      <c r="B55" s="76" t="s">
        <v>9865</v>
      </c>
      <c r="C55" s="76" t="s">
        <v>10279</v>
      </c>
      <c r="D55" s="81" t="s">
        <v>10300</v>
      </c>
      <c r="E55" s="82" t="s">
        <v>10120</v>
      </c>
      <c r="F55" s="79" t="s">
        <v>9687</v>
      </c>
      <c r="G55" s="79" t="s">
        <v>9719</v>
      </c>
      <c r="H55" s="15" t="s">
        <v>9634</v>
      </c>
      <c r="I55" s="103">
        <v>25</v>
      </c>
      <c r="J55" s="27">
        <v>25</v>
      </c>
      <c r="K55" s="79" t="s">
        <v>9951</v>
      </c>
      <c r="L55" s="15" t="s">
        <v>9949</v>
      </c>
      <c r="M55" s="15" t="s">
        <v>9743</v>
      </c>
      <c r="N55" s="79" t="str">
        <f t="shared" si="0"/>
        <v>Sim</v>
      </c>
      <c r="O55" s="15">
        <v>0</v>
      </c>
      <c r="P55" s="15">
        <v>50</v>
      </c>
    </row>
    <row r="56" spans="1:16" ht="17.25" customHeight="1" x14ac:dyDescent="0.35">
      <c r="A56" s="119"/>
      <c r="B56" s="76" t="s">
        <v>9865</v>
      </c>
      <c r="C56" s="76" t="s">
        <v>10279</v>
      </c>
      <c r="D56" s="81" t="s">
        <v>10301</v>
      </c>
      <c r="E56" s="82" t="s">
        <v>10121</v>
      </c>
      <c r="F56" s="79" t="s">
        <v>9687</v>
      </c>
      <c r="G56" s="79" t="s">
        <v>9719</v>
      </c>
      <c r="H56" s="15" t="s">
        <v>9634</v>
      </c>
      <c r="I56" s="103">
        <v>0</v>
      </c>
      <c r="J56" s="27">
        <v>0</v>
      </c>
      <c r="K56" s="79" t="s">
        <v>9951</v>
      </c>
      <c r="L56" s="15" t="s">
        <v>9949</v>
      </c>
      <c r="M56" s="15" t="s">
        <v>9744</v>
      </c>
      <c r="N56" s="79" t="str">
        <f t="shared" si="0"/>
        <v>Sim</v>
      </c>
      <c r="O56" s="15">
        <v>0</v>
      </c>
      <c r="P56" s="15">
        <v>25</v>
      </c>
    </row>
    <row r="57" spans="1:16" ht="17.25" customHeight="1" x14ac:dyDescent="0.35">
      <c r="A57" s="119"/>
      <c r="B57" s="76" t="s">
        <v>9865</v>
      </c>
      <c r="C57" s="76" t="s">
        <v>10279</v>
      </c>
      <c r="D57" s="81" t="s">
        <v>10302</v>
      </c>
      <c r="E57" s="82" t="s">
        <v>10125</v>
      </c>
      <c r="F57" s="79" t="s">
        <v>9687</v>
      </c>
      <c r="G57" s="79" t="s">
        <v>9719</v>
      </c>
      <c r="H57" s="15" t="s">
        <v>9634</v>
      </c>
      <c r="I57" s="103">
        <v>25</v>
      </c>
      <c r="J57" s="27">
        <v>25</v>
      </c>
      <c r="K57" s="79" t="s">
        <v>9951</v>
      </c>
      <c r="L57" s="15" t="s">
        <v>9949</v>
      </c>
      <c r="M57" s="15" t="s">
        <v>9745</v>
      </c>
      <c r="N57" s="79" t="str">
        <f t="shared" si="0"/>
        <v>Sim</v>
      </c>
      <c r="O57" s="15">
        <v>0</v>
      </c>
      <c r="P57" s="15">
        <v>50</v>
      </c>
    </row>
    <row r="58" spans="1:16" ht="17.25" customHeight="1" x14ac:dyDescent="0.35">
      <c r="A58" s="119"/>
      <c r="B58" s="76" t="s">
        <v>9865</v>
      </c>
      <c r="C58" s="76" t="s">
        <v>10279</v>
      </c>
      <c r="D58" s="81" t="s">
        <v>10303</v>
      </c>
      <c r="E58" s="82" t="s">
        <v>10126</v>
      </c>
      <c r="F58" s="79" t="s">
        <v>9687</v>
      </c>
      <c r="G58" s="79" t="s">
        <v>9719</v>
      </c>
      <c r="H58" s="15" t="s">
        <v>9634</v>
      </c>
      <c r="I58" s="103">
        <v>0</v>
      </c>
      <c r="J58" s="27">
        <v>0</v>
      </c>
      <c r="K58" s="79" t="s">
        <v>9951</v>
      </c>
      <c r="L58" s="15" t="s">
        <v>9949</v>
      </c>
      <c r="M58" s="15" t="s">
        <v>9746</v>
      </c>
      <c r="N58" s="79" t="str">
        <f t="shared" si="0"/>
        <v>Sim</v>
      </c>
      <c r="O58" s="15">
        <v>0</v>
      </c>
      <c r="P58" s="15">
        <v>25</v>
      </c>
    </row>
    <row r="59" spans="1:16" ht="17.25" customHeight="1" x14ac:dyDescent="0.35">
      <c r="A59" s="119"/>
      <c r="B59" s="76" t="s">
        <v>9865</v>
      </c>
      <c r="C59" s="76" t="s">
        <v>10279</v>
      </c>
      <c r="D59" s="81" t="s">
        <v>10304</v>
      </c>
      <c r="E59" s="82" t="s">
        <v>10123</v>
      </c>
      <c r="F59" s="79" t="s">
        <v>9687</v>
      </c>
      <c r="G59" s="79" t="s">
        <v>9719</v>
      </c>
      <c r="H59" s="15" t="s">
        <v>9634</v>
      </c>
      <c r="I59" s="103">
        <v>25</v>
      </c>
      <c r="J59" s="27">
        <v>25</v>
      </c>
      <c r="K59" s="79" t="s">
        <v>9951</v>
      </c>
      <c r="L59" s="15" t="s">
        <v>9949</v>
      </c>
      <c r="M59" s="15" t="s">
        <v>9747</v>
      </c>
      <c r="N59" s="79" t="str">
        <f t="shared" si="0"/>
        <v>Sim</v>
      </c>
      <c r="O59" s="15">
        <v>0</v>
      </c>
      <c r="P59" s="15">
        <v>50</v>
      </c>
    </row>
    <row r="60" spans="1:16" ht="17.25" customHeight="1" x14ac:dyDescent="0.35">
      <c r="A60" s="119"/>
      <c r="B60" s="76" t="s">
        <v>9865</v>
      </c>
      <c r="C60" s="76" t="s">
        <v>10279</v>
      </c>
      <c r="D60" s="81" t="s">
        <v>10305</v>
      </c>
      <c r="E60" s="82" t="s">
        <v>10124</v>
      </c>
      <c r="F60" s="79" t="s">
        <v>9687</v>
      </c>
      <c r="G60" s="79" t="s">
        <v>9719</v>
      </c>
      <c r="H60" s="15" t="s">
        <v>9634</v>
      </c>
      <c r="I60" s="103">
        <v>25</v>
      </c>
      <c r="J60" s="27">
        <v>25</v>
      </c>
      <c r="K60" s="79" t="s">
        <v>9951</v>
      </c>
      <c r="L60" s="15" t="s">
        <v>9949</v>
      </c>
      <c r="M60" s="15" t="s">
        <v>9748</v>
      </c>
      <c r="N60" s="79" t="str">
        <f t="shared" si="0"/>
        <v>Sim</v>
      </c>
      <c r="O60" s="15">
        <v>0</v>
      </c>
      <c r="P60" s="15">
        <v>25</v>
      </c>
    </row>
    <row r="61" spans="1:16" ht="17.25" customHeight="1" x14ac:dyDescent="0.35">
      <c r="A61" s="119"/>
      <c r="B61" s="76" t="s">
        <v>9865</v>
      </c>
      <c r="C61" s="76" t="s">
        <v>10279</v>
      </c>
      <c r="D61" s="81" t="s">
        <v>10306</v>
      </c>
      <c r="E61" s="82" t="s">
        <v>10127</v>
      </c>
      <c r="F61" s="79" t="s">
        <v>9687</v>
      </c>
      <c r="G61" s="79" t="s">
        <v>9719</v>
      </c>
      <c r="H61" s="15" t="s">
        <v>9634</v>
      </c>
      <c r="I61" s="103">
        <v>25</v>
      </c>
      <c r="J61" s="27">
        <v>25</v>
      </c>
      <c r="K61" s="79" t="s">
        <v>9951</v>
      </c>
      <c r="L61" s="15" t="s">
        <v>9949</v>
      </c>
      <c r="M61" s="15" t="s">
        <v>9749</v>
      </c>
      <c r="N61" s="79" t="str">
        <f t="shared" si="0"/>
        <v>Sim</v>
      </c>
      <c r="O61" s="15">
        <v>0</v>
      </c>
      <c r="P61" s="15">
        <v>50</v>
      </c>
    </row>
    <row r="62" spans="1:16" ht="17.25" customHeight="1" x14ac:dyDescent="0.35">
      <c r="A62" s="119"/>
      <c r="B62" s="76" t="s">
        <v>9865</v>
      </c>
      <c r="C62" s="76" t="s">
        <v>10279</v>
      </c>
      <c r="D62" s="81" t="s">
        <v>10307</v>
      </c>
      <c r="E62" s="82" t="s">
        <v>10128</v>
      </c>
      <c r="F62" s="79" t="s">
        <v>9687</v>
      </c>
      <c r="G62" s="79" t="s">
        <v>9719</v>
      </c>
      <c r="H62" s="15" t="s">
        <v>9634</v>
      </c>
      <c r="I62" s="103">
        <v>0</v>
      </c>
      <c r="J62" s="27">
        <v>0</v>
      </c>
      <c r="K62" s="79" t="s">
        <v>9951</v>
      </c>
      <c r="L62" s="15" t="s">
        <v>9949</v>
      </c>
      <c r="M62" s="15" t="s">
        <v>9750</v>
      </c>
      <c r="N62" s="79" t="str">
        <f t="shared" si="0"/>
        <v>Sim</v>
      </c>
      <c r="O62" s="15">
        <v>0</v>
      </c>
      <c r="P62" s="15">
        <v>25</v>
      </c>
    </row>
    <row r="63" spans="1:16" ht="17.25" customHeight="1" x14ac:dyDescent="0.35">
      <c r="A63" s="119"/>
      <c r="B63" s="76" t="s">
        <v>9865</v>
      </c>
      <c r="C63" s="76" t="s">
        <v>10279</v>
      </c>
      <c r="D63" s="81" t="s">
        <v>10308</v>
      </c>
      <c r="E63" s="82" t="s">
        <v>10129</v>
      </c>
      <c r="F63" s="79" t="s">
        <v>9687</v>
      </c>
      <c r="G63" s="79" t="s">
        <v>9719</v>
      </c>
      <c r="H63" s="15" t="s">
        <v>9634</v>
      </c>
      <c r="I63" s="103">
        <v>25</v>
      </c>
      <c r="J63" s="27">
        <v>25</v>
      </c>
      <c r="K63" s="79" t="s">
        <v>9951</v>
      </c>
      <c r="L63" s="15" t="s">
        <v>9949</v>
      </c>
      <c r="M63" s="15" t="s">
        <v>9751</v>
      </c>
      <c r="N63" s="79" t="str">
        <f t="shared" si="0"/>
        <v>Sim</v>
      </c>
      <c r="O63" s="15">
        <v>0</v>
      </c>
      <c r="P63" s="15">
        <v>80</v>
      </c>
    </row>
    <row r="64" spans="1:16" ht="17.25" customHeight="1" x14ac:dyDescent="0.35">
      <c r="A64" s="119"/>
      <c r="B64" s="76" t="s">
        <v>9865</v>
      </c>
      <c r="C64" s="76" t="s">
        <v>10279</v>
      </c>
      <c r="D64" s="81" t="s">
        <v>10309</v>
      </c>
      <c r="E64" s="82" t="s">
        <v>10130</v>
      </c>
      <c r="F64" s="79" t="s">
        <v>9687</v>
      </c>
      <c r="G64" s="79" t="s">
        <v>9719</v>
      </c>
      <c r="H64" s="15" t="s">
        <v>9634</v>
      </c>
      <c r="I64" s="103">
        <v>0</v>
      </c>
      <c r="J64" s="27">
        <v>0</v>
      </c>
      <c r="K64" s="79" t="s">
        <v>9951</v>
      </c>
      <c r="L64" s="15" t="s">
        <v>9949</v>
      </c>
      <c r="M64" s="15" t="s">
        <v>9752</v>
      </c>
      <c r="N64" s="79" t="str">
        <f t="shared" si="0"/>
        <v>Sim</v>
      </c>
      <c r="O64" s="15">
        <v>0</v>
      </c>
      <c r="P64" s="15">
        <v>25</v>
      </c>
    </row>
    <row r="65" spans="1:16" s="18" customFormat="1" ht="17.25" customHeight="1" x14ac:dyDescent="0.35">
      <c r="A65" s="119"/>
      <c r="B65" s="76" t="s">
        <v>9865</v>
      </c>
      <c r="C65" s="76" t="s">
        <v>10279</v>
      </c>
      <c r="D65" s="81" t="s">
        <v>10310</v>
      </c>
      <c r="E65" s="82" t="s">
        <v>10131</v>
      </c>
      <c r="F65" s="79" t="s">
        <v>9687</v>
      </c>
      <c r="G65" s="79" t="s">
        <v>9719</v>
      </c>
      <c r="H65" s="15" t="s">
        <v>9634</v>
      </c>
      <c r="I65" s="103">
        <v>25</v>
      </c>
      <c r="J65" s="27">
        <v>25</v>
      </c>
      <c r="K65" s="79" t="s">
        <v>9951</v>
      </c>
      <c r="L65" s="15" t="s">
        <v>9949</v>
      </c>
      <c r="M65" s="15" t="s">
        <v>9753</v>
      </c>
      <c r="N65" s="79" t="str">
        <f t="shared" si="0"/>
        <v>Sim</v>
      </c>
      <c r="O65" s="15">
        <v>0</v>
      </c>
      <c r="P65" s="15">
        <v>25</v>
      </c>
    </row>
    <row r="66" spans="1:16" ht="17.25" customHeight="1" x14ac:dyDescent="0.35">
      <c r="A66" s="119"/>
      <c r="B66" s="76" t="s">
        <v>9865</v>
      </c>
      <c r="C66" s="76" t="s">
        <v>10279</v>
      </c>
      <c r="D66" s="81" t="s">
        <v>10311</v>
      </c>
      <c r="E66" s="82" t="s">
        <v>10132</v>
      </c>
      <c r="F66" s="79" t="s">
        <v>9687</v>
      </c>
      <c r="G66" s="79" t="s">
        <v>9719</v>
      </c>
      <c r="H66" s="15" t="s">
        <v>9634</v>
      </c>
      <c r="I66" s="103">
        <v>0</v>
      </c>
      <c r="J66" s="27">
        <v>0</v>
      </c>
      <c r="K66" s="79" t="s">
        <v>9951</v>
      </c>
      <c r="L66" s="15" t="s">
        <v>9949</v>
      </c>
      <c r="M66" s="15" t="s">
        <v>9754</v>
      </c>
      <c r="N66" s="79" t="str">
        <f t="shared" si="0"/>
        <v>Sim</v>
      </c>
      <c r="O66" s="15">
        <v>0</v>
      </c>
      <c r="P66" s="15">
        <v>25</v>
      </c>
    </row>
    <row r="67" spans="1:16" ht="17.25" customHeight="1" x14ac:dyDescent="0.35">
      <c r="A67" s="119"/>
      <c r="B67" s="76" t="s">
        <v>9865</v>
      </c>
      <c r="C67" s="76" t="s">
        <v>10279</v>
      </c>
      <c r="D67" s="81" t="s">
        <v>10312</v>
      </c>
      <c r="E67" s="82" t="s">
        <v>10133</v>
      </c>
      <c r="F67" s="79" t="s">
        <v>9687</v>
      </c>
      <c r="G67" s="79" t="s">
        <v>9719</v>
      </c>
      <c r="H67" s="15" t="s">
        <v>9634</v>
      </c>
      <c r="I67" s="103">
        <v>0</v>
      </c>
      <c r="J67" s="27">
        <v>0</v>
      </c>
      <c r="K67" s="79" t="s">
        <v>9951</v>
      </c>
      <c r="L67" s="15" t="s">
        <v>9949</v>
      </c>
      <c r="M67" s="15" t="s">
        <v>9755</v>
      </c>
      <c r="N67" s="79" t="str">
        <f t="shared" si="0"/>
        <v>Sim</v>
      </c>
      <c r="O67" s="15">
        <v>0</v>
      </c>
      <c r="P67" s="15">
        <v>25</v>
      </c>
    </row>
    <row r="68" spans="1:16" ht="17.25" customHeight="1" x14ac:dyDescent="0.35">
      <c r="A68" s="119" t="s">
        <v>9756</v>
      </c>
      <c r="B68" s="76" t="s">
        <v>9865</v>
      </c>
      <c r="C68" s="76" t="s">
        <v>10284</v>
      </c>
      <c r="D68" s="81" t="s">
        <v>9757</v>
      </c>
      <c r="E68" s="82" t="s">
        <v>10135</v>
      </c>
      <c r="F68" s="79" t="s">
        <v>9687</v>
      </c>
      <c r="G68" s="79" t="s">
        <v>9719</v>
      </c>
      <c r="H68" s="15" t="s">
        <v>9812</v>
      </c>
      <c r="I68" s="103">
        <v>20000</v>
      </c>
      <c r="J68" s="27">
        <v>20000</v>
      </c>
      <c r="K68" s="79" t="s">
        <v>9951</v>
      </c>
      <c r="L68" s="15" t="s">
        <v>9949</v>
      </c>
      <c r="M68" s="15" t="s">
        <v>9820</v>
      </c>
      <c r="N68" s="79" t="str">
        <f t="shared" si="0"/>
        <v>Sim</v>
      </c>
      <c r="O68" s="15">
        <v>10000</v>
      </c>
      <c r="P68" s="15">
        <v>50000</v>
      </c>
    </row>
    <row r="69" spans="1:16" ht="17.25" customHeight="1" x14ac:dyDescent="0.35">
      <c r="A69" s="119"/>
      <c r="B69" s="76" t="s">
        <v>9865</v>
      </c>
      <c r="C69" s="76" t="s">
        <v>10284</v>
      </c>
      <c r="D69" s="81" t="s">
        <v>9758</v>
      </c>
      <c r="E69" s="82" t="s">
        <v>10136</v>
      </c>
      <c r="F69" s="79" t="s">
        <v>9687</v>
      </c>
      <c r="G69" s="79" t="s">
        <v>9719</v>
      </c>
      <c r="H69" s="15" t="s">
        <v>9812</v>
      </c>
      <c r="I69" s="103">
        <v>10000</v>
      </c>
      <c r="J69" s="27">
        <v>10000</v>
      </c>
      <c r="K69" s="79" t="s">
        <v>9951</v>
      </c>
      <c r="L69" s="15" t="s">
        <v>9949</v>
      </c>
      <c r="M69" s="15" t="s">
        <v>9821</v>
      </c>
      <c r="N69" s="79" t="str">
        <f t="shared" si="0"/>
        <v>Sim</v>
      </c>
      <c r="O69" s="15">
        <v>1000</v>
      </c>
      <c r="P69" s="15">
        <v>10000</v>
      </c>
    </row>
    <row r="70" spans="1:16" ht="17.25" customHeight="1" x14ac:dyDescent="0.35">
      <c r="A70" s="119"/>
      <c r="B70" s="76" t="s">
        <v>9865</v>
      </c>
      <c r="C70" s="76" t="s">
        <v>10284</v>
      </c>
      <c r="D70" s="81" t="s">
        <v>9759</v>
      </c>
      <c r="E70" s="82" t="s">
        <v>10137</v>
      </c>
      <c r="F70" s="79" t="s">
        <v>9687</v>
      </c>
      <c r="G70" s="79" t="s">
        <v>9719</v>
      </c>
      <c r="H70" s="15" t="s">
        <v>9812</v>
      </c>
      <c r="I70" s="103">
        <v>1500</v>
      </c>
      <c r="J70" s="27">
        <v>1500</v>
      </c>
      <c r="K70" s="79" t="s">
        <v>9951</v>
      </c>
      <c r="L70" s="15" t="s">
        <v>9949</v>
      </c>
      <c r="M70" s="15" t="s">
        <v>9822</v>
      </c>
      <c r="N70" s="79" t="str">
        <f t="shared" si="0"/>
        <v>Sim</v>
      </c>
      <c r="O70" s="15">
        <v>1000</v>
      </c>
      <c r="P70" s="15">
        <v>5000</v>
      </c>
    </row>
    <row r="71" spans="1:16" ht="17.25" customHeight="1" x14ac:dyDescent="0.35">
      <c r="A71" s="119"/>
      <c r="B71" s="76" t="s">
        <v>9865</v>
      </c>
      <c r="C71" s="76" t="s">
        <v>10284</v>
      </c>
      <c r="D71" s="81" t="s">
        <v>9760</v>
      </c>
      <c r="E71" s="82" t="s">
        <v>10138</v>
      </c>
      <c r="F71" s="79" t="s">
        <v>10269</v>
      </c>
      <c r="G71" s="79" t="s">
        <v>9719</v>
      </c>
      <c r="H71" s="15" t="s">
        <v>10272</v>
      </c>
      <c r="I71" s="103" t="s">
        <v>9774</v>
      </c>
      <c r="J71" s="27" t="s">
        <v>9774</v>
      </c>
      <c r="K71" s="79" t="s">
        <v>9951</v>
      </c>
      <c r="L71" s="15" t="s">
        <v>9949</v>
      </c>
      <c r="M71" s="15" t="s">
        <v>9823</v>
      </c>
      <c r="N71" s="79" t="str">
        <f t="shared" si="0"/>
        <v>Sim</v>
      </c>
      <c r="O71" s="15" t="s">
        <v>9780</v>
      </c>
      <c r="P71" s="15" t="s">
        <v>9780</v>
      </c>
    </row>
    <row r="72" spans="1:16" ht="17.25" customHeight="1" x14ac:dyDescent="0.35">
      <c r="A72" s="119"/>
      <c r="B72" s="76" t="s">
        <v>9865</v>
      </c>
      <c r="C72" s="76" t="s">
        <v>10284</v>
      </c>
      <c r="D72" s="81" t="s">
        <v>9761</v>
      </c>
      <c r="E72" s="82" t="s">
        <v>10139</v>
      </c>
      <c r="F72" s="79" t="s">
        <v>9687</v>
      </c>
      <c r="G72" s="79" t="s">
        <v>9719</v>
      </c>
      <c r="H72" s="15" t="s">
        <v>9812</v>
      </c>
      <c r="I72" s="103">
        <v>1250</v>
      </c>
      <c r="J72" s="27">
        <v>1250</v>
      </c>
      <c r="K72" s="79" t="s">
        <v>9951</v>
      </c>
      <c r="L72" s="15" t="s">
        <v>9949</v>
      </c>
      <c r="M72" s="15" t="s">
        <v>9824</v>
      </c>
      <c r="N72" s="79" t="str">
        <f t="shared" si="0"/>
        <v>Sim</v>
      </c>
      <c r="O72" s="15">
        <v>1000</v>
      </c>
      <c r="P72" s="15">
        <v>5000</v>
      </c>
    </row>
    <row r="73" spans="1:16" ht="17.25" customHeight="1" x14ac:dyDescent="0.35">
      <c r="A73" s="119"/>
      <c r="B73" s="76" t="s">
        <v>9865</v>
      </c>
      <c r="C73" s="76" t="s">
        <v>10284</v>
      </c>
      <c r="D73" s="81" t="s">
        <v>9762</v>
      </c>
      <c r="E73" s="82" t="s">
        <v>10140</v>
      </c>
      <c r="F73" s="79" t="s">
        <v>9687</v>
      </c>
      <c r="G73" s="79" t="s">
        <v>9719</v>
      </c>
      <c r="H73" s="15" t="s">
        <v>9813</v>
      </c>
      <c r="I73" s="103">
        <v>450</v>
      </c>
      <c r="J73" s="27">
        <v>450</v>
      </c>
      <c r="K73" s="79" t="s">
        <v>9951</v>
      </c>
      <c r="L73" s="15" t="s">
        <v>9949</v>
      </c>
      <c r="M73" s="15" t="s">
        <v>9825</v>
      </c>
      <c r="N73" s="79" t="str">
        <f t="shared" ref="N73:N152" si="1">IF(F73="String",IF(I73&lt;&gt;"","Sim","Não"),IF(F73="List",IF(I73&lt;&gt;"","Sim","Não"),IF(AND(I73&gt;=O73,I73&lt;=P73,I73&lt;&gt;""),"Sim","Não")))</f>
        <v>Sim</v>
      </c>
      <c r="O73" s="15">
        <v>250</v>
      </c>
      <c r="P73" s="15">
        <v>750</v>
      </c>
    </row>
    <row r="74" spans="1:16" ht="17.25" customHeight="1" x14ac:dyDescent="0.35">
      <c r="A74" s="119"/>
      <c r="B74" s="76" t="s">
        <v>9865</v>
      </c>
      <c r="C74" s="76" t="s">
        <v>10284</v>
      </c>
      <c r="D74" s="81" t="s">
        <v>9763</v>
      </c>
      <c r="E74" s="82" t="s">
        <v>10141</v>
      </c>
      <c r="F74" s="79" t="s">
        <v>9687</v>
      </c>
      <c r="G74" s="79" t="s">
        <v>9719</v>
      </c>
      <c r="H74" s="15" t="s">
        <v>9814</v>
      </c>
      <c r="I74" s="103">
        <v>5000</v>
      </c>
      <c r="J74" s="27">
        <v>5000</v>
      </c>
      <c r="K74" s="79" t="s">
        <v>9951</v>
      </c>
      <c r="L74" s="15" t="s">
        <v>9949</v>
      </c>
      <c r="M74" s="15" t="s">
        <v>9826</v>
      </c>
      <c r="N74" s="79" t="str">
        <f t="shared" si="1"/>
        <v>Sim</v>
      </c>
      <c r="O74" s="15">
        <v>2000</v>
      </c>
      <c r="P74" s="15">
        <v>10000</v>
      </c>
    </row>
    <row r="75" spans="1:16" ht="17.25" customHeight="1" x14ac:dyDescent="0.35">
      <c r="A75" s="119"/>
      <c r="B75" s="76" t="s">
        <v>9865</v>
      </c>
      <c r="C75" s="76" t="s">
        <v>10284</v>
      </c>
      <c r="D75" s="81" t="s">
        <v>9764</v>
      </c>
      <c r="E75" s="82" t="s">
        <v>10142</v>
      </c>
      <c r="F75" s="79" t="s">
        <v>9687</v>
      </c>
      <c r="G75" s="79" t="s">
        <v>9719</v>
      </c>
      <c r="H75" s="15" t="s">
        <v>9812</v>
      </c>
      <c r="I75" s="103">
        <v>100000</v>
      </c>
      <c r="J75" s="27">
        <v>100000</v>
      </c>
      <c r="K75" s="79" t="s">
        <v>9951</v>
      </c>
      <c r="L75" s="15" t="s">
        <v>9949</v>
      </c>
      <c r="M75" s="15" t="s">
        <v>9827</v>
      </c>
      <c r="N75" s="79" t="str">
        <f t="shared" si="1"/>
        <v>Sim</v>
      </c>
      <c r="O75" s="15">
        <v>50000</v>
      </c>
      <c r="P75" s="15">
        <v>500000</v>
      </c>
    </row>
    <row r="76" spans="1:16" ht="17.25" customHeight="1" x14ac:dyDescent="0.35">
      <c r="A76" s="119"/>
      <c r="B76" s="76" t="s">
        <v>9865</v>
      </c>
      <c r="C76" s="76" t="s">
        <v>10284</v>
      </c>
      <c r="D76" s="81" t="s">
        <v>9765</v>
      </c>
      <c r="E76" s="82" t="s">
        <v>10143</v>
      </c>
      <c r="F76" s="79" t="s">
        <v>9687</v>
      </c>
      <c r="G76" s="79" t="s">
        <v>9719</v>
      </c>
      <c r="H76" s="15" t="s">
        <v>9815</v>
      </c>
      <c r="I76" s="103">
        <v>25000</v>
      </c>
      <c r="J76" s="27">
        <v>25000</v>
      </c>
      <c r="K76" s="79" t="s">
        <v>9951</v>
      </c>
      <c r="L76" s="15" t="s">
        <v>9949</v>
      </c>
      <c r="M76" s="15" t="s">
        <v>9828</v>
      </c>
      <c r="N76" s="79" t="str">
        <f t="shared" si="1"/>
        <v>Sim</v>
      </c>
      <c r="O76" s="15">
        <v>10000</v>
      </c>
      <c r="P76" s="15">
        <v>50000</v>
      </c>
    </row>
    <row r="77" spans="1:16" ht="17.25" customHeight="1" x14ac:dyDescent="0.35">
      <c r="A77" s="119"/>
      <c r="B77" s="76" t="s">
        <v>9865</v>
      </c>
      <c r="C77" s="76" t="s">
        <v>10284</v>
      </c>
      <c r="D77" s="81" t="s">
        <v>9766</v>
      </c>
      <c r="E77" s="82" t="s">
        <v>10144</v>
      </c>
      <c r="F77" s="79" t="s">
        <v>9687</v>
      </c>
      <c r="G77" s="79" t="s">
        <v>9719</v>
      </c>
      <c r="H77" s="15" t="s">
        <v>9816</v>
      </c>
      <c r="I77" s="103">
        <v>100</v>
      </c>
      <c r="J77" s="27">
        <v>100</v>
      </c>
      <c r="K77" s="79" t="s">
        <v>9951</v>
      </c>
      <c r="L77" s="15" t="s">
        <v>9949</v>
      </c>
      <c r="M77" s="15" t="s">
        <v>9829</v>
      </c>
      <c r="N77" s="79" t="str">
        <f t="shared" si="1"/>
        <v>Sim</v>
      </c>
      <c r="O77" s="15">
        <v>20</v>
      </c>
      <c r="P77" s="15">
        <v>500</v>
      </c>
    </row>
    <row r="78" spans="1:16" ht="17.25" customHeight="1" x14ac:dyDescent="0.35">
      <c r="A78" s="119"/>
      <c r="B78" s="76" t="s">
        <v>9865</v>
      </c>
      <c r="C78" s="76" t="s">
        <v>10284</v>
      </c>
      <c r="D78" s="81" t="s">
        <v>9767</v>
      </c>
      <c r="E78" s="82" t="s">
        <v>10145</v>
      </c>
      <c r="F78" s="79" t="s">
        <v>9687</v>
      </c>
      <c r="G78" s="79" t="s">
        <v>9719</v>
      </c>
      <c r="H78" s="15" t="s">
        <v>9735</v>
      </c>
      <c r="I78" s="103">
        <v>53</v>
      </c>
      <c r="J78" s="27">
        <v>53</v>
      </c>
      <c r="K78" s="79" t="s">
        <v>9951</v>
      </c>
      <c r="L78" s="15" t="s">
        <v>9949</v>
      </c>
      <c r="M78" s="15" t="s">
        <v>9830</v>
      </c>
      <c r="N78" s="79" t="str">
        <f t="shared" si="1"/>
        <v>Sim</v>
      </c>
      <c r="O78" s="15">
        <v>25</v>
      </c>
      <c r="P78" s="15">
        <v>500</v>
      </c>
    </row>
    <row r="79" spans="1:16" ht="17.25" customHeight="1" x14ac:dyDescent="0.35">
      <c r="A79" s="119"/>
      <c r="B79" s="76" t="s">
        <v>9865</v>
      </c>
      <c r="C79" s="76" t="s">
        <v>10284</v>
      </c>
      <c r="D79" s="81" t="s">
        <v>9768</v>
      </c>
      <c r="E79" s="82" t="s">
        <v>10146</v>
      </c>
      <c r="F79" s="79" t="s">
        <v>9687</v>
      </c>
      <c r="G79" s="79" t="s">
        <v>9719</v>
      </c>
      <c r="H79" s="15" t="s">
        <v>9817</v>
      </c>
      <c r="I79" s="103">
        <v>3</v>
      </c>
      <c r="J79" s="27">
        <v>3</v>
      </c>
      <c r="K79" s="79" t="s">
        <v>9951</v>
      </c>
      <c r="L79" s="15" t="s">
        <v>9949</v>
      </c>
      <c r="M79" s="15" t="s">
        <v>9831</v>
      </c>
      <c r="N79" s="79" t="str">
        <f t="shared" si="1"/>
        <v>Sim</v>
      </c>
      <c r="O79" s="15">
        <v>2.5</v>
      </c>
      <c r="P79" s="15">
        <v>10</v>
      </c>
    </row>
    <row r="80" spans="1:16" ht="17.25" customHeight="1" x14ac:dyDescent="0.35">
      <c r="A80" s="119"/>
      <c r="B80" s="76" t="s">
        <v>9865</v>
      </c>
      <c r="C80" s="76" t="s">
        <v>10284</v>
      </c>
      <c r="D80" s="81" t="s">
        <v>9769</v>
      </c>
      <c r="E80" s="82" t="s">
        <v>10147</v>
      </c>
      <c r="F80" s="79" t="s">
        <v>9687</v>
      </c>
      <c r="G80" s="79" t="s">
        <v>9719</v>
      </c>
      <c r="H80" s="15" t="s">
        <v>9818</v>
      </c>
      <c r="I80" s="103">
        <v>1.681</v>
      </c>
      <c r="J80" s="27">
        <v>1.681</v>
      </c>
      <c r="K80" s="79" t="s">
        <v>9951</v>
      </c>
      <c r="L80" s="15" t="s">
        <v>9949</v>
      </c>
      <c r="M80" s="15" t="s">
        <v>9832</v>
      </c>
      <c r="N80" s="79" t="str">
        <f t="shared" si="1"/>
        <v>Sim</v>
      </c>
      <c r="O80" s="15">
        <v>1</v>
      </c>
      <c r="P80" s="15">
        <v>10</v>
      </c>
    </row>
    <row r="81" spans="1:16" ht="17.25" customHeight="1" x14ac:dyDescent="0.35">
      <c r="A81" s="119"/>
      <c r="B81" s="76" t="s">
        <v>9865</v>
      </c>
      <c r="C81" s="76" t="s">
        <v>10284</v>
      </c>
      <c r="D81" s="81" t="s">
        <v>9770</v>
      </c>
      <c r="E81" s="82" t="s">
        <v>10148</v>
      </c>
      <c r="F81" s="79" t="s">
        <v>9687</v>
      </c>
      <c r="G81" s="79" t="s">
        <v>9719</v>
      </c>
      <c r="H81" s="15" t="s">
        <v>9818</v>
      </c>
      <c r="I81" s="103">
        <v>1.0780000000000001</v>
      </c>
      <c r="J81" s="27">
        <v>1.0780000000000001</v>
      </c>
      <c r="K81" s="79" t="s">
        <v>9951</v>
      </c>
      <c r="L81" s="15" t="s">
        <v>9949</v>
      </c>
      <c r="M81" s="15" t="s">
        <v>9833</v>
      </c>
      <c r="N81" s="79" t="str">
        <f t="shared" si="1"/>
        <v>Sim</v>
      </c>
      <c r="O81" s="15">
        <v>1</v>
      </c>
      <c r="P81" s="15">
        <v>10</v>
      </c>
    </row>
    <row r="82" spans="1:16" s="18" customFormat="1" ht="17.25" customHeight="1" x14ac:dyDescent="0.35">
      <c r="A82" s="119"/>
      <c r="B82" s="76" t="s">
        <v>9865</v>
      </c>
      <c r="C82" s="76" t="s">
        <v>10284</v>
      </c>
      <c r="D82" s="81" t="s">
        <v>9771</v>
      </c>
      <c r="E82" s="82" t="s">
        <v>10149</v>
      </c>
      <c r="F82" s="79" t="s">
        <v>9687</v>
      </c>
      <c r="G82" s="79" t="s">
        <v>9719</v>
      </c>
      <c r="H82" s="15" t="s">
        <v>9818</v>
      </c>
      <c r="I82" s="103">
        <v>7.26</v>
      </c>
      <c r="J82" s="27">
        <v>7.26</v>
      </c>
      <c r="K82" s="79" t="s">
        <v>9951</v>
      </c>
      <c r="L82" s="15" t="s">
        <v>9949</v>
      </c>
      <c r="M82" s="15" t="s">
        <v>9834</v>
      </c>
      <c r="N82" s="79" t="str">
        <f t="shared" si="1"/>
        <v>Sim</v>
      </c>
      <c r="O82" s="15">
        <v>2.5</v>
      </c>
      <c r="P82" s="15">
        <v>10</v>
      </c>
    </row>
    <row r="83" spans="1:16" ht="17.25" customHeight="1" x14ac:dyDescent="0.35">
      <c r="A83" s="119"/>
      <c r="B83" s="76" t="s">
        <v>9865</v>
      </c>
      <c r="C83" s="76" t="s">
        <v>10284</v>
      </c>
      <c r="D83" s="81" t="s">
        <v>9772</v>
      </c>
      <c r="E83" s="82" t="s">
        <v>10150</v>
      </c>
      <c r="F83" s="79" t="s">
        <v>9687</v>
      </c>
      <c r="G83" s="79" t="s">
        <v>9719</v>
      </c>
      <c r="H83" s="15" t="s">
        <v>9819</v>
      </c>
      <c r="I83" s="103">
        <v>2.2000000000000002</v>
      </c>
      <c r="J83" s="27">
        <v>2.2000000000000002</v>
      </c>
      <c r="K83" s="79" t="s">
        <v>9951</v>
      </c>
      <c r="L83" s="15" t="s">
        <v>9949</v>
      </c>
      <c r="M83" s="15" t="s">
        <v>9835</v>
      </c>
      <c r="N83" s="79" t="str">
        <f t="shared" si="1"/>
        <v>Sim</v>
      </c>
      <c r="O83" s="15">
        <v>0</v>
      </c>
      <c r="P83" s="15">
        <v>15</v>
      </c>
    </row>
    <row r="84" spans="1:16" ht="17.25" customHeight="1" x14ac:dyDescent="0.35">
      <c r="A84" s="119"/>
      <c r="B84" s="76" t="s">
        <v>9865</v>
      </c>
      <c r="C84" s="76" t="s">
        <v>10284</v>
      </c>
      <c r="D84" s="81" t="s">
        <v>9773</v>
      </c>
      <c r="E84" s="82" t="s">
        <v>10151</v>
      </c>
      <c r="F84" s="79" t="s">
        <v>9687</v>
      </c>
      <c r="G84" s="79" t="s">
        <v>9719</v>
      </c>
      <c r="H84" s="15" t="s">
        <v>9735</v>
      </c>
      <c r="I84" s="103">
        <v>15</v>
      </c>
      <c r="J84" s="27">
        <v>15</v>
      </c>
      <c r="K84" s="79" t="s">
        <v>9951</v>
      </c>
      <c r="L84" s="15" t="s">
        <v>9949</v>
      </c>
      <c r="M84" s="15" t="s">
        <v>9836</v>
      </c>
      <c r="N84" s="79" t="str">
        <f t="shared" si="1"/>
        <v>Sim</v>
      </c>
      <c r="O84" s="15">
        <v>0</v>
      </c>
      <c r="P84" s="15">
        <v>50</v>
      </c>
    </row>
    <row r="85" spans="1:16" ht="17.25" customHeight="1" x14ac:dyDescent="0.35">
      <c r="A85" s="119" t="s">
        <v>9775</v>
      </c>
      <c r="B85" s="76" t="s">
        <v>9865</v>
      </c>
      <c r="C85" s="76" t="s">
        <v>10283</v>
      </c>
      <c r="D85" s="81" t="s">
        <v>9776</v>
      </c>
      <c r="E85" s="82" t="s">
        <v>10152</v>
      </c>
      <c r="F85" s="79" t="s">
        <v>9687</v>
      </c>
      <c r="G85" s="79" t="s">
        <v>9719</v>
      </c>
      <c r="H85" s="15" t="s">
        <v>9634</v>
      </c>
      <c r="I85" s="103">
        <v>5</v>
      </c>
      <c r="J85" s="27">
        <v>5</v>
      </c>
      <c r="K85" s="79" t="s">
        <v>9951</v>
      </c>
      <c r="L85" s="15" t="s">
        <v>9837</v>
      </c>
      <c r="M85" s="15" t="s">
        <v>9838</v>
      </c>
      <c r="N85" s="79" t="str">
        <f t="shared" si="1"/>
        <v>Sim</v>
      </c>
      <c r="O85" s="15">
        <v>0</v>
      </c>
      <c r="P85" s="15">
        <v>20</v>
      </c>
    </row>
    <row r="86" spans="1:16" ht="17.25" customHeight="1" x14ac:dyDescent="0.35">
      <c r="A86" s="119"/>
      <c r="B86" s="76" t="s">
        <v>9865</v>
      </c>
      <c r="C86" s="76" t="s">
        <v>10283</v>
      </c>
      <c r="D86" s="81" t="s">
        <v>9777</v>
      </c>
      <c r="E86" s="82" t="s">
        <v>10153</v>
      </c>
      <c r="F86" s="79" t="s">
        <v>9687</v>
      </c>
      <c r="G86" s="79" t="s">
        <v>9719</v>
      </c>
      <c r="H86" s="15" t="s">
        <v>9634</v>
      </c>
      <c r="I86" s="103">
        <v>12</v>
      </c>
      <c r="J86" s="27">
        <v>12</v>
      </c>
      <c r="K86" s="79" t="s">
        <v>9951</v>
      </c>
      <c r="L86" s="15" t="s">
        <v>9837</v>
      </c>
      <c r="M86" s="15" t="s">
        <v>9839</v>
      </c>
      <c r="N86" s="79" t="str">
        <f t="shared" si="1"/>
        <v>Sim</v>
      </c>
      <c r="O86" s="15">
        <v>0</v>
      </c>
      <c r="P86" s="15">
        <v>30</v>
      </c>
    </row>
    <row r="87" spans="1:16" ht="17.25" customHeight="1" x14ac:dyDescent="0.35">
      <c r="A87" s="119"/>
      <c r="B87" s="76" t="s">
        <v>9865</v>
      </c>
      <c r="C87" s="76" t="s">
        <v>10283</v>
      </c>
      <c r="D87" s="81" t="s">
        <v>9778</v>
      </c>
      <c r="E87" s="82" t="s">
        <v>10154</v>
      </c>
      <c r="F87" s="79" t="s">
        <v>9687</v>
      </c>
      <c r="G87" s="79" t="s">
        <v>9719</v>
      </c>
      <c r="H87" s="15" t="s">
        <v>9634</v>
      </c>
      <c r="I87" s="103">
        <v>9</v>
      </c>
      <c r="J87" s="27">
        <v>9</v>
      </c>
      <c r="K87" s="79" t="s">
        <v>9951</v>
      </c>
      <c r="L87" s="15" t="s">
        <v>9837</v>
      </c>
      <c r="M87" s="15" t="s">
        <v>9840</v>
      </c>
      <c r="N87" s="79" t="str">
        <f t="shared" si="1"/>
        <v>Sim</v>
      </c>
      <c r="O87" s="15">
        <v>0</v>
      </c>
      <c r="P87" s="15">
        <v>20</v>
      </c>
    </row>
    <row r="88" spans="1:16" ht="17.25" customHeight="1" x14ac:dyDescent="0.35">
      <c r="A88" s="119"/>
      <c r="B88" s="76" t="s">
        <v>9865</v>
      </c>
      <c r="C88" s="76" t="s">
        <v>10283</v>
      </c>
      <c r="D88" s="81" t="s">
        <v>9779</v>
      </c>
      <c r="E88" s="82" t="s">
        <v>10155</v>
      </c>
      <c r="F88" s="79" t="s">
        <v>9687</v>
      </c>
      <c r="G88" s="79" t="s">
        <v>9719</v>
      </c>
      <c r="H88" s="15" t="s">
        <v>9634</v>
      </c>
      <c r="I88" s="103">
        <v>25</v>
      </c>
      <c r="J88" s="27">
        <v>25</v>
      </c>
      <c r="K88" s="79" t="s">
        <v>9951</v>
      </c>
      <c r="L88" s="15" t="s">
        <v>9837</v>
      </c>
      <c r="M88" s="15" t="s">
        <v>9841</v>
      </c>
      <c r="N88" s="79" t="str">
        <f t="shared" si="1"/>
        <v>Sim</v>
      </c>
      <c r="O88" s="15">
        <v>0</v>
      </c>
      <c r="P88" s="15">
        <v>40</v>
      </c>
    </row>
    <row r="89" spans="1:16" ht="17.25" customHeight="1" x14ac:dyDescent="0.35">
      <c r="A89" s="119" t="s">
        <v>9784</v>
      </c>
      <c r="B89" s="76" t="s">
        <v>9865</v>
      </c>
      <c r="C89" s="76" t="s">
        <v>10280</v>
      </c>
      <c r="D89" s="81" t="s">
        <v>9785</v>
      </c>
      <c r="E89" s="82" t="s">
        <v>10168</v>
      </c>
      <c r="F89" s="79" t="s">
        <v>9687</v>
      </c>
      <c r="G89" s="79" t="s">
        <v>9719</v>
      </c>
      <c r="H89" s="15" t="s">
        <v>9794</v>
      </c>
      <c r="I89" s="106">
        <v>498</v>
      </c>
      <c r="J89" s="28">
        <v>498</v>
      </c>
      <c r="K89" s="79" t="s">
        <v>9951</v>
      </c>
      <c r="L89" s="15" t="s">
        <v>9949</v>
      </c>
      <c r="M89" s="15" t="s">
        <v>9842</v>
      </c>
      <c r="N89" s="79" t="str">
        <f t="shared" si="1"/>
        <v>Sim</v>
      </c>
      <c r="O89" s="15">
        <v>0</v>
      </c>
      <c r="P89" s="15">
        <v>1000</v>
      </c>
    </row>
    <row r="90" spans="1:16" ht="17.25" customHeight="1" x14ac:dyDescent="0.35">
      <c r="A90" s="119"/>
      <c r="B90" s="76" t="s">
        <v>9865</v>
      </c>
      <c r="C90" s="76" t="s">
        <v>10280</v>
      </c>
      <c r="D90" s="81" t="s">
        <v>9786</v>
      </c>
      <c r="E90" s="82" t="s">
        <v>10169</v>
      </c>
      <c r="F90" s="79" t="s">
        <v>9687</v>
      </c>
      <c r="G90" s="79" t="s">
        <v>9719</v>
      </c>
      <c r="H90" s="15" t="s">
        <v>9794</v>
      </c>
      <c r="I90" s="107">
        <v>0</v>
      </c>
      <c r="J90" s="84">
        <v>0</v>
      </c>
      <c r="K90" s="79" t="s">
        <v>9951</v>
      </c>
      <c r="L90" s="15" t="s">
        <v>9949</v>
      </c>
      <c r="M90" s="15" t="s">
        <v>9843</v>
      </c>
      <c r="N90" s="79" t="str">
        <f t="shared" si="1"/>
        <v>Sim</v>
      </c>
      <c r="O90" s="15">
        <v>0</v>
      </c>
      <c r="P90" s="15">
        <v>1000</v>
      </c>
    </row>
    <row r="91" spans="1:16" ht="17.25" customHeight="1" x14ac:dyDescent="0.35">
      <c r="A91" s="119"/>
      <c r="B91" s="76" t="s">
        <v>9865</v>
      </c>
      <c r="C91" s="76" t="s">
        <v>10280</v>
      </c>
      <c r="D91" s="81" t="s">
        <v>9787</v>
      </c>
      <c r="E91" s="82" t="s">
        <v>10170</v>
      </c>
      <c r="F91" s="79" t="s">
        <v>9687</v>
      </c>
      <c r="G91" s="79" t="s">
        <v>9719</v>
      </c>
      <c r="H91" s="15" t="s">
        <v>9794</v>
      </c>
      <c r="I91" s="107">
        <v>42.8</v>
      </c>
      <c r="J91" s="84">
        <v>42.8</v>
      </c>
      <c r="K91" s="79" t="s">
        <v>9951</v>
      </c>
      <c r="L91" s="15" t="s">
        <v>9949</v>
      </c>
      <c r="M91" s="15" t="s">
        <v>9844</v>
      </c>
      <c r="N91" s="79" t="str">
        <f t="shared" si="1"/>
        <v>Sim</v>
      </c>
      <c r="O91" s="15">
        <v>0</v>
      </c>
      <c r="P91" s="15">
        <v>500</v>
      </c>
    </row>
    <row r="92" spans="1:16" ht="17.25" customHeight="1" x14ac:dyDescent="0.35">
      <c r="A92" s="119"/>
      <c r="B92" s="76" t="s">
        <v>9865</v>
      </c>
      <c r="C92" s="76" t="s">
        <v>10280</v>
      </c>
      <c r="D92" s="81" t="s">
        <v>9788</v>
      </c>
      <c r="E92" s="22" t="s">
        <v>10172</v>
      </c>
      <c r="F92" s="79" t="s">
        <v>9687</v>
      </c>
      <c r="G92" s="79" t="s">
        <v>9719</v>
      </c>
      <c r="H92" s="15" t="s">
        <v>9794</v>
      </c>
      <c r="I92" s="107">
        <v>250</v>
      </c>
      <c r="J92" s="84">
        <v>250</v>
      </c>
      <c r="K92" s="79" t="s">
        <v>9951</v>
      </c>
      <c r="L92" s="15" t="s">
        <v>9949</v>
      </c>
      <c r="M92" s="15" t="s">
        <v>9845</v>
      </c>
      <c r="N92" s="79" t="str">
        <f t="shared" si="1"/>
        <v>Sim</v>
      </c>
      <c r="O92" s="15">
        <v>0</v>
      </c>
      <c r="P92" s="15">
        <v>500</v>
      </c>
    </row>
    <row r="93" spans="1:16" ht="17.25" customHeight="1" x14ac:dyDescent="0.35">
      <c r="A93" s="119"/>
      <c r="B93" s="76" t="s">
        <v>9865</v>
      </c>
      <c r="C93" s="76" t="s">
        <v>10280</v>
      </c>
      <c r="D93" s="81" t="s">
        <v>9789</v>
      </c>
      <c r="E93" s="82" t="s">
        <v>10171</v>
      </c>
      <c r="F93" s="79" t="s">
        <v>9687</v>
      </c>
      <c r="G93" s="79" t="s">
        <v>9719</v>
      </c>
      <c r="H93" s="15" t="s">
        <v>9634</v>
      </c>
      <c r="I93" s="106">
        <v>0.47</v>
      </c>
      <c r="J93" s="28">
        <v>0.47</v>
      </c>
      <c r="K93" s="79" t="s">
        <v>9951</v>
      </c>
      <c r="L93" s="15" t="s">
        <v>9949</v>
      </c>
      <c r="M93" s="15" t="s">
        <v>9846</v>
      </c>
      <c r="N93" s="79" t="str">
        <f t="shared" si="1"/>
        <v>Sim</v>
      </c>
      <c r="O93" s="15">
        <v>0</v>
      </c>
      <c r="P93" s="15">
        <v>5</v>
      </c>
    </row>
    <row r="94" spans="1:16" ht="17.25" customHeight="1" x14ac:dyDescent="0.35">
      <c r="A94" s="119"/>
      <c r="B94" s="76" t="s">
        <v>9865</v>
      </c>
      <c r="C94" s="76" t="s">
        <v>10280</v>
      </c>
      <c r="D94" s="81" t="s">
        <v>9790</v>
      </c>
      <c r="E94" s="82" t="s">
        <v>10173</v>
      </c>
      <c r="F94" s="79" t="s">
        <v>9687</v>
      </c>
      <c r="G94" s="79" t="s">
        <v>9719</v>
      </c>
      <c r="H94" s="15" t="s">
        <v>9795</v>
      </c>
      <c r="I94" s="107">
        <v>5</v>
      </c>
      <c r="J94" s="84">
        <v>5</v>
      </c>
      <c r="K94" s="79" t="s">
        <v>9951</v>
      </c>
      <c r="L94" s="15" t="s">
        <v>9949</v>
      </c>
      <c r="M94" s="15" t="s">
        <v>9847</v>
      </c>
      <c r="N94" s="79" t="str">
        <f t="shared" si="1"/>
        <v>Sim</v>
      </c>
      <c r="O94" s="15">
        <v>0</v>
      </c>
      <c r="P94" s="15">
        <v>20</v>
      </c>
    </row>
    <row r="95" spans="1:16" ht="17.25" customHeight="1" x14ac:dyDescent="0.35">
      <c r="A95" s="119"/>
      <c r="B95" s="76" t="s">
        <v>9865</v>
      </c>
      <c r="C95" s="76" t="s">
        <v>10280</v>
      </c>
      <c r="D95" s="81" t="s">
        <v>9791</v>
      </c>
      <c r="E95" s="82" t="s">
        <v>10174</v>
      </c>
      <c r="F95" s="79" t="s">
        <v>9687</v>
      </c>
      <c r="G95" s="79" t="s">
        <v>9719</v>
      </c>
      <c r="H95" s="15" t="s">
        <v>9796</v>
      </c>
      <c r="I95" s="107">
        <v>10</v>
      </c>
      <c r="J95" s="84">
        <v>10</v>
      </c>
      <c r="K95" s="79" t="s">
        <v>9951</v>
      </c>
      <c r="L95" s="15" t="s">
        <v>9949</v>
      </c>
      <c r="M95" s="15" t="s">
        <v>9848</v>
      </c>
      <c r="N95" s="79" t="str">
        <f t="shared" si="1"/>
        <v>Sim</v>
      </c>
      <c r="O95" s="15">
        <v>0</v>
      </c>
      <c r="P95" s="15">
        <v>30</v>
      </c>
    </row>
    <row r="96" spans="1:16" ht="17.25" customHeight="1" x14ac:dyDescent="0.35">
      <c r="A96" s="119"/>
      <c r="B96" s="76" t="s">
        <v>9865</v>
      </c>
      <c r="C96" s="76" t="s">
        <v>10280</v>
      </c>
      <c r="D96" s="81" t="s">
        <v>9792</v>
      </c>
      <c r="E96" s="82" t="s">
        <v>10175</v>
      </c>
      <c r="F96" s="79" t="s">
        <v>9687</v>
      </c>
      <c r="G96" s="79" t="s">
        <v>9719</v>
      </c>
      <c r="H96" s="15" t="s">
        <v>9796</v>
      </c>
      <c r="I96" s="107">
        <v>0</v>
      </c>
      <c r="J96" s="84">
        <v>0</v>
      </c>
      <c r="K96" s="79" t="s">
        <v>9951</v>
      </c>
      <c r="L96" s="15" t="s">
        <v>9949</v>
      </c>
      <c r="M96" s="15" t="s">
        <v>9849</v>
      </c>
      <c r="N96" s="79" t="str">
        <f t="shared" si="1"/>
        <v>Sim</v>
      </c>
      <c r="O96" s="15">
        <v>0</v>
      </c>
      <c r="P96" s="15">
        <v>50</v>
      </c>
    </row>
    <row r="97" spans="1:16" ht="17.25" customHeight="1" x14ac:dyDescent="0.35">
      <c r="A97" s="119"/>
      <c r="B97" s="76" t="s">
        <v>9865</v>
      </c>
      <c r="C97" s="76" t="s">
        <v>10280</v>
      </c>
      <c r="D97" s="81" t="s">
        <v>9793</v>
      </c>
      <c r="E97" s="82" t="s">
        <v>10176</v>
      </c>
      <c r="F97" s="79" t="s">
        <v>9687</v>
      </c>
      <c r="G97" s="79" t="s">
        <v>9719</v>
      </c>
      <c r="H97" s="15" t="s">
        <v>9783</v>
      </c>
      <c r="I97" s="107">
        <v>50.5</v>
      </c>
      <c r="J97" s="84">
        <v>50.5</v>
      </c>
      <c r="K97" s="79" t="s">
        <v>9951</v>
      </c>
      <c r="L97" s="15" t="s">
        <v>9949</v>
      </c>
      <c r="M97" s="15" t="s">
        <v>9850</v>
      </c>
      <c r="N97" s="79" t="str">
        <f t="shared" si="1"/>
        <v>Sim</v>
      </c>
      <c r="O97" s="15">
        <v>0</v>
      </c>
      <c r="P97" s="15">
        <v>100</v>
      </c>
    </row>
    <row r="98" spans="1:16" ht="17.25" customHeight="1" x14ac:dyDescent="0.35">
      <c r="A98" s="119" t="s">
        <v>10019</v>
      </c>
      <c r="B98" s="76" t="s">
        <v>9865</v>
      </c>
      <c r="C98" s="76" t="s">
        <v>10281</v>
      </c>
      <c r="D98" s="81" t="s">
        <v>10040</v>
      </c>
      <c r="E98" s="82" t="s">
        <v>10259</v>
      </c>
      <c r="F98" s="79" t="s">
        <v>9687</v>
      </c>
      <c r="G98" s="79" t="s">
        <v>9719</v>
      </c>
      <c r="H98" s="15" t="s">
        <v>9962</v>
      </c>
      <c r="I98" s="107">
        <v>30</v>
      </c>
      <c r="J98" s="84">
        <v>35</v>
      </c>
      <c r="K98" s="79" t="s">
        <v>9951</v>
      </c>
      <c r="L98" s="15" t="s">
        <v>9949</v>
      </c>
      <c r="M98" s="15" t="s">
        <v>10041</v>
      </c>
      <c r="N98" s="79" t="str">
        <f t="shared" si="1"/>
        <v>Sim</v>
      </c>
      <c r="O98" s="15">
        <v>20</v>
      </c>
      <c r="P98" s="15">
        <v>35</v>
      </c>
    </row>
    <row r="99" spans="1:16" s="18" customFormat="1" ht="17.25" customHeight="1" x14ac:dyDescent="0.35">
      <c r="A99" s="119"/>
      <c r="B99" s="76" t="s">
        <v>9865</v>
      </c>
      <c r="C99" s="76" t="s">
        <v>10281</v>
      </c>
      <c r="D99" s="81" t="s">
        <v>10020</v>
      </c>
      <c r="E99" s="82" t="s">
        <v>10253</v>
      </c>
      <c r="F99" s="79" t="s">
        <v>9687</v>
      </c>
      <c r="G99" s="79" t="s">
        <v>9719</v>
      </c>
      <c r="H99" s="15" t="s">
        <v>9634</v>
      </c>
      <c r="I99" s="107">
        <v>70</v>
      </c>
      <c r="J99" s="84">
        <v>70</v>
      </c>
      <c r="K99" s="79" t="s">
        <v>9951</v>
      </c>
      <c r="L99" s="15" t="s">
        <v>9837</v>
      </c>
      <c r="M99" s="15" t="s">
        <v>10039</v>
      </c>
      <c r="N99" s="79" t="str">
        <f t="shared" si="1"/>
        <v>Sim</v>
      </c>
      <c r="O99" s="15">
        <v>0</v>
      </c>
      <c r="P99" s="15">
        <v>100</v>
      </c>
    </row>
    <row r="100" spans="1:16" ht="17.25" customHeight="1" x14ac:dyDescent="0.35">
      <c r="A100" s="119"/>
      <c r="B100" s="76" t="s">
        <v>9865</v>
      </c>
      <c r="C100" s="76" t="s">
        <v>10281</v>
      </c>
      <c r="D100" s="81" t="s">
        <v>10021</v>
      </c>
      <c r="E100" s="82" t="s">
        <v>10254</v>
      </c>
      <c r="F100" s="79" t="s">
        <v>10269</v>
      </c>
      <c r="G100" s="79" t="s">
        <v>9719</v>
      </c>
      <c r="H100" s="15" t="s">
        <v>10043</v>
      </c>
      <c r="I100" s="107" t="s">
        <v>10044</v>
      </c>
      <c r="J100" s="84" t="s">
        <v>10044</v>
      </c>
      <c r="K100" s="79" t="s">
        <v>9951</v>
      </c>
      <c r="L100" s="15" t="s">
        <v>9837</v>
      </c>
      <c r="M100" s="15" t="s">
        <v>10045</v>
      </c>
      <c r="N100" s="79" t="str">
        <f t="shared" si="1"/>
        <v>Sim</v>
      </c>
      <c r="O100" s="15" t="s">
        <v>9780</v>
      </c>
      <c r="P100" s="15" t="s">
        <v>9780</v>
      </c>
    </row>
    <row r="101" spans="1:16" ht="17.25" customHeight="1" x14ac:dyDescent="0.35">
      <c r="A101" s="119"/>
      <c r="B101" s="76" t="s">
        <v>9865</v>
      </c>
      <c r="C101" s="76" t="s">
        <v>10281</v>
      </c>
      <c r="D101" s="81" t="s">
        <v>10022</v>
      </c>
      <c r="E101" s="82" t="s">
        <v>10267</v>
      </c>
      <c r="F101" s="79" t="s">
        <v>9687</v>
      </c>
      <c r="G101" s="79" t="s">
        <v>9719</v>
      </c>
      <c r="H101" s="15" t="s">
        <v>9634</v>
      </c>
      <c r="I101" s="107">
        <v>12.5</v>
      </c>
      <c r="J101" s="84">
        <v>12.5</v>
      </c>
      <c r="K101" s="79" t="s">
        <v>9951</v>
      </c>
      <c r="L101" s="15" t="s">
        <v>9837</v>
      </c>
      <c r="M101" s="15" t="s">
        <v>9970</v>
      </c>
      <c r="N101" s="79" t="str">
        <f t="shared" si="1"/>
        <v>Sim</v>
      </c>
      <c r="O101" s="15">
        <v>0</v>
      </c>
      <c r="P101" s="15">
        <v>35</v>
      </c>
    </row>
    <row r="102" spans="1:16" ht="17.25" customHeight="1" x14ac:dyDescent="0.35">
      <c r="A102" s="119"/>
      <c r="B102" s="76" t="s">
        <v>9865</v>
      </c>
      <c r="C102" s="76" t="s">
        <v>10281</v>
      </c>
      <c r="D102" s="81" t="s">
        <v>10023</v>
      </c>
      <c r="E102" s="82" t="s">
        <v>10255</v>
      </c>
      <c r="F102" s="79" t="s">
        <v>9687</v>
      </c>
      <c r="G102" s="79" t="s">
        <v>9719</v>
      </c>
      <c r="H102" s="15" t="s">
        <v>9634</v>
      </c>
      <c r="I102" s="107">
        <v>4.3499999999999996</v>
      </c>
      <c r="J102" s="84">
        <v>4.3499999999999996</v>
      </c>
      <c r="K102" s="79" t="s">
        <v>9951</v>
      </c>
      <c r="L102" s="15" t="s">
        <v>9837</v>
      </c>
      <c r="M102" s="15" t="s">
        <v>10046</v>
      </c>
      <c r="N102" s="79" t="str">
        <f t="shared" si="1"/>
        <v>Sim</v>
      </c>
      <c r="O102" s="15">
        <v>0</v>
      </c>
      <c r="P102" s="15">
        <v>25</v>
      </c>
    </row>
    <row r="103" spans="1:16" ht="17.25" customHeight="1" x14ac:dyDescent="0.35">
      <c r="A103" s="119"/>
      <c r="B103" s="76" t="s">
        <v>9865</v>
      </c>
      <c r="C103" s="76" t="s">
        <v>10281</v>
      </c>
      <c r="D103" s="81" t="s">
        <v>10024</v>
      </c>
      <c r="E103" s="82" t="s">
        <v>10256</v>
      </c>
      <c r="F103" s="79" t="s">
        <v>10029</v>
      </c>
      <c r="G103" s="79" t="s">
        <v>9719</v>
      </c>
      <c r="H103" s="15" t="s">
        <v>9962</v>
      </c>
      <c r="I103" s="107">
        <v>20</v>
      </c>
      <c r="J103" s="84">
        <v>20</v>
      </c>
      <c r="K103" s="79" t="s">
        <v>9951</v>
      </c>
      <c r="L103" s="15" t="s">
        <v>9837</v>
      </c>
      <c r="M103" s="15" t="s">
        <v>10047</v>
      </c>
      <c r="N103" s="79" t="str">
        <f t="shared" si="1"/>
        <v>Sim</v>
      </c>
      <c r="O103" s="15">
        <v>5</v>
      </c>
      <c r="P103" s="15">
        <v>35</v>
      </c>
    </row>
    <row r="104" spans="1:16" ht="17.25" customHeight="1" x14ac:dyDescent="0.35">
      <c r="A104" s="119"/>
      <c r="B104" s="76" t="s">
        <v>9865</v>
      </c>
      <c r="C104" s="76" t="s">
        <v>10281</v>
      </c>
      <c r="D104" s="81" t="s">
        <v>10025</v>
      </c>
      <c r="E104" s="82" t="s">
        <v>10257</v>
      </c>
      <c r="F104" s="79" t="s">
        <v>10029</v>
      </c>
      <c r="G104" s="79" t="s">
        <v>9719</v>
      </c>
      <c r="H104" s="15" t="s">
        <v>9962</v>
      </c>
      <c r="I104" s="107">
        <v>2</v>
      </c>
      <c r="J104" s="84">
        <v>2</v>
      </c>
      <c r="K104" s="79" t="s">
        <v>9951</v>
      </c>
      <c r="L104" s="15" t="s">
        <v>9837</v>
      </c>
      <c r="M104" s="15" t="s">
        <v>10048</v>
      </c>
      <c r="N104" s="79" t="str">
        <f t="shared" si="1"/>
        <v>Sim</v>
      </c>
      <c r="O104" s="15">
        <v>0</v>
      </c>
      <c r="P104" s="15">
        <v>5</v>
      </c>
    </row>
    <row r="105" spans="1:16" ht="17.25" customHeight="1" x14ac:dyDescent="0.35">
      <c r="A105" s="119"/>
      <c r="B105" s="76" t="s">
        <v>9865</v>
      </c>
      <c r="C105" s="76" t="s">
        <v>10281</v>
      </c>
      <c r="D105" s="81" t="s">
        <v>10476</v>
      </c>
      <c r="E105" s="82" t="s">
        <v>10484</v>
      </c>
      <c r="F105" s="79" t="s">
        <v>9687</v>
      </c>
      <c r="G105" s="79" t="s">
        <v>9720</v>
      </c>
      <c r="H105" s="15" t="s">
        <v>9634</v>
      </c>
      <c r="I105" s="107">
        <f>J105</f>
        <v>5</v>
      </c>
      <c r="J105" s="84">
        <v>5</v>
      </c>
      <c r="K105" s="79" t="s">
        <v>9780</v>
      </c>
      <c r="L105" s="79" t="s">
        <v>9780</v>
      </c>
      <c r="M105" s="79" t="s">
        <v>9780</v>
      </c>
      <c r="N105" s="79" t="str">
        <f t="shared" si="1"/>
        <v>Sim</v>
      </c>
      <c r="O105" s="15">
        <v>0</v>
      </c>
      <c r="P105" s="15">
        <v>35</v>
      </c>
    </row>
    <row r="106" spans="1:16" ht="17.25" customHeight="1" x14ac:dyDescent="0.35">
      <c r="A106" s="119"/>
      <c r="B106" s="76" t="s">
        <v>9865</v>
      </c>
      <c r="C106" s="76" t="s">
        <v>10281</v>
      </c>
      <c r="D106" s="81" t="s">
        <v>10477</v>
      </c>
      <c r="E106" s="82" t="s">
        <v>10485</v>
      </c>
      <c r="F106" s="79" t="s">
        <v>9687</v>
      </c>
      <c r="G106" s="79" t="s">
        <v>9720</v>
      </c>
      <c r="H106" s="15" t="s">
        <v>9634</v>
      </c>
      <c r="I106" s="107">
        <f t="shared" ref="I106:I112" si="2"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5">
        <v>0</v>
      </c>
      <c r="P106" s="15">
        <v>25</v>
      </c>
    </row>
    <row r="107" spans="1:16" ht="17.25" customHeight="1" x14ac:dyDescent="0.35">
      <c r="A107" s="119"/>
      <c r="B107" s="76" t="s">
        <v>9865</v>
      </c>
      <c r="C107" s="76" t="s">
        <v>10281</v>
      </c>
      <c r="D107" s="81" t="s">
        <v>10478</v>
      </c>
      <c r="E107" s="82" t="s">
        <v>10486</v>
      </c>
      <c r="F107" s="79" t="s">
        <v>10029</v>
      </c>
      <c r="G107" s="79" t="s">
        <v>9720</v>
      </c>
      <c r="H107" s="15" t="s">
        <v>9962</v>
      </c>
      <c r="I107" s="107">
        <f t="shared" si="2"/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5">
        <v>5</v>
      </c>
      <c r="P107" s="15">
        <v>35</v>
      </c>
    </row>
    <row r="108" spans="1:16" ht="17.25" customHeight="1" x14ac:dyDescent="0.35">
      <c r="A108" s="119"/>
      <c r="B108" s="76" t="s">
        <v>9865</v>
      </c>
      <c r="C108" s="76" t="s">
        <v>10281</v>
      </c>
      <c r="D108" s="81" t="s">
        <v>10479</v>
      </c>
      <c r="E108" s="82" t="s">
        <v>10487</v>
      </c>
      <c r="F108" s="79" t="s">
        <v>10029</v>
      </c>
      <c r="G108" s="79" t="s">
        <v>9720</v>
      </c>
      <c r="H108" s="15" t="s">
        <v>9962</v>
      </c>
      <c r="I108" s="107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5">
        <v>0</v>
      </c>
      <c r="P108" s="15">
        <v>5</v>
      </c>
    </row>
    <row r="109" spans="1:16" ht="17.25" customHeight="1" x14ac:dyDescent="0.35">
      <c r="A109" s="119"/>
      <c r="B109" s="76" t="s">
        <v>9865</v>
      </c>
      <c r="C109" s="76" t="s">
        <v>10281</v>
      </c>
      <c r="D109" s="81" t="s">
        <v>10480</v>
      </c>
      <c r="E109" s="82" t="s">
        <v>10488</v>
      </c>
      <c r="F109" s="79" t="s">
        <v>9687</v>
      </c>
      <c r="G109" s="79" t="s">
        <v>9720</v>
      </c>
      <c r="H109" s="15" t="s">
        <v>9634</v>
      </c>
      <c r="I109" s="107">
        <f t="shared" si="2"/>
        <v>10</v>
      </c>
      <c r="J109" s="84">
        <v>10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5">
        <v>0</v>
      </c>
      <c r="P109" s="15">
        <v>35</v>
      </c>
    </row>
    <row r="110" spans="1:16" ht="17.25" customHeight="1" x14ac:dyDescent="0.35">
      <c r="A110" s="119"/>
      <c r="B110" s="76" t="s">
        <v>9865</v>
      </c>
      <c r="C110" s="76" t="s">
        <v>10281</v>
      </c>
      <c r="D110" s="81" t="s">
        <v>10481</v>
      </c>
      <c r="E110" s="82" t="s">
        <v>10489</v>
      </c>
      <c r="F110" s="79" t="s">
        <v>9687</v>
      </c>
      <c r="G110" s="79" t="s">
        <v>9720</v>
      </c>
      <c r="H110" s="15" t="s">
        <v>9634</v>
      </c>
      <c r="I110" s="107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5">
        <v>0</v>
      </c>
      <c r="P110" s="15">
        <v>25</v>
      </c>
    </row>
    <row r="111" spans="1:16" ht="17.25" customHeight="1" x14ac:dyDescent="0.35">
      <c r="A111" s="119"/>
      <c r="B111" s="76" t="s">
        <v>9865</v>
      </c>
      <c r="C111" s="76" t="s">
        <v>10281</v>
      </c>
      <c r="D111" s="81" t="s">
        <v>10482</v>
      </c>
      <c r="E111" s="82" t="s">
        <v>10490</v>
      </c>
      <c r="F111" s="79" t="s">
        <v>10029</v>
      </c>
      <c r="G111" s="79" t="s">
        <v>9720</v>
      </c>
      <c r="H111" s="15" t="s">
        <v>9962</v>
      </c>
      <c r="I111" s="107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5">
        <v>5</v>
      </c>
      <c r="P111" s="15">
        <v>35</v>
      </c>
    </row>
    <row r="112" spans="1:16" ht="17.25" customHeight="1" x14ac:dyDescent="0.35">
      <c r="A112" s="119"/>
      <c r="B112" s="76" t="s">
        <v>9865</v>
      </c>
      <c r="C112" s="76" t="s">
        <v>10281</v>
      </c>
      <c r="D112" s="81" t="s">
        <v>10483</v>
      </c>
      <c r="E112" s="82" t="s">
        <v>10491</v>
      </c>
      <c r="F112" s="79" t="s">
        <v>10029</v>
      </c>
      <c r="G112" s="79" t="s">
        <v>9720</v>
      </c>
      <c r="H112" s="15" t="s">
        <v>9962</v>
      </c>
      <c r="I112" s="107">
        <f t="shared" si="2"/>
        <v>0</v>
      </c>
      <c r="J112" s="84">
        <v>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5">
        <v>0</v>
      </c>
      <c r="P112" s="15">
        <v>5</v>
      </c>
    </row>
    <row r="113" spans="1:16" ht="17.25" customHeight="1" x14ac:dyDescent="0.35">
      <c r="A113" s="119"/>
      <c r="B113" s="76" t="s">
        <v>9865</v>
      </c>
      <c r="C113" s="76" t="s">
        <v>10281</v>
      </c>
      <c r="D113" s="81" t="s">
        <v>10026</v>
      </c>
      <c r="E113" s="82" t="s">
        <v>10258</v>
      </c>
      <c r="F113" s="79" t="s">
        <v>9687</v>
      </c>
      <c r="G113" s="79" t="s">
        <v>9719</v>
      </c>
      <c r="H113" s="15" t="s">
        <v>9634</v>
      </c>
      <c r="I113" s="107">
        <v>4.3499999999999996</v>
      </c>
      <c r="J113" s="84">
        <v>4.3499999999999996</v>
      </c>
      <c r="K113" s="79" t="s">
        <v>9951</v>
      </c>
      <c r="L113" s="15" t="s">
        <v>9837</v>
      </c>
      <c r="M113" s="15" t="s">
        <v>10042</v>
      </c>
      <c r="N113" s="79" t="str">
        <f t="shared" si="1"/>
        <v>Sim</v>
      </c>
      <c r="O113" s="15">
        <v>0</v>
      </c>
      <c r="P113" s="15">
        <v>25</v>
      </c>
    </row>
    <row r="114" spans="1:16" ht="17.25" customHeight="1" x14ac:dyDescent="0.35">
      <c r="A114" s="119"/>
      <c r="B114" s="76" t="s">
        <v>9865</v>
      </c>
      <c r="C114" s="76" t="s">
        <v>10281</v>
      </c>
      <c r="D114" s="81" t="s">
        <v>10028</v>
      </c>
      <c r="E114" s="82" t="s">
        <v>10058</v>
      </c>
      <c r="F114" s="79" t="s">
        <v>10269</v>
      </c>
      <c r="G114" s="79" t="s">
        <v>9719</v>
      </c>
      <c r="H114" s="15" t="s">
        <v>10271</v>
      </c>
      <c r="I114" s="107" t="s">
        <v>10164</v>
      </c>
      <c r="J114" s="84" t="s">
        <v>10164</v>
      </c>
      <c r="K114" s="79" t="s">
        <v>9780</v>
      </c>
      <c r="L114" s="15" t="s">
        <v>9780</v>
      </c>
      <c r="M114" s="15" t="s">
        <v>9780</v>
      </c>
      <c r="N114" s="79" t="str">
        <f t="shared" si="1"/>
        <v>Sim</v>
      </c>
      <c r="O114" s="15" t="s">
        <v>9780</v>
      </c>
      <c r="P114" s="15" t="s">
        <v>9780</v>
      </c>
    </row>
    <row r="115" spans="1:16" ht="17.25" customHeight="1" x14ac:dyDescent="0.35">
      <c r="A115" s="119"/>
      <c r="B115" s="76" t="s">
        <v>9865</v>
      </c>
      <c r="C115" s="76" t="s">
        <v>10281</v>
      </c>
      <c r="D115" s="81" t="s">
        <v>10027</v>
      </c>
      <c r="E115" s="82" t="s">
        <v>10059</v>
      </c>
      <c r="F115" s="79" t="s">
        <v>9687</v>
      </c>
      <c r="G115" s="79" t="s">
        <v>9719</v>
      </c>
      <c r="H115" s="15" t="s">
        <v>9780</v>
      </c>
      <c r="I115" s="107">
        <v>0</v>
      </c>
      <c r="J115" s="84">
        <v>0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Sim</v>
      </c>
      <c r="O115" s="15">
        <v>0</v>
      </c>
      <c r="P115" s="15">
        <v>100000000</v>
      </c>
    </row>
    <row r="116" spans="1:16" s="18" customFormat="1" ht="17.25" customHeight="1" x14ac:dyDescent="0.35">
      <c r="A116" s="119"/>
      <c r="B116" s="76" t="s">
        <v>9865</v>
      </c>
      <c r="C116" s="76" t="s">
        <v>10281</v>
      </c>
      <c r="D116" s="81" t="s">
        <v>10030</v>
      </c>
      <c r="E116" s="82" t="s">
        <v>10260</v>
      </c>
      <c r="F116" s="79" t="s">
        <v>9687</v>
      </c>
      <c r="G116" s="79" t="s">
        <v>9719</v>
      </c>
      <c r="H116" s="15" t="s">
        <v>9634</v>
      </c>
      <c r="I116" s="107">
        <v>30</v>
      </c>
      <c r="J116" s="84">
        <v>30</v>
      </c>
      <c r="K116" s="79" t="s">
        <v>9951</v>
      </c>
      <c r="L116" s="15" t="s">
        <v>9837</v>
      </c>
      <c r="M116" s="15" t="s">
        <v>10049</v>
      </c>
      <c r="N116" s="79" t="str">
        <f t="shared" si="1"/>
        <v>Sim</v>
      </c>
      <c r="O116" s="15">
        <v>0</v>
      </c>
      <c r="P116" s="15">
        <v>100</v>
      </c>
    </row>
    <row r="117" spans="1:16" ht="17.25" customHeight="1" x14ac:dyDescent="0.35">
      <c r="A117" s="119"/>
      <c r="B117" s="76" t="s">
        <v>9865</v>
      </c>
      <c r="C117" s="76" t="s">
        <v>10281</v>
      </c>
      <c r="D117" s="81" t="s">
        <v>10031</v>
      </c>
      <c r="E117" s="82" t="s">
        <v>10261</v>
      </c>
      <c r="F117" s="79" t="s">
        <v>9642</v>
      </c>
      <c r="G117" s="79" t="s">
        <v>9719</v>
      </c>
      <c r="H117" s="15" t="s">
        <v>10043</v>
      </c>
      <c r="I117" s="107" t="s">
        <v>10044</v>
      </c>
      <c r="J117" s="84" t="s">
        <v>10044</v>
      </c>
      <c r="K117" s="79" t="s">
        <v>9951</v>
      </c>
      <c r="L117" s="15" t="s">
        <v>9837</v>
      </c>
      <c r="M117" s="15" t="s">
        <v>10050</v>
      </c>
      <c r="N117" s="79" t="str">
        <f t="shared" si="1"/>
        <v>Sim</v>
      </c>
      <c r="O117" s="15" t="s">
        <v>9780</v>
      </c>
      <c r="P117" s="15" t="s">
        <v>9780</v>
      </c>
    </row>
    <row r="118" spans="1:16" ht="17.25" customHeight="1" x14ac:dyDescent="0.35">
      <c r="A118" s="119"/>
      <c r="B118" s="76" t="s">
        <v>9865</v>
      </c>
      <c r="C118" s="76" t="s">
        <v>10281</v>
      </c>
      <c r="D118" s="81" t="s">
        <v>10032</v>
      </c>
      <c r="E118" s="82" t="s">
        <v>10268</v>
      </c>
      <c r="F118" s="79" t="s">
        <v>9687</v>
      </c>
      <c r="G118" s="79" t="s">
        <v>9719</v>
      </c>
      <c r="H118" s="15" t="s">
        <v>9634</v>
      </c>
      <c r="I118" s="107">
        <v>12.5</v>
      </c>
      <c r="J118" s="84">
        <v>12.5</v>
      </c>
      <c r="K118" s="79" t="s">
        <v>9951</v>
      </c>
      <c r="L118" s="15" t="s">
        <v>9837</v>
      </c>
      <c r="M118" s="15" t="s">
        <v>10051</v>
      </c>
      <c r="N118" s="79" t="str">
        <f t="shared" si="1"/>
        <v>Sim</v>
      </c>
      <c r="O118" s="15">
        <v>0</v>
      </c>
      <c r="P118" s="15">
        <v>35</v>
      </c>
    </row>
    <row r="119" spans="1:16" ht="17.25" customHeight="1" x14ac:dyDescent="0.35">
      <c r="A119" s="119"/>
      <c r="B119" s="76" t="s">
        <v>9865</v>
      </c>
      <c r="C119" s="76" t="s">
        <v>10281</v>
      </c>
      <c r="D119" s="81" t="s">
        <v>10033</v>
      </c>
      <c r="E119" s="82" t="s">
        <v>10262</v>
      </c>
      <c r="F119" s="79" t="s">
        <v>9687</v>
      </c>
      <c r="G119" s="79" t="s">
        <v>9719</v>
      </c>
      <c r="H119" s="15" t="s">
        <v>9634</v>
      </c>
      <c r="I119" s="107">
        <v>4.3499999999999996</v>
      </c>
      <c r="J119" s="84">
        <v>4.3499999999999996</v>
      </c>
      <c r="K119" s="79" t="s">
        <v>9951</v>
      </c>
      <c r="L119" s="15" t="s">
        <v>9837</v>
      </c>
      <c r="M119" s="15" t="s">
        <v>10052</v>
      </c>
      <c r="N119" s="79" t="str">
        <f t="shared" si="1"/>
        <v>Sim</v>
      </c>
      <c r="O119" s="15">
        <v>0</v>
      </c>
      <c r="P119" s="15">
        <v>25</v>
      </c>
    </row>
    <row r="120" spans="1:16" ht="17.25" customHeight="1" x14ac:dyDescent="0.35">
      <c r="A120" s="119"/>
      <c r="B120" s="76" t="s">
        <v>9865</v>
      </c>
      <c r="C120" s="76" t="s">
        <v>10281</v>
      </c>
      <c r="D120" s="81" t="s">
        <v>10034</v>
      </c>
      <c r="E120" s="82" t="s">
        <v>10263</v>
      </c>
      <c r="F120" s="79" t="s">
        <v>10029</v>
      </c>
      <c r="G120" s="79" t="s">
        <v>9719</v>
      </c>
      <c r="H120" s="15" t="s">
        <v>9962</v>
      </c>
      <c r="I120" s="107">
        <v>20</v>
      </c>
      <c r="J120" s="84">
        <v>20</v>
      </c>
      <c r="K120" s="79" t="s">
        <v>9951</v>
      </c>
      <c r="L120" s="15" t="s">
        <v>9837</v>
      </c>
      <c r="M120" s="15" t="s">
        <v>10053</v>
      </c>
      <c r="N120" s="79" t="str">
        <f t="shared" si="1"/>
        <v>Sim</v>
      </c>
      <c r="O120" s="15">
        <v>5</v>
      </c>
      <c r="P120" s="15">
        <v>35</v>
      </c>
    </row>
    <row r="121" spans="1:16" ht="17.25" customHeight="1" x14ac:dyDescent="0.35">
      <c r="A121" s="119"/>
      <c r="B121" s="76" t="s">
        <v>9865</v>
      </c>
      <c r="C121" s="76" t="s">
        <v>10281</v>
      </c>
      <c r="D121" s="81" t="s">
        <v>10035</v>
      </c>
      <c r="E121" s="82" t="s">
        <v>10264</v>
      </c>
      <c r="F121" s="79" t="s">
        <v>10029</v>
      </c>
      <c r="G121" s="79" t="s">
        <v>9719</v>
      </c>
      <c r="H121" s="15" t="s">
        <v>9962</v>
      </c>
      <c r="I121" s="107">
        <v>2</v>
      </c>
      <c r="J121" s="84">
        <v>2</v>
      </c>
      <c r="K121" s="79" t="s">
        <v>9951</v>
      </c>
      <c r="L121" s="15" t="s">
        <v>9837</v>
      </c>
      <c r="M121" s="15" t="s">
        <v>10054</v>
      </c>
      <c r="N121" s="79" t="str">
        <f t="shared" si="1"/>
        <v>Sim</v>
      </c>
      <c r="O121" s="15">
        <v>0</v>
      </c>
      <c r="P121" s="15">
        <v>5</v>
      </c>
    </row>
    <row r="122" spans="1:16" ht="17.25" customHeight="1" x14ac:dyDescent="0.35">
      <c r="A122" s="119"/>
      <c r="B122" s="76" t="s">
        <v>9865</v>
      </c>
      <c r="C122" s="76" t="s">
        <v>10281</v>
      </c>
      <c r="D122" s="81" t="s">
        <v>10492</v>
      </c>
      <c r="E122" s="82" t="s">
        <v>10500</v>
      </c>
      <c r="F122" s="79" t="s">
        <v>9687</v>
      </c>
      <c r="G122" s="79" t="s">
        <v>9720</v>
      </c>
      <c r="H122" s="15" t="s">
        <v>9634</v>
      </c>
      <c r="I122" s="107">
        <f>J122</f>
        <v>5</v>
      </c>
      <c r="J122" s="84">
        <v>5</v>
      </c>
      <c r="K122" s="79" t="s">
        <v>9780</v>
      </c>
      <c r="L122" s="79" t="s">
        <v>9780</v>
      </c>
      <c r="M122" s="79" t="s">
        <v>9780</v>
      </c>
      <c r="N122" s="79" t="str">
        <f t="shared" si="1"/>
        <v>Sim</v>
      </c>
      <c r="O122" s="15">
        <v>0</v>
      </c>
      <c r="P122" s="15">
        <v>35</v>
      </c>
    </row>
    <row r="123" spans="1:16" ht="17.25" customHeight="1" x14ac:dyDescent="0.35">
      <c r="A123" s="119"/>
      <c r="B123" s="76" t="s">
        <v>9865</v>
      </c>
      <c r="C123" s="76" t="s">
        <v>10281</v>
      </c>
      <c r="D123" s="81" t="s">
        <v>10493</v>
      </c>
      <c r="E123" s="82" t="s">
        <v>10501</v>
      </c>
      <c r="F123" s="79" t="s">
        <v>9687</v>
      </c>
      <c r="G123" s="79" t="s">
        <v>9720</v>
      </c>
      <c r="H123" s="15" t="s">
        <v>9634</v>
      </c>
      <c r="I123" s="107">
        <f t="shared" ref="I123:I129" si="3"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5">
        <v>0</v>
      </c>
      <c r="P123" s="15">
        <v>25</v>
      </c>
    </row>
    <row r="124" spans="1:16" ht="17.25" customHeight="1" x14ac:dyDescent="0.35">
      <c r="A124" s="119"/>
      <c r="B124" s="76" t="s">
        <v>9865</v>
      </c>
      <c r="C124" s="76" t="s">
        <v>10281</v>
      </c>
      <c r="D124" s="81" t="s">
        <v>10494</v>
      </c>
      <c r="E124" s="82" t="s">
        <v>10502</v>
      </c>
      <c r="F124" s="79" t="s">
        <v>10029</v>
      </c>
      <c r="G124" s="79" t="s">
        <v>9720</v>
      </c>
      <c r="H124" s="15" t="s">
        <v>9962</v>
      </c>
      <c r="I124" s="107">
        <f t="shared" si="3"/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5">
        <v>5</v>
      </c>
      <c r="P124" s="15">
        <v>35</v>
      </c>
    </row>
    <row r="125" spans="1:16" ht="17.25" customHeight="1" x14ac:dyDescent="0.35">
      <c r="A125" s="119"/>
      <c r="B125" s="76" t="s">
        <v>9865</v>
      </c>
      <c r="C125" s="76" t="s">
        <v>10281</v>
      </c>
      <c r="D125" s="81" t="s">
        <v>10495</v>
      </c>
      <c r="E125" s="82" t="s">
        <v>10503</v>
      </c>
      <c r="F125" s="79" t="s">
        <v>10029</v>
      </c>
      <c r="G125" s="79" t="s">
        <v>9720</v>
      </c>
      <c r="H125" s="15" t="s">
        <v>9962</v>
      </c>
      <c r="I125" s="107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5">
        <v>0</v>
      </c>
      <c r="P125" s="15">
        <v>5</v>
      </c>
    </row>
    <row r="126" spans="1:16" ht="17.25" customHeight="1" x14ac:dyDescent="0.35">
      <c r="A126" s="119"/>
      <c r="B126" s="76" t="s">
        <v>9865</v>
      </c>
      <c r="C126" s="76" t="s">
        <v>10281</v>
      </c>
      <c r="D126" s="81" t="s">
        <v>10496</v>
      </c>
      <c r="E126" s="82" t="s">
        <v>10504</v>
      </c>
      <c r="F126" s="79" t="s">
        <v>9687</v>
      </c>
      <c r="G126" s="79" t="s">
        <v>9720</v>
      </c>
      <c r="H126" s="15" t="s">
        <v>9634</v>
      </c>
      <c r="I126" s="107">
        <f t="shared" si="3"/>
        <v>10</v>
      </c>
      <c r="J126" s="84">
        <v>10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5">
        <v>0</v>
      </c>
      <c r="P126" s="15">
        <v>35</v>
      </c>
    </row>
    <row r="127" spans="1:16" ht="17.25" customHeight="1" x14ac:dyDescent="0.35">
      <c r="A127" s="119"/>
      <c r="B127" s="76" t="s">
        <v>9865</v>
      </c>
      <c r="C127" s="76" t="s">
        <v>10281</v>
      </c>
      <c r="D127" s="81" t="s">
        <v>10497</v>
      </c>
      <c r="E127" s="82" t="s">
        <v>10505</v>
      </c>
      <c r="F127" s="79" t="s">
        <v>9687</v>
      </c>
      <c r="G127" s="79" t="s">
        <v>9720</v>
      </c>
      <c r="H127" s="15" t="s">
        <v>9634</v>
      </c>
      <c r="I127" s="107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5">
        <v>0</v>
      </c>
      <c r="P127" s="15">
        <v>25</v>
      </c>
    </row>
    <row r="128" spans="1:16" ht="17.25" customHeight="1" x14ac:dyDescent="0.35">
      <c r="A128" s="119"/>
      <c r="B128" s="76" t="s">
        <v>9865</v>
      </c>
      <c r="C128" s="76" t="s">
        <v>10281</v>
      </c>
      <c r="D128" s="81" t="s">
        <v>10498</v>
      </c>
      <c r="E128" s="82" t="s">
        <v>10506</v>
      </c>
      <c r="F128" s="79" t="s">
        <v>10029</v>
      </c>
      <c r="G128" s="79" t="s">
        <v>9720</v>
      </c>
      <c r="H128" s="15" t="s">
        <v>9962</v>
      </c>
      <c r="I128" s="107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5">
        <v>5</v>
      </c>
      <c r="P128" s="15">
        <v>35</v>
      </c>
    </row>
    <row r="129" spans="1:16" ht="17.25" customHeight="1" x14ac:dyDescent="0.35">
      <c r="A129" s="119"/>
      <c r="B129" s="76" t="s">
        <v>9865</v>
      </c>
      <c r="C129" s="76" t="s">
        <v>10281</v>
      </c>
      <c r="D129" s="81" t="s">
        <v>10499</v>
      </c>
      <c r="E129" s="82" t="s">
        <v>10507</v>
      </c>
      <c r="F129" s="79" t="s">
        <v>10029</v>
      </c>
      <c r="G129" s="79" t="s">
        <v>9720</v>
      </c>
      <c r="H129" s="15" t="s">
        <v>9962</v>
      </c>
      <c r="I129" s="107">
        <f t="shared" si="3"/>
        <v>0</v>
      </c>
      <c r="J129" s="84">
        <v>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5">
        <v>0</v>
      </c>
      <c r="P129" s="15">
        <v>5</v>
      </c>
    </row>
    <row r="130" spans="1:16" ht="17.25" customHeight="1" x14ac:dyDescent="0.35">
      <c r="A130" s="119"/>
      <c r="B130" s="76" t="s">
        <v>9865</v>
      </c>
      <c r="C130" s="76" t="s">
        <v>10281</v>
      </c>
      <c r="D130" s="81" t="s">
        <v>10036</v>
      </c>
      <c r="E130" s="82" t="s">
        <v>10265</v>
      </c>
      <c r="F130" s="79" t="s">
        <v>9687</v>
      </c>
      <c r="G130" s="79" t="s">
        <v>9719</v>
      </c>
      <c r="H130" s="15" t="s">
        <v>9634</v>
      </c>
      <c r="I130" s="107">
        <v>4.3499999999999996</v>
      </c>
      <c r="J130" s="84">
        <v>4.3499999999999996</v>
      </c>
      <c r="K130" s="79" t="s">
        <v>9951</v>
      </c>
      <c r="L130" s="15" t="s">
        <v>9837</v>
      </c>
      <c r="M130" s="15" t="s">
        <v>10055</v>
      </c>
      <c r="N130" s="79" t="str">
        <f t="shared" si="1"/>
        <v>Sim</v>
      </c>
      <c r="O130" s="15">
        <v>0</v>
      </c>
      <c r="P130" s="15">
        <v>25</v>
      </c>
    </row>
    <row r="131" spans="1:16" ht="17.25" customHeight="1" x14ac:dyDescent="0.35">
      <c r="A131" s="119"/>
      <c r="B131" s="76" t="s">
        <v>9865</v>
      </c>
      <c r="C131" s="76" t="s">
        <v>10281</v>
      </c>
      <c r="D131" s="81" t="s">
        <v>10037</v>
      </c>
      <c r="E131" s="82" t="s">
        <v>10056</v>
      </c>
      <c r="F131" s="79" t="s">
        <v>10269</v>
      </c>
      <c r="G131" s="79" t="s">
        <v>9719</v>
      </c>
      <c r="H131" s="15" t="s">
        <v>10271</v>
      </c>
      <c r="I131" s="107" t="s">
        <v>10164</v>
      </c>
      <c r="J131" s="84" t="s">
        <v>10164</v>
      </c>
      <c r="K131" s="79" t="s">
        <v>9780</v>
      </c>
      <c r="L131" s="15" t="s">
        <v>9780</v>
      </c>
      <c r="M131" s="15" t="s">
        <v>9780</v>
      </c>
      <c r="N131" s="79" t="str">
        <f t="shared" si="1"/>
        <v>Sim</v>
      </c>
      <c r="O131" s="15" t="s">
        <v>9780</v>
      </c>
      <c r="P131" s="15" t="s">
        <v>9780</v>
      </c>
    </row>
    <row r="132" spans="1:16" ht="17.25" customHeight="1" x14ac:dyDescent="0.35">
      <c r="A132" s="119"/>
      <c r="B132" s="76" t="s">
        <v>9865</v>
      </c>
      <c r="C132" s="76" t="s">
        <v>10281</v>
      </c>
      <c r="D132" s="81" t="s">
        <v>10038</v>
      </c>
      <c r="E132" s="82" t="s">
        <v>10057</v>
      </c>
      <c r="F132" s="79" t="s">
        <v>9687</v>
      </c>
      <c r="G132" s="79" t="s">
        <v>9719</v>
      </c>
      <c r="H132" s="15" t="s">
        <v>9780</v>
      </c>
      <c r="I132" s="107">
        <v>0</v>
      </c>
      <c r="J132" s="84">
        <v>0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Sim</v>
      </c>
      <c r="O132" s="15">
        <v>0</v>
      </c>
      <c r="P132" s="15">
        <v>100000000</v>
      </c>
    </row>
    <row r="133" spans="1:16" s="18" customFormat="1" ht="17.25" customHeight="1" x14ac:dyDescent="0.35">
      <c r="A133" s="119" t="s">
        <v>9808</v>
      </c>
      <c r="B133" s="76" t="s">
        <v>9865</v>
      </c>
      <c r="C133" s="76" t="s">
        <v>10286</v>
      </c>
      <c r="D133" s="81" t="s">
        <v>9797</v>
      </c>
      <c r="E133" s="82" t="s">
        <v>10177</v>
      </c>
      <c r="F133" s="79" t="s">
        <v>9687</v>
      </c>
      <c r="G133" s="79" t="s">
        <v>9719</v>
      </c>
      <c r="H133" s="15" t="s">
        <v>9863</v>
      </c>
      <c r="I133" s="107">
        <v>155</v>
      </c>
      <c r="J133" s="84">
        <v>155</v>
      </c>
      <c r="K133" s="79" t="s">
        <v>9951</v>
      </c>
      <c r="L133" s="15" t="s">
        <v>9851</v>
      </c>
      <c r="M133" s="15" t="s">
        <v>9852</v>
      </c>
      <c r="N133" s="79" t="str">
        <f t="shared" si="1"/>
        <v>Sim</v>
      </c>
      <c r="O133" s="15">
        <v>140</v>
      </c>
      <c r="P133" s="15">
        <v>160</v>
      </c>
    </row>
    <row r="134" spans="1:16" ht="17.25" customHeight="1" x14ac:dyDescent="0.35">
      <c r="A134" s="119"/>
      <c r="B134" s="76" t="s">
        <v>9865</v>
      </c>
      <c r="C134" s="76" t="s">
        <v>10286</v>
      </c>
      <c r="D134" s="81" t="s">
        <v>9798</v>
      </c>
      <c r="E134" s="82" t="s">
        <v>10178</v>
      </c>
      <c r="F134" s="79" t="s">
        <v>9687</v>
      </c>
      <c r="G134" s="79" t="s">
        <v>9719</v>
      </c>
      <c r="H134" s="15" t="s">
        <v>9634</v>
      </c>
      <c r="I134" s="106">
        <v>100</v>
      </c>
      <c r="J134" s="28">
        <v>100</v>
      </c>
      <c r="K134" s="79" t="s">
        <v>9951</v>
      </c>
      <c r="L134" s="15" t="s">
        <v>9851</v>
      </c>
      <c r="M134" s="15" t="s">
        <v>9853</v>
      </c>
      <c r="N134" s="79" t="str">
        <f t="shared" si="1"/>
        <v>Sim</v>
      </c>
      <c r="O134" s="15">
        <v>50</v>
      </c>
      <c r="P134" s="15">
        <v>100</v>
      </c>
    </row>
    <row r="135" spans="1:16" ht="17.25" customHeight="1" x14ac:dyDescent="0.35">
      <c r="A135" s="119"/>
      <c r="B135" s="76" t="s">
        <v>9865</v>
      </c>
      <c r="C135" s="76" t="s">
        <v>10286</v>
      </c>
      <c r="D135" s="81" t="s">
        <v>9799</v>
      </c>
      <c r="E135" s="82" t="s">
        <v>10179</v>
      </c>
      <c r="F135" s="79" t="s">
        <v>9687</v>
      </c>
      <c r="G135" s="79" t="s">
        <v>9719</v>
      </c>
      <c r="H135" s="15" t="s">
        <v>9634</v>
      </c>
      <c r="I135" s="106">
        <v>1</v>
      </c>
      <c r="J135" s="28">
        <v>1</v>
      </c>
      <c r="K135" s="79" t="s">
        <v>9951</v>
      </c>
      <c r="L135" s="15" t="s">
        <v>9851</v>
      </c>
      <c r="M135" s="15" t="s">
        <v>9854</v>
      </c>
      <c r="N135" s="79" t="str">
        <f t="shared" si="1"/>
        <v>Sim</v>
      </c>
      <c r="O135" s="15">
        <v>0</v>
      </c>
      <c r="P135" s="15">
        <v>10</v>
      </c>
    </row>
    <row r="136" spans="1:16" ht="17.25" customHeight="1" x14ac:dyDescent="0.35">
      <c r="A136" s="119"/>
      <c r="B136" s="76" t="s">
        <v>9865</v>
      </c>
      <c r="C136" s="76" t="s">
        <v>10286</v>
      </c>
      <c r="D136" s="81" t="s">
        <v>9800</v>
      </c>
      <c r="E136" s="82" t="s">
        <v>10180</v>
      </c>
      <c r="F136" s="79" t="s">
        <v>9687</v>
      </c>
      <c r="G136" s="79" t="s">
        <v>9719</v>
      </c>
      <c r="H136" s="15" t="s">
        <v>9634</v>
      </c>
      <c r="I136" s="106">
        <v>5</v>
      </c>
      <c r="J136" s="28">
        <v>5</v>
      </c>
      <c r="K136" s="79" t="s">
        <v>9951</v>
      </c>
      <c r="L136" s="15" t="s">
        <v>9851</v>
      </c>
      <c r="M136" s="15" t="s">
        <v>9855</v>
      </c>
      <c r="N136" s="79" t="str">
        <f t="shared" si="1"/>
        <v>Sim</v>
      </c>
      <c r="O136" s="15">
        <v>0</v>
      </c>
      <c r="P136" s="15">
        <v>15</v>
      </c>
    </row>
    <row r="137" spans="1:16" ht="17.25" customHeight="1" x14ac:dyDescent="0.35">
      <c r="A137" s="119"/>
      <c r="B137" s="76" t="s">
        <v>9865</v>
      </c>
      <c r="C137" s="76" t="s">
        <v>10286</v>
      </c>
      <c r="D137" s="81" t="s">
        <v>9801</v>
      </c>
      <c r="E137" s="82" t="s">
        <v>10187</v>
      </c>
      <c r="F137" s="79" t="s">
        <v>9687</v>
      </c>
      <c r="G137" s="79" t="s">
        <v>9719</v>
      </c>
      <c r="H137" s="15" t="s">
        <v>9634</v>
      </c>
      <c r="I137" s="106">
        <v>2.5</v>
      </c>
      <c r="J137" s="28">
        <v>2.5</v>
      </c>
      <c r="K137" s="79" t="s">
        <v>9951</v>
      </c>
      <c r="L137" s="15" t="s">
        <v>9851</v>
      </c>
      <c r="M137" s="15" t="s">
        <v>9856</v>
      </c>
      <c r="N137" s="79" t="str">
        <f t="shared" si="1"/>
        <v>Sim</v>
      </c>
      <c r="O137" s="15">
        <v>0</v>
      </c>
      <c r="P137" s="15">
        <v>10</v>
      </c>
    </row>
    <row r="138" spans="1:16" ht="17.25" customHeight="1" x14ac:dyDescent="0.35">
      <c r="A138" s="119"/>
      <c r="B138" s="76" t="s">
        <v>9865</v>
      </c>
      <c r="C138" s="76" t="s">
        <v>10286</v>
      </c>
      <c r="D138" s="81" t="s">
        <v>9802</v>
      </c>
      <c r="E138" s="82" t="s">
        <v>10181</v>
      </c>
      <c r="F138" s="79" t="s">
        <v>9687</v>
      </c>
      <c r="G138" s="79" t="s">
        <v>9719</v>
      </c>
      <c r="H138" s="15" t="s">
        <v>9864</v>
      </c>
      <c r="I138" s="106">
        <v>300000</v>
      </c>
      <c r="J138" s="28">
        <v>300000</v>
      </c>
      <c r="K138" s="79" t="s">
        <v>9951</v>
      </c>
      <c r="L138" s="15" t="s">
        <v>9851</v>
      </c>
      <c r="M138" s="15" t="s">
        <v>9857</v>
      </c>
      <c r="N138" s="79" t="str">
        <f t="shared" si="1"/>
        <v>Sim</v>
      </c>
      <c r="O138" s="15">
        <v>0</v>
      </c>
      <c r="P138" s="15">
        <v>1000000</v>
      </c>
    </row>
    <row r="139" spans="1:16" ht="17.25" customHeight="1" x14ac:dyDescent="0.35">
      <c r="A139" s="119"/>
      <c r="B139" s="76" t="s">
        <v>9865</v>
      </c>
      <c r="C139" s="76" t="s">
        <v>10286</v>
      </c>
      <c r="D139" s="81" t="s">
        <v>9803</v>
      </c>
      <c r="E139" s="82" t="s">
        <v>10182</v>
      </c>
      <c r="F139" s="79" t="s">
        <v>9687</v>
      </c>
      <c r="G139" s="79" t="s">
        <v>9719</v>
      </c>
      <c r="H139" s="15" t="s">
        <v>9634</v>
      </c>
      <c r="I139" s="106">
        <v>30</v>
      </c>
      <c r="J139" s="28">
        <v>30</v>
      </c>
      <c r="K139" s="79" t="s">
        <v>9951</v>
      </c>
      <c r="L139" s="15" t="s">
        <v>9851</v>
      </c>
      <c r="M139" s="15" t="s">
        <v>9858</v>
      </c>
      <c r="N139" s="79" t="str">
        <f t="shared" si="1"/>
        <v>Sim</v>
      </c>
      <c r="O139" s="15">
        <v>0</v>
      </c>
      <c r="P139" s="15">
        <v>75</v>
      </c>
    </row>
    <row r="140" spans="1:16" ht="17.25" customHeight="1" x14ac:dyDescent="0.35">
      <c r="A140" s="119"/>
      <c r="B140" s="76" t="s">
        <v>9865</v>
      </c>
      <c r="C140" s="76" t="s">
        <v>10286</v>
      </c>
      <c r="D140" s="81" t="s">
        <v>9804</v>
      </c>
      <c r="E140" s="82" t="s">
        <v>10183</v>
      </c>
      <c r="F140" s="79" t="s">
        <v>9687</v>
      </c>
      <c r="G140" s="79" t="s">
        <v>9719</v>
      </c>
      <c r="H140" s="15" t="s">
        <v>9634</v>
      </c>
      <c r="I140" s="106">
        <v>50</v>
      </c>
      <c r="J140" s="28">
        <v>50</v>
      </c>
      <c r="K140" s="79" t="s">
        <v>9951</v>
      </c>
      <c r="L140" s="15" t="s">
        <v>9851</v>
      </c>
      <c r="M140" s="15" t="s">
        <v>9859</v>
      </c>
      <c r="N140" s="79" t="str">
        <f t="shared" si="1"/>
        <v>Sim</v>
      </c>
      <c r="O140" s="15">
        <v>0</v>
      </c>
      <c r="P140" s="15">
        <v>100</v>
      </c>
    </row>
    <row r="141" spans="1:16" ht="17.25" customHeight="1" x14ac:dyDescent="0.35">
      <c r="A141" s="119"/>
      <c r="B141" s="76" t="s">
        <v>9865</v>
      </c>
      <c r="C141" s="76" t="s">
        <v>10286</v>
      </c>
      <c r="D141" s="81" t="s">
        <v>9805</v>
      </c>
      <c r="E141" s="82" t="s">
        <v>10184</v>
      </c>
      <c r="F141" s="79" t="s">
        <v>9687</v>
      </c>
      <c r="G141" s="79" t="s">
        <v>9719</v>
      </c>
      <c r="H141" s="15" t="s">
        <v>9864</v>
      </c>
      <c r="I141" s="106">
        <v>10000</v>
      </c>
      <c r="J141" s="28">
        <v>10000</v>
      </c>
      <c r="K141" s="79" t="s">
        <v>9951</v>
      </c>
      <c r="L141" s="15" t="s">
        <v>9851</v>
      </c>
      <c r="M141" s="15" t="s">
        <v>9860</v>
      </c>
      <c r="N141" s="79" t="str">
        <f t="shared" si="1"/>
        <v>Sim</v>
      </c>
      <c r="O141" s="15">
        <v>0</v>
      </c>
      <c r="P141" s="15">
        <v>100000</v>
      </c>
    </row>
    <row r="142" spans="1:16" ht="17.25" customHeight="1" x14ac:dyDescent="0.35">
      <c r="A142" s="119"/>
      <c r="B142" s="76" t="s">
        <v>9865</v>
      </c>
      <c r="C142" s="76" t="s">
        <v>10286</v>
      </c>
      <c r="D142" s="81" t="s">
        <v>9806</v>
      </c>
      <c r="E142" s="82" t="s">
        <v>10185</v>
      </c>
      <c r="F142" s="79" t="s">
        <v>9687</v>
      </c>
      <c r="G142" s="79" t="s">
        <v>9719</v>
      </c>
      <c r="H142" s="15" t="s">
        <v>9864</v>
      </c>
      <c r="I142" s="106">
        <v>100</v>
      </c>
      <c r="J142" s="28">
        <v>100</v>
      </c>
      <c r="K142" s="79" t="s">
        <v>9951</v>
      </c>
      <c r="L142" s="15" t="s">
        <v>9851</v>
      </c>
      <c r="M142" s="15" t="s">
        <v>9861</v>
      </c>
      <c r="N142" s="79" t="str">
        <f t="shared" si="1"/>
        <v>Sim</v>
      </c>
      <c r="O142" s="15">
        <v>0</v>
      </c>
      <c r="P142" s="15">
        <v>500</v>
      </c>
    </row>
    <row r="143" spans="1:16" ht="17.25" customHeight="1" x14ac:dyDescent="0.35">
      <c r="A143" s="119"/>
      <c r="B143" s="76" t="s">
        <v>9865</v>
      </c>
      <c r="C143" s="76" t="s">
        <v>10286</v>
      </c>
      <c r="D143" s="81" t="s">
        <v>9807</v>
      </c>
      <c r="E143" s="82" t="s">
        <v>10186</v>
      </c>
      <c r="F143" s="79" t="s">
        <v>9687</v>
      </c>
      <c r="G143" s="79" t="s">
        <v>9719</v>
      </c>
      <c r="H143" s="15" t="s">
        <v>9864</v>
      </c>
      <c r="I143" s="106">
        <v>103</v>
      </c>
      <c r="J143" s="28">
        <v>103</v>
      </c>
      <c r="K143" s="79" t="s">
        <v>9951</v>
      </c>
      <c r="L143" s="15" t="s">
        <v>9851</v>
      </c>
      <c r="M143" s="15" t="s">
        <v>9862</v>
      </c>
      <c r="N143" s="79" t="str">
        <f t="shared" si="1"/>
        <v>Sim</v>
      </c>
      <c r="O143" s="15">
        <v>0</v>
      </c>
      <c r="P143" s="15">
        <v>500</v>
      </c>
    </row>
    <row r="144" spans="1:16" ht="17.25" customHeight="1" x14ac:dyDescent="0.35">
      <c r="A144" s="75" t="s">
        <v>10250</v>
      </c>
      <c r="B144" s="76" t="s">
        <v>9866</v>
      </c>
      <c r="C144" s="76" t="s">
        <v>10287</v>
      </c>
      <c r="D144" s="81" t="s">
        <v>10251</v>
      </c>
      <c r="E144" s="82" t="s">
        <v>10252</v>
      </c>
      <c r="F144" s="79" t="s">
        <v>9687</v>
      </c>
      <c r="G144" s="79" t="s">
        <v>9719</v>
      </c>
      <c r="H144" s="15" t="s">
        <v>9634</v>
      </c>
      <c r="I144" s="106">
        <v>100</v>
      </c>
      <c r="J144" s="28">
        <v>100</v>
      </c>
      <c r="K144" s="27" t="s">
        <v>9968</v>
      </c>
      <c r="L144" s="15" t="s">
        <v>9874</v>
      </c>
      <c r="M144" s="15" t="s">
        <v>9969</v>
      </c>
      <c r="N144" s="79" t="str">
        <f t="shared" si="1"/>
        <v>Sim</v>
      </c>
      <c r="O144" s="15">
        <v>0</v>
      </c>
      <c r="P144" s="15">
        <v>100</v>
      </c>
    </row>
    <row r="145" spans="1:16" ht="17.25" customHeight="1" x14ac:dyDescent="0.35">
      <c r="A145" s="119"/>
      <c r="B145" s="76" t="s">
        <v>9866</v>
      </c>
      <c r="C145" s="76" t="s">
        <v>10288</v>
      </c>
      <c r="D145" s="81" t="s">
        <v>10060</v>
      </c>
      <c r="E145" s="82" t="s">
        <v>10188</v>
      </c>
      <c r="F145" s="79" t="s">
        <v>9687</v>
      </c>
      <c r="G145" s="79" t="s">
        <v>9719</v>
      </c>
      <c r="H145" s="15" t="s">
        <v>9813</v>
      </c>
      <c r="I145" s="107">
        <v>390</v>
      </c>
      <c r="J145" s="84">
        <v>390</v>
      </c>
      <c r="K145" s="27" t="s">
        <v>9968</v>
      </c>
      <c r="L145" s="15" t="s">
        <v>9874</v>
      </c>
      <c r="M145" s="15" t="s">
        <v>9971</v>
      </c>
      <c r="N145" s="79" t="str">
        <f t="shared" si="1"/>
        <v>Sim</v>
      </c>
      <c r="O145" s="15">
        <v>250</v>
      </c>
      <c r="P145" s="15">
        <v>750</v>
      </c>
    </row>
    <row r="146" spans="1:16" ht="17.25" customHeight="1" x14ac:dyDescent="0.35">
      <c r="A146" s="119"/>
      <c r="B146" s="76" t="s">
        <v>9866</v>
      </c>
      <c r="C146" s="76" t="s">
        <v>10288</v>
      </c>
      <c r="D146" s="81" t="s">
        <v>10061</v>
      </c>
      <c r="E146" s="82" t="s">
        <v>10189</v>
      </c>
      <c r="F146" s="79" t="s">
        <v>9687</v>
      </c>
      <c r="G146" s="79" t="s">
        <v>9719</v>
      </c>
      <c r="H146" s="15" t="s">
        <v>9813</v>
      </c>
      <c r="I146" s="107">
        <v>549.4</v>
      </c>
      <c r="J146" s="84">
        <v>549.4</v>
      </c>
      <c r="K146" s="27" t="s">
        <v>9968</v>
      </c>
      <c r="L146" s="15" t="s">
        <v>9874</v>
      </c>
      <c r="M146" s="15" t="s">
        <v>10165</v>
      </c>
      <c r="N146" s="79" t="str">
        <f t="shared" si="1"/>
        <v>Sim</v>
      </c>
      <c r="O146" s="15">
        <v>250</v>
      </c>
      <c r="P146" s="15">
        <v>750</v>
      </c>
    </row>
    <row r="147" spans="1:16" ht="17.25" customHeight="1" x14ac:dyDescent="0.35">
      <c r="A147" s="119"/>
      <c r="B147" s="76" t="s">
        <v>9866</v>
      </c>
      <c r="C147" s="76" t="s">
        <v>10288</v>
      </c>
      <c r="D147" s="81" t="s">
        <v>10062</v>
      </c>
      <c r="E147" s="82" t="s">
        <v>10190</v>
      </c>
      <c r="F147" s="79" t="s">
        <v>9687</v>
      </c>
      <c r="G147" s="79" t="s">
        <v>9719</v>
      </c>
      <c r="H147" s="15" t="s">
        <v>9867</v>
      </c>
      <c r="I147" s="107">
        <v>2</v>
      </c>
      <c r="J147" s="84">
        <v>2</v>
      </c>
      <c r="K147" s="27" t="s">
        <v>9968</v>
      </c>
      <c r="L147" s="15" t="s">
        <v>9874</v>
      </c>
      <c r="M147" s="15" t="s">
        <v>10166</v>
      </c>
      <c r="N147" s="79" t="str">
        <f t="shared" si="1"/>
        <v>Sim</v>
      </c>
      <c r="O147" s="15">
        <v>1</v>
      </c>
      <c r="P147" s="15">
        <v>10</v>
      </c>
    </row>
    <row r="148" spans="1:16" ht="17.25" customHeight="1" x14ac:dyDescent="0.35">
      <c r="A148" s="119"/>
      <c r="B148" s="76" t="s">
        <v>9866</v>
      </c>
      <c r="C148" s="76" t="s">
        <v>10288</v>
      </c>
      <c r="D148" s="81" t="s">
        <v>10063</v>
      </c>
      <c r="E148" s="82" t="s">
        <v>10191</v>
      </c>
      <c r="F148" s="79" t="s">
        <v>9687</v>
      </c>
      <c r="G148" s="79" t="s">
        <v>9719</v>
      </c>
      <c r="H148" s="15" t="s">
        <v>9794</v>
      </c>
      <c r="I148" s="107">
        <v>0</v>
      </c>
      <c r="J148" s="84">
        <v>0</v>
      </c>
      <c r="K148" s="27" t="s">
        <v>9968</v>
      </c>
      <c r="L148" s="15" t="s">
        <v>9874</v>
      </c>
      <c r="M148" s="15" t="s">
        <v>9972</v>
      </c>
      <c r="N148" s="79" t="str">
        <f t="shared" si="1"/>
        <v>Sim</v>
      </c>
      <c r="O148" s="15">
        <v>0</v>
      </c>
      <c r="P148" s="15">
        <v>500</v>
      </c>
    </row>
    <row r="149" spans="1:16" ht="17.25" customHeight="1" x14ac:dyDescent="0.35">
      <c r="A149" s="119"/>
      <c r="B149" s="76" t="s">
        <v>9866</v>
      </c>
      <c r="C149" s="76" t="s">
        <v>10288</v>
      </c>
      <c r="D149" s="81" t="s">
        <v>10064</v>
      </c>
      <c r="E149" s="82" t="s">
        <v>10192</v>
      </c>
      <c r="F149" s="79" t="s">
        <v>9687</v>
      </c>
      <c r="G149" s="79" t="s">
        <v>9719</v>
      </c>
      <c r="H149" s="15" t="s">
        <v>9794</v>
      </c>
      <c r="I149" s="107">
        <v>0</v>
      </c>
      <c r="J149" s="84">
        <v>0</v>
      </c>
      <c r="K149" s="27" t="s">
        <v>9968</v>
      </c>
      <c r="L149" s="15" t="s">
        <v>9874</v>
      </c>
      <c r="M149" s="15" t="s">
        <v>10167</v>
      </c>
      <c r="N149" s="79" t="str">
        <f t="shared" si="1"/>
        <v>Sim</v>
      </c>
      <c r="O149" s="15">
        <v>0</v>
      </c>
      <c r="P149" s="15">
        <v>50</v>
      </c>
    </row>
    <row r="150" spans="1:16" s="18" customFormat="1" ht="17.25" customHeight="1" x14ac:dyDescent="0.35">
      <c r="A150" s="119"/>
      <c r="B150" s="76" t="s">
        <v>9866</v>
      </c>
      <c r="C150" s="76" t="s">
        <v>10288</v>
      </c>
      <c r="D150" s="81" t="s">
        <v>10065</v>
      </c>
      <c r="E150" s="82" t="s">
        <v>10193</v>
      </c>
      <c r="F150" s="79" t="s">
        <v>10269</v>
      </c>
      <c r="G150" s="79" t="s">
        <v>9719</v>
      </c>
      <c r="H150" s="15" t="s">
        <v>10270</v>
      </c>
      <c r="I150" s="106" t="s">
        <v>9719</v>
      </c>
      <c r="J150" s="28" t="s">
        <v>9719</v>
      </c>
      <c r="K150" s="27" t="s">
        <v>9968</v>
      </c>
      <c r="L150" s="15" t="s">
        <v>9874</v>
      </c>
      <c r="M150" s="15" t="s">
        <v>9973</v>
      </c>
      <c r="N150" s="79" t="str">
        <f t="shared" si="1"/>
        <v>Sim</v>
      </c>
      <c r="O150" s="15" t="s">
        <v>9780</v>
      </c>
      <c r="P150" s="15" t="s">
        <v>10266</v>
      </c>
    </row>
    <row r="151" spans="1:16" ht="17.25" customHeight="1" x14ac:dyDescent="0.35">
      <c r="A151" s="119"/>
      <c r="B151" s="76" t="s">
        <v>9866</v>
      </c>
      <c r="C151" s="76" t="s">
        <v>10288</v>
      </c>
      <c r="D151" s="81" t="s">
        <v>10066</v>
      </c>
      <c r="E151" s="82" t="s">
        <v>10194</v>
      </c>
      <c r="F151" s="79" t="s">
        <v>9687</v>
      </c>
      <c r="G151" s="79" t="s">
        <v>9719</v>
      </c>
      <c r="H151" s="15" t="s">
        <v>9634</v>
      </c>
      <c r="I151" s="107">
        <v>0.25</v>
      </c>
      <c r="J151" s="84">
        <v>0.25</v>
      </c>
      <c r="K151" s="27" t="s">
        <v>9968</v>
      </c>
      <c r="L151" s="15" t="s">
        <v>9874</v>
      </c>
      <c r="M151" s="15" t="s">
        <v>9974</v>
      </c>
      <c r="N151" s="79" t="str">
        <f t="shared" si="1"/>
        <v>Sim</v>
      </c>
      <c r="O151" s="15">
        <v>0</v>
      </c>
      <c r="P151" s="15">
        <v>100</v>
      </c>
    </row>
    <row r="152" spans="1:16" ht="17.25" customHeight="1" x14ac:dyDescent="0.35">
      <c r="A152" s="119"/>
      <c r="B152" s="76" t="s">
        <v>9866</v>
      </c>
      <c r="C152" s="76" t="s">
        <v>10288</v>
      </c>
      <c r="D152" s="81" t="s">
        <v>10067</v>
      </c>
      <c r="E152" s="82" t="s">
        <v>10195</v>
      </c>
      <c r="F152" s="79" t="s">
        <v>9687</v>
      </c>
      <c r="G152" s="79" t="s">
        <v>9719</v>
      </c>
      <c r="H152" s="15" t="s">
        <v>9634</v>
      </c>
      <c r="I152" s="107">
        <v>0</v>
      </c>
      <c r="J152" s="84">
        <v>0</v>
      </c>
      <c r="K152" s="27" t="s">
        <v>9968</v>
      </c>
      <c r="L152" s="15" t="s">
        <v>9874</v>
      </c>
      <c r="M152" s="15" t="s">
        <v>9975</v>
      </c>
      <c r="N152" s="79" t="str">
        <f t="shared" si="1"/>
        <v>Sim</v>
      </c>
      <c r="O152" s="15">
        <v>0</v>
      </c>
      <c r="P152" s="15">
        <v>100</v>
      </c>
    </row>
    <row r="153" spans="1:16" ht="17.25" customHeight="1" x14ac:dyDescent="0.35">
      <c r="A153" s="119"/>
      <c r="B153" s="76" t="s">
        <v>9866</v>
      </c>
      <c r="C153" s="76" t="s">
        <v>10288</v>
      </c>
      <c r="D153" s="81" t="s">
        <v>10068</v>
      </c>
      <c r="E153" s="82" t="s">
        <v>10196</v>
      </c>
      <c r="F153" s="79" t="s">
        <v>9687</v>
      </c>
      <c r="G153" s="79" t="s">
        <v>9719</v>
      </c>
      <c r="H153" s="15" t="s">
        <v>9794</v>
      </c>
      <c r="I153" s="107">
        <v>950</v>
      </c>
      <c r="J153" s="84">
        <v>950</v>
      </c>
      <c r="K153" s="27" t="s">
        <v>9968</v>
      </c>
      <c r="L153" s="15" t="s">
        <v>9874</v>
      </c>
      <c r="M153" s="15" t="s">
        <v>9976</v>
      </c>
      <c r="N153" s="79" t="str">
        <f t="shared" ref="N153:N207" si="4">IF(F153="String",IF(I153&lt;&gt;"","Sim","Não"),IF(F153="List",IF(I153&lt;&gt;"","Sim","Não"),IF(AND(I153&gt;=O153,I153&lt;=P153,I153&lt;&gt;""),"Sim","Não")))</f>
        <v>Sim</v>
      </c>
      <c r="O153" s="15">
        <v>0</v>
      </c>
      <c r="P153" s="15">
        <v>5000</v>
      </c>
    </row>
    <row r="154" spans="1:16" ht="17.25" customHeight="1" x14ac:dyDescent="0.35">
      <c r="A154" s="119"/>
      <c r="B154" s="76" t="s">
        <v>9866</v>
      </c>
      <c r="C154" s="76" t="s">
        <v>10288</v>
      </c>
      <c r="D154" s="81" t="s">
        <v>10069</v>
      </c>
      <c r="E154" s="82" t="s">
        <v>10197</v>
      </c>
      <c r="F154" s="79" t="s">
        <v>9687</v>
      </c>
      <c r="G154" s="79" t="s">
        <v>9719</v>
      </c>
      <c r="H154" s="15" t="s">
        <v>9794</v>
      </c>
      <c r="I154" s="106">
        <v>2000</v>
      </c>
      <c r="J154" s="28">
        <v>2000</v>
      </c>
      <c r="K154" s="27" t="s">
        <v>9968</v>
      </c>
      <c r="L154" s="15" t="s">
        <v>9874</v>
      </c>
      <c r="M154" s="15" t="s">
        <v>9977</v>
      </c>
      <c r="N154" s="79" t="str">
        <f t="shared" si="4"/>
        <v>Sim</v>
      </c>
      <c r="O154" s="15">
        <v>0</v>
      </c>
      <c r="P154" s="15">
        <v>5000</v>
      </c>
    </row>
    <row r="155" spans="1:16" ht="17.25" customHeight="1" x14ac:dyDescent="0.35">
      <c r="A155" s="119"/>
      <c r="B155" s="76" t="s">
        <v>9866</v>
      </c>
      <c r="C155" s="76" t="s">
        <v>10288</v>
      </c>
      <c r="D155" s="81" t="s">
        <v>10070</v>
      </c>
      <c r="E155" s="82" t="s">
        <v>10199</v>
      </c>
      <c r="F155" s="79" t="s">
        <v>9687</v>
      </c>
      <c r="G155" s="79" t="s">
        <v>9719</v>
      </c>
      <c r="H155" s="15" t="s">
        <v>9794</v>
      </c>
      <c r="I155" s="107">
        <v>2750</v>
      </c>
      <c r="J155" s="84">
        <v>2750</v>
      </c>
      <c r="K155" s="27" t="s">
        <v>9968</v>
      </c>
      <c r="L155" s="15" t="s">
        <v>9874</v>
      </c>
      <c r="M155" s="15" t="s">
        <v>9978</v>
      </c>
      <c r="N155" s="79" t="str">
        <f t="shared" si="4"/>
        <v>Sim</v>
      </c>
      <c r="O155" s="15">
        <v>0</v>
      </c>
      <c r="P155" s="15">
        <v>5000</v>
      </c>
    </row>
    <row r="156" spans="1:16" ht="17.25" customHeight="1" x14ac:dyDescent="0.35">
      <c r="A156" s="119"/>
      <c r="B156" s="76" t="s">
        <v>9866</v>
      </c>
      <c r="C156" s="76" t="s">
        <v>10288</v>
      </c>
      <c r="D156" s="81" t="s">
        <v>10071</v>
      </c>
      <c r="E156" s="82" t="s">
        <v>10198</v>
      </c>
      <c r="F156" s="79" t="s">
        <v>9687</v>
      </c>
      <c r="G156" s="79" t="s">
        <v>9719</v>
      </c>
      <c r="H156" s="15" t="s">
        <v>9794</v>
      </c>
      <c r="I156" s="107">
        <v>300</v>
      </c>
      <c r="J156" s="84">
        <v>300</v>
      </c>
      <c r="K156" s="27" t="s">
        <v>9968</v>
      </c>
      <c r="L156" s="15" t="s">
        <v>9874</v>
      </c>
      <c r="M156" s="15" t="s">
        <v>9979</v>
      </c>
      <c r="N156" s="79" t="str">
        <f t="shared" si="4"/>
        <v>Sim</v>
      </c>
      <c r="O156" s="15">
        <v>0</v>
      </c>
      <c r="P156" s="15">
        <v>1000</v>
      </c>
    </row>
    <row r="157" spans="1:16" ht="17.25" customHeight="1" x14ac:dyDescent="0.35">
      <c r="A157" s="119"/>
      <c r="B157" s="76" t="s">
        <v>9866</v>
      </c>
      <c r="C157" s="76" t="s">
        <v>10288</v>
      </c>
      <c r="D157" s="81" t="s">
        <v>10072</v>
      </c>
      <c r="E157" s="82" t="s">
        <v>10200</v>
      </c>
      <c r="F157" s="79" t="s">
        <v>9687</v>
      </c>
      <c r="G157" s="79" t="s">
        <v>9719</v>
      </c>
      <c r="H157" s="15" t="s">
        <v>9794</v>
      </c>
      <c r="I157" s="107">
        <v>1500</v>
      </c>
      <c r="J157" s="84">
        <v>1500</v>
      </c>
      <c r="K157" s="27" t="s">
        <v>9968</v>
      </c>
      <c r="L157" s="15" t="s">
        <v>9874</v>
      </c>
      <c r="M157" s="15" t="s">
        <v>9980</v>
      </c>
      <c r="N157" s="79" t="str">
        <f t="shared" si="4"/>
        <v>Sim</v>
      </c>
      <c r="O157" s="15">
        <v>0</v>
      </c>
      <c r="P157" s="15">
        <v>5000</v>
      </c>
    </row>
    <row r="158" spans="1:16" ht="17.25" customHeight="1" x14ac:dyDescent="0.35">
      <c r="A158" s="119"/>
      <c r="B158" s="76" t="s">
        <v>9866</v>
      </c>
      <c r="C158" s="76" t="s">
        <v>10288</v>
      </c>
      <c r="D158" s="81" t="s">
        <v>10073</v>
      </c>
      <c r="E158" s="82" t="s">
        <v>10201</v>
      </c>
      <c r="F158" s="79" t="s">
        <v>9687</v>
      </c>
      <c r="G158" s="79" t="s">
        <v>9719</v>
      </c>
      <c r="H158" s="15" t="s">
        <v>9794</v>
      </c>
      <c r="I158" s="107">
        <v>2250</v>
      </c>
      <c r="J158" s="84">
        <v>2250</v>
      </c>
      <c r="K158" s="27" t="s">
        <v>9968</v>
      </c>
      <c r="L158" s="15" t="s">
        <v>9874</v>
      </c>
      <c r="M158" s="15" t="s">
        <v>10161</v>
      </c>
      <c r="N158" s="79" t="str">
        <f t="shared" si="4"/>
        <v>Sim</v>
      </c>
      <c r="O158" s="15">
        <v>0</v>
      </c>
      <c r="P158" s="15">
        <v>5000</v>
      </c>
    </row>
    <row r="159" spans="1:16" ht="17.25" customHeight="1" x14ac:dyDescent="0.35">
      <c r="A159" s="119"/>
      <c r="B159" s="76" t="s">
        <v>9866</v>
      </c>
      <c r="C159" s="76" t="s">
        <v>10290</v>
      </c>
      <c r="D159" s="81" t="s">
        <v>10074</v>
      </c>
      <c r="E159" s="82" t="s">
        <v>10202</v>
      </c>
      <c r="F159" s="79" t="s">
        <v>9687</v>
      </c>
      <c r="G159" s="79" t="s">
        <v>9719</v>
      </c>
      <c r="H159" s="15" t="s">
        <v>9813</v>
      </c>
      <c r="I159" s="107">
        <v>500</v>
      </c>
      <c r="J159" s="84">
        <v>500</v>
      </c>
      <c r="K159" s="27" t="s">
        <v>9968</v>
      </c>
      <c r="L159" s="15" t="s">
        <v>9874</v>
      </c>
      <c r="M159" s="15" t="s">
        <v>9981</v>
      </c>
      <c r="N159" s="79" t="str">
        <f t="shared" si="4"/>
        <v>Sim</v>
      </c>
      <c r="O159" s="15">
        <v>300</v>
      </c>
      <c r="P159" s="15">
        <v>750</v>
      </c>
    </row>
    <row r="160" spans="1:16" ht="17.25" customHeight="1" x14ac:dyDescent="0.35">
      <c r="A160" s="119"/>
      <c r="B160" s="76" t="s">
        <v>9866</v>
      </c>
      <c r="C160" s="76" t="s">
        <v>10290</v>
      </c>
      <c r="D160" s="81" t="s">
        <v>10075</v>
      </c>
      <c r="E160" s="82" t="s">
        <v>10207</v>
      </c>
      <c r="F160" s="79" t="s">
        <v>9687</v>
      </c>
      <c r="G160" s="79" t="s">
        <v>9719</v>
      </c>
      <c r="H160" s="15" t="s">
        <v>9868</v>
      </c>
      <c r="I160" s="107">
        <v>5.21</v>
      </c>
      <c r="J160" s="84">
        <v>5.21</v>
      </c>
      <c r="K160" s="27" t="s">
        <v>9968</v>
      </c>
      <c r="L160" s="15" t="s">
        <v>9874</v>
      </c>
      <c r="M160" s="15" t="s">
        <v>9982</v>
      </c>
      <c r="N160" s="79" t="str">
        <f t="shared" si="4"/>
        <v>Sim</v>
      </c>
      <c r="O160" s="15">
        <v>0</v>
      </c>
      <c r="P160" s="15">
        <v>10</v>
      </c>
    </row>
    <row r="161" spans="1:16" ht="17.25" customHeight="1" x14ac:dyDescent="0.35">
      <c r="A161" s="119"/>
      <c r="B161" s="76" t="s">
        <v>9866</v>
      </c>
      <c r="C161" s="76" t="s">
        <v>10290</v>
      </c>
      <c r="D161" s="81" t="s">
        <v>10076</v>
      </c>
      <c r="E161" s="82" t="s">
        <v>10208</v>
      </c>
      <c r="F161" s="79" t="s">
        <v>9687</v>
      </c>
      <c r="G161" s="79" t="s">
        <v>9719</v>
      </c>
      <c r="H161" s="15" t="s">
        <v>9868</v>
      </c>
      <c r="I161" s="107">
        <v>5.21</v>
      </c>
      <c r="J161" s="84">
        <v>5.21</v>
      </c>
      <c r="K161" s="27" t="s">
        <v>9968</v>
      </c>
      <c r="L161" s="15" t="s">
        <v>9874</v>
      </c>
      <c r="M161" s="15" t="s">
        <v>9983</v>
      </c>
      <c r="N161" s="79" t="str">
        <f t="shared" si="4"/>
        <v>Sim</v>
      </c>
      <c r="O161" s="15">
        <v>0</v>
      </c>
      <c r="P161" s="15">
        <v>10</v>
      </c>
    </row>
    <row r="162" spans="1:16" ht="17.25" customHeight="1" x14ac:dyDescent="0.35">
      <c r="A162" s="119"/>
      <c r="B162" s="76" t="s">
        <v>9866</v>
      </c>
      <c r="C162" s="76" t="s">
        <v>10291</v>
      </c>
      <c r="D162" s="81" t="s">
        <v>10077</v>
      </c>
      <c r="E162" s="82" t="s">
        <v>10205</v>
      </c>
      <c r="F162" s="79" t="s">
        <v>9687</v>
      </c>
      <c r="G162" s="79" t="s">
        <v>9719</v>
      </c>
      <c r="H162" s="15" t="s">
        <v>9813</v>
      </c>
      <c r="I162" s="107">
        <v>520</v>
      </c>
      <c r="J162" s="84">
        <v>520</v>
      </c>
      <c r="K162" s="27" t="s">
        <v>9968</v>
      </c>
      <c r="L162" s="15" t="s">
        <v>9874</v>
      </c>
      <c r="M162" s="15" t="s">
        <v>9984</v>
      </c>
      <c r="N162" s="79" t="str">
        <f t="shared" si="4"/>
        <v>Sim</v>
      </c>
      <c r="O162" s="15">
        <v>300</v>
      </c>
      <c r="P162" s="15">
        <v>750</v>
      </c>
    </row>
    <row r="163" spans="1:16" ht="17.25" customHeight="1" x14ac:dyDescent="0.35">
      <c r="A163" s="119"/>
      <c r="B163" s="76" t="s">
        <v>9866</v>
      </c>
      <c r="C163" s="76" t="s">
        <v>10291</v>
      </c>
      <c r="D163" s="81" t="s">
        <v>10289</v>
      </c>
      <c r="E163" s="82" t="s">
        <v>10206</v>
      </c>
      <c r="F163" s="79" t="s">
        <v>9687</v>
      </c>
      <c r="G163" s="79" t="s">
        <v>9719</v>
      </c>
      <c r="H163" s="15" t="s">
        <v>9813</v>
      </c>
      <c r="I163" s="107">
        <v>520</v>
      </c>
      <c r="J163" s="84">
        <v>520</v>
      </c>
      <c r="K163" s="27" t="s">
        <v>9968</v>
      </c>
      <c r="L163" s="15" t="s">
        <v>9874</v>
      </c>
      <c r="M163" s="15" t="s">
        <v>9985</v>
      </c>
      <c r="N163" s="79" t="str">
        <f t="shared" si="4"/>
        <v>Sim</v>
      </c>
      <c r="O163" s="15">
        <v>0</v>
      </c>
      <c r="P163" s="15">
        <v>750</v>
      </c>
    </row>
    <row r="164" spans="1:16" ht="17.25" customHeight="1" x14ac:dyDescent="0.35">
      <c r="A164" s="119"/>
      <c r="B164" s="76" t="s">
        <v>9866</v>
      </c>
      <c r="C164" s="76" t="s">
        <v>10291</v>
      </c>
      <c r="D164" s="81" t="s">
        <v>10075</v>
      </c>
      <c r="E164" s="82" t="s">
        <v>10203</v>
      </c>
      <c r="F164" s="79" t="s">
        <v>9687</v>
      </c>
      <c r="G164" s="79" t="s">
        <v>9719</v>
      </c>
      <c r="H164" s="15" t="s">
        <v>9868</v>
      </c>
      <c r="I164" s="107">
        <v>5.21</v>
      </c>
      <c r="J164" s="84">
        <v>5.21</v>
      </c>
      <c r="K164" s="27" t="s">
        <v>9968</v>
      </c>
      <c r="L164" s="15" t="s">
        <v>9874</v>
      </c>
      <c r="M164" s="15" t="s">
        <v>9986</v>
      </c>
      <c r="N164" s="79" t="str">
        <f t="shared" si="4"/>
        <v>Sim</v>
      </c>
      <c r="O164" s="15">
        <v>0</v>
      </c>
      <c r="P164" s="15">
        <v>10</v>
      </c>
    </row>
    <row r="165" spans="1:16" ht="17.25" customHeight="1" x14ac:dyDescent="0.35">
      <c r="A165" s="119"/>
      <c r="B165" s="76" t="s">
        <v>9866</v>
      </c>
      <c r="C165" s="76" t="s">
        <v>10291</v>
      </c>
      <c r="D165" s="81" t="s">
        <v>10076</v>
      </c>
      <c r="E165" s="82" t="s">
        <v>10204</v>
      </c>
      <c r="F165" s="79" t="s">
        <v>9687</v>
      </c>
      <c r="G165" s="79" t="s">
        <v>9719</v>
      </c>
      <c r="H165" s="15" t="s">
        <v>9868</v>
      </c>
      <c r="I165" s="107">
        <v>5.21</v>
      </c>
      <c r="J165" s="84">
        <v>5.21</v>
      </c>
      <c r="K165" s="27" t="s">
        <v>9968</v>
      </c>
      <c r="L165" s="15" t="s">
        <v>9874</v>
      </c>
      <c r="M165" s="15" t="s">
        <v>9987</v>
      </c>
      <c r="N165" s="79" t="str">
        <f t="shared" si="4"/>
        <v>Sim</v>
      </c>
      <c r="O165" s="15">
        <v>0</v>
      </c>
      <c r="P165" s="15">
        <v>10</v>
      </c>
    </row>
    <row r="166" spans="1:16" ht="17.25" customHeight="1" x14ac:dyDescent="0.35">
      <c r="A166" s="119"/>
      <c r="B166" s="76" t="s">
        <v>9866</v>
      </c>
      <c r="C166" s="76" t="s">
        <v>10288</v>
      </c>
      <c r="D166" s="81" t="s">
        <v>10078</v>
      </c>
      <c r="E166" s="82" t="s">
        <v>10209</v>
      </c>
      <c r="F166" s="79" t="s">
        <v>9687</v>
      </c>
      <c r="G166" s="79" t="s">
        <v>9719</v>
      </c>
      <c r="H166" s="15" t="s">
        <v>9813</v>
      </c>
      <c r="I166" s="107">
        <v>549.4</v>
      </c>
      <c r="J166" s="84">
        <v>549.4</v>
      </c>
      <c r="K166" s="27" t="s">
        <v>9968</v>
      </c>
      <c r="L166" s="15" t="s">
        <v>9874</v>
      </c>
      <c r="M166" s="15" t="s">
        <v>9971</v>
      </c>
      <c r="N166" s="79" t="str">
        <f t="shared" si="4"/>
        <v>Sim</v>
      </c>
      <c r="O166" s="15">
        <v>250</v>
      </c>
      <c r="P166" s="15">
        <v>750</v>
      </c>
    </row>
    <row r="167" spans="1:16" s="18" customFormat="1" ht="17.25" customHeight="1" x14ac:dyDescent="0.35">
      <c r="A167" s="119"/>
      <c r="B167" s="76" t="s">
        <v>9866</v>
      </c>
      <c r="C167" s="76" t="s">
        <v>10288</v>
      </c>
      <c r="D167" s="81" t="s">
        <v>10079</v>
      </c>
      <c r="E167" s="82" t="s">
        <v>10210</v>
      </c>
      <c r="F167" s="79" t="s">
        <v>9687</v>
      </c>
      <c r="G167" s="79" t="s">
        <v>9719</v>
      </c>
      <c r="H167" s="15" t="s">
        <v>9813</v>
      </c>
      <c r="I167" s="107">
        <v>549.4</v>
      </c>
      <c r="J167" s="84">
        <v>549.4</v>
      </c>
      <c r="K167" s="27" t="s">
        <v>9968</v>
      </c>
      <c r="L167" s="15" t="s">
        <v>9874</v>
      </c>
      <c r="M167" s="15" t="s">
        <v>10165</v>
      </c>
      <c r="N167" s="79" t="str">
        <f t="shared" si="4"/>
        <v>Sim</v>
      </c>
      <c r="O167" s="15">
        <v>250</v>
      </c>
      <c r="P167" s="15">
        <v>750</v>
      </c>
    </row>
    <row r="168" spans="1:16" ht="17.25" customHeight="1" x14ac:dyDescent="0.35">
      <c r="A168" s="119"/>
      <c r="B168" s="76" t="s">
        <v>9866</v>
      </c>
      <c r="C168" s="76" t="s">
        <v>10288</v>
      </c>
      <c r="D168" s="81" t="s">
        <v>10080</v>
      </c>
      <c r="E168" s="82" t="s">
        <v>10211</v>
      </c>
      <c r="F168" s="79" t="s">
        <v>9687</v>
      </c>
      <c r="G168" s="79" t="s">
        <v>9719</v>
      </c>
      <c r="H168" s="15" t="s">
        <v>9867</v>
      </c>
      <c r="I168" s="107">
        <v>4</v>
      </c>
      <c r="J168" s="84">
        <v>4</v>
      </c>
      <c r="K168" s="27" t="s">
        <v>9968</v>
      </c>
      <c r="L168" s="15" t="s">
        <v>9874</v>
      </c>
      <c r="M168" s="15" t="s">
        <v>10166</v>
      </c>
      <c r="N168" s="79" t="str">
        <f t="shared" si="4"/>
        <v>Sim</v>
      </c>
      <c r="O168" s="15">
        <v>1</v>
      </c>
      <c r="P168" s="15">
        <v>10</v>
      </c>
    </row>
    <row r="169" spans="1:16" ht="17.25" customHeight="1" x14ac:dyDescent="0.35">
      <c r="A169" s="119"/>
      <c r="B169" s="76" t="s">
        <v>9866</v>
      </c>
      <c r="C169" s="76" t="s">
        <v>10288</v>
      </c>
      <c r="D169" s="81" t="s">
        <v>10081</v>
      </c>
      <c r="E169" s="82" t="s">
        <v>10212</v>
      </c>
      <c r="F169" s="79" t="s">
        <v>9687</v>
      </c>
      <c r="G169" s="79" t="s">
        <v>9719</v>
      </c>
      <c r="H169" s="15" t="s">
        <v>9794</v>
      </c>
      <c r="I169" s="107">
        <v>150</v>
      </c>
      <c r="J169" s="84">
        <v>150</v>
      </c>
      <c r="K169" s="27" t="s">
        <v>9968</v>
      </c>
      <c r="L169" s="15" t="s">
        <v>9874</v>
      </c>
      <c r="M169" s="15" t="s">
        <v>9972</v>
      </c>
      <c r="N169" s="79" t="str">
        <f t="shared" si="4"/>
        <v>Sim</v>
      </c>
      <c r="O169" s="15">
        <v>0</v>
      </c>
      <c r="P169" s="15">
        <v>500</v>
      </c>
    </row>
    <row r="170" spans="1:16" ht="17.25" customHeight="1" x14ac:dyDescent="0.35">
      <c r="A170" s="119"/>
      <c r="B170" s="76" t="s">
        <v>9866</v>
      </c>
      <c r="C170" s="76" t="s">
        <v>10288</v>
      </c>
      <c r="D170" s="81" t="s">
        <v>10082</v>
      </c>
      <c r="E170" s="82" t="s">
        <v>10213</v>
      </c>
      <c r="F170" s="79" t="s">
        <v>9687</v>
      </c>
      <c r="G170" s="79" t="s">
        <v>9719</v>
      </c>
      <c r="H170" s="15" t="s">
        <v>9794</v>
      </c>
      <c r="I170" s="107">
        <v>0</v>
      </c>
      <c r="J170" s="84">
        <v>0</v>
      </c>
      <c r="K170" s="27" t="s">
        <v>9968</v>
      </c>
      <c r="L170" s="15" t="s">
        <v>9874</v>
      </c>
      <c r="M170" s="15" t="s">
        <v>10167</v>
      </c>
      <c r="N170" s="79" t="str">
        <f t="shared" si="4"/>
        <v>Sim</v>
      </c>
      <c r="O170" s="15">
        <v>0</v>
      </c>
      <c r="P170" s="15">
        <v>500</v>
      </c>
    </row>
    <row r="171" spans="1:16" ht="17.25" customHeight="1" x14ac:dyDescent="0.35">
      <c r="A171" s="119"/>
      <c r="B171" s="76" t="s">
        <v>9866</v>
      </c>
      <c r="C171" s="76" t="s">
        <v>10288</v>
      </c>
      <c r="D171" s="81" t="s">
        <v>10083</v>
      </c>
      <c r="E171" s="82" t="s">
        <v>10214</v>
      </c>
      <c r="F171" s="79" t="s">
        <v>10269</v>
      </c>
      <c r="G171" s="79" t="s">
        <v>9719</v>
      </c>
      <c r="H171" s="15" t="s">
        <v>10270</v>
      </c>
      <c r="I171" s="106" t="s">
        <v>9719</v>
      </c>
      <c r="J171" s="28" t="s">
        <v>9719</v>
      </c>
      <c r="K171" s="27" t="s">
        <v>9968</v>
      </c>
      <c r="L171" s="15" t="s">
        <v>9874</v>
      </c>
      <c r="M171" s="15" t="s">
        <v>9973</v>
      </c>
      <c r="N171" s="79" t="str">
        <f t="shared" si="4"/>
        <v>Sim</v>
      </c>
      <c r="O171" s="15" t="s">
        <v>9780</v>
      </c>
      <c r="P171" s="15" t="s">
        <v>10266</v>
      </c>
    </row>
    <row r="172" spans="1:16" ht="17.25" customHeight="1" x14ac:dyDescent="0.35">
      <c r="A172" s="119"/>
      <c r="B172" s="76" t="s">
        <v>9866</v>
      </c>
      <c r="C172" s="76" t="s">
        <v>10288</v>
      </c>
      <c r="D172" s="81" t="s">
        <v>10084</v>
      </c>
      <c r="E172" s="82" t="s">
        <v>10215</v>
      </c>
      <c r="F172" s="79" t="s">
        <v>9687</v>
      </c>
      <c r="G172" s="79" t="s">
        <v>9719</v>
      </c>
      <c r="H172" s="15" t="s">
        <v>9634</v>
      </c>
      <c r="I172" s="107">
        <v>0.25</v>
      </c>
      <c r="J172" s="84">
        <v>0.25</v>
      </c>
      <c r="K172" s="27" t="s">
        <v>9968</v>
      </c>
      <c r="L172" s="15" t="s">
        <v>9874</v>
      </c>
      <c r="M172" s="15" t="s">
        <v>9974</v>
      </c>
      <c r="N172" s="79" t="str">
        <f t="shared" si="4"/>
        <v>Sim</v>
      </c>
      <c r="O172" s="15">
        <v>0</v>
      </c>
      <c r="P172" s="15">
        <v>100</v>
      </c>
    </row>
    <row r="173" spans="1:16" ht="17.25" customHeight="1" x14ac:dyDescent="0.35">
      <c r="A173" s="119"/>
      <c r="B173" s="76" t="s">
        <v>9866</v>
      </c>
      <c r="C173" s="76" t="s">
        <v>10288</v>
      </c>
      <c r="D173" s="81" t="s">
        <v>10085</v>
      </c>
      <c r="E173" s="82" t="s">
        <v>10216</v>
      </c>
      <c r="F173" s="79" t="s">
        <v>9687</v>
      </c>
      <c r="G173" s="79" t="s">
        <v>9719</v>
      </c>
      <c r="H173" s="15" t="s">
        <v>9634</v>
      </c>
      <c r="I173" s="107">
        <v>0</v>
      </c>
      <c r="J173" s="84">
        <v>0</v>
      </c>
      <c r="K173" s="27" t="s">
        <v>9968</v>
      </c>
      <c r="L173" s="15" t="s">
        <v>9874</v>
      </c>
      <c r="M173" s="15" t="s">
        <v>9975</v>
      </c>
      <c r="N173" s="79" t="str">
        <f t="shared" si="4"/>
        <v>Sim</v>
      </c>
      <c r="O173" s="15">
        <v>0</v>
      </c>
      <c r="P173" s="15">
        <v>100</v>
      </c>
    </row>
    <row r="174" spans="1:16" ht="17.25" customHeight="1" x14ac:dyDescent="0.35">
      <c r="A174" s="119"/>
      <c r="B174" s="76" t="s">
        <v>9866</v>
      </c>
      <c r="C174" s="76" t="s">
        <v>10288</v>
      </c>
      <c r="D174" s="81" t="s">
        <v>10086</v>
      </c>
      <c r="E174" s="82" t="s">
        <v>10217</v>
      </c>
      <c r="F174" s="79" t="s">
        <v>9687</v>
      </c>
      <c r="G174" s="79" t="s">
        <v>9719</v>
      </c>
      <c r="H174" s="15" t="s">
        <v>9794</v>
      </c>
      <c r="I174" s="107">
        <v>950</v>
      </c>
      <c r="J174" s="84">
        <v>950</v>
      </c>
      <c r="K174" s="27" t="s">
        <v>9968</v>
      </c>
      <c r="L174" s="15" t="s">
        <v>9874</v>
      </c>
      <c r="M174" s="15" t="s">
        <v>9976</v>
      </c>
      <c r="N174" s="79" t="str">
        <f t="shared" si="4"/>
        <v>Sim</v>
      </c>
      <c r="O174" s="15">
        <v>0</v>
      </c>
      <c r="P174" s="15">
        <v>5000</v>
      </c>
    </row>
    <row r="175" spans="1:16" ht="17.25" customHeight="1" x14ac:dyDescent="0.35">
      <c r="A175" s="119"/>
      <c r="B175" s="76" t="s">
        <v>9866</v>
      </c>
      <c r="C175" s="76" t="s">
        <v>10288</v>
      </c>
      <c r="D175" s="81" t="s">
        <v>10087</v>
      </c>
      <c r="E175" s="82" t="s">
        <v>10218</v>
      </c>
      <c r="F175" s="79" t="s">
        <v>9687</v>
      </c>
      <c r="G175" s="79" t="s">
        <v>9719</v>
      </c>
      <c r="H175" s="15" t="s">
        <v>9794</v>
      </c>
      <c r="I175" s="106">
        <v>2000</v>
      </c>
      <c r="J175" s="28">
        <v>2000</v>
      </c>
      <c r="K175" s="27" t="s">
        <v>9968</v>
      </c>
      <c r="L175" s="15" t="s">
        <v>9874</v>
      </c>
      <c r="M175" s="15" t="s">
        <v>9977</v>
      </c>
      <c r="N175" s="79" t="str">
        <f t="shared" si="4"/>
        <v>Sim</v>
      </c>
      <c r="O175" s="15">
        <v>0</v>
      </c>
      <c r="P175" s="15">
        <v>5000</v>
      </c>
    </row>
    <row r="176" spans="1:16" ht="17.25" customHeight="1" x14ac:dyDescent="0.35">
      <c r="A176" s="119"/>
      <c r="B176" s="76" t="s">
        <v>9866</v>
      </c>
      <c r="C176" s="76" t="s">
        <v>10288</v>
      </c>
      <c r="D176" s="81" t="s">
        <v>10088</v>
      </c>
      <c r="E176" s="82" t="s">
        <v>10219</v>
      </c>
      <c r="F176" s="79" t="s">
        <v>9687</v>
      </c>
      <c r="G176" s="79" t="s">
        <v>9719</v>
      </c>
      <c r="H176" s="15" t="s">
        <v>9794</v>
      </c>
      <c r="I176" s="107">
        <v>2750</v>
      </c>
      <c r="J176" s="84">
        <v>2750</v>
      </c>
      <c r="K176" s="27" t="s">
        <v>9968</v>
      </c>
      <c r="L176" s="15" t="s">
        <v>9874</v>
      </c>
      <c r="M176" s="15" t="s">
        <v>9978</v>
      </c>
      <c r="N176" s="79" t="str">
        <f t="shared" si="4"/>
        <v>Sim</v>
      </c>
      <c r="O176" s="15">
        <v>0</v>
      </c>
      <c r="P176" s="15">
        <v>5000</v>
      </c>
    </row>
    <row r="177" spans="1:16" ht="17.25" customHeight="1" x14ac:dyDescent="0.35">
      <c r="A177" s="119"/>
      <c r="B177" s="76" t="s">
        <v>9866</v>
      </c>
      <c r="C177" s="76" t="s">
        <v>10288</v>
      </c>
      <c r="D177" s="81" t="s">
        <v>10089</v>
      </c>
      <c r="E177" s="82" t="s">
        <v>10220</v>
      </c>
      <c r="F177" s="79" t="s">
        <v>9687</v>
      </c>
      <c r="G177" s="79" t="s">
        <v>9719</v>
      </c>
      <c r="H177" s="15" t="s">
        <v>9794</v>
      </c>
      <c r="I177" s="107">
        <v>300</v>
      </c>
      <c r="J177" s="84">
        <v>300</v>
      </c>
      <c r="K177" s="27" t="s">
        <v>9968</v>
      </c>
      <c r="L177" s="15" t="s">
        <v>9874</v>
      </c>
      <c r="M177" s="15" t="s">
        <v>9979</v>
      </c>
      <c r="N177" s="79" t="str">
        <f t="shared" si="4"/>
        <v>Sim</v>
      </c>
      <c r="O177" s="15">
        <v>0</v>
      </c>
      <c r="P177" s="15">
        <v>1000</v>
      </c>
    </row>
    <row r="178" spans="1:16" ht="17.25" customHeight="1" x14ac:dyDescent="0.35">
      <c r="A178" s="119"/>
      <c r="B178" s="76" t="s">
        <v>9866</v>
      </c>
      <c r="C178" s="76" t="s">
        <v>10288</v>
      </c>
      <c r="D178" s="81" t="s">
        <v>10090</v>
      </c>
      <c r="E178" s="82" t="s">
        <v>10221</v>
      </c>
      <c r="F178" s="79" t="s">
        <v>9687</v>
      </c>
      <c r="G178" s="79" t="s">
        <v>9719</v>
      </c>
      <c r="H178" s="15" t="s">
        <v>9794</v>
      </c>
      <c r="I178" s="107">
        <v>1500</v>
      </c>
      <c r="J178" s="84">
        <v>1500</v>
      </c>
      <c r="K178" s="27" t="s">
        <v>9968</v>
      </c>
      <c r="L178" s="15" t="s">
        <v>9874</v>
      </c>
      <c r="M178" s="15" t="s">
        <v>9980</v>
      </c>
      <c r="N178" s="79" t="str">
        <f t="shared" si="4"/>
        <v>Sim</v>
      </c>
      <c r="O178" s="15">
        <v>0</v>
      </c>
      <c r="P178" s="15">
        <v>5000</v>
      </c>
    </row>
    <row r="179" spans="1:16" ht="17.25" customHeight="1" x14ac:dyDescent="0.35">
      <c r="A179" s="119"/>
      <c r="B179" s="76" t="s">
        <v>9866</v>
      </c>
      <c r="C179" s="76" t="s">
        <v>10288</v>
      </c>
      <c r="D179" s="81" t="s">
        <v>10091</v>
      </c>
      <c r="E179" s="82" t="s">
        <v>10222</v>
      </c>
      <c r="F179" s="79" t="s">
        <v>9687</v>
      </c>
      <c r="G179" s="79" t="s">
        <v>9719</v>
      </c>
      <c r="H179" s="15" t="s">
        <v>9794</v>
      </c>
      <c r="I179" s="107">
        <v>2250</v>
      </c>
      <c r="J179" s="84">
        <v>2250</v>
      </c>
      <c r="K179" s="27" t="s">
        <v>9968</v>
      </c>
      <c r="L179" s="15" t="s">
        <v>9874</v>
      </c>
      <c r="M179" s="15" t="s">
        <v>10161</v>
      </c>
      <c r="N179" s="79" t="str">
        <f t="shared" si="4"/>
        <v>Sim</v>
      </c>
      <c r="O179" s="15">
        <v>0</v>
      </c>
      <c r="P179" s="15">
        <v>5000</v>
      </c>
    </row>
    <row r="180" spans="1:16" ht="17.25" customHeight="1" x14ac:dyDescent="0.35">
      <c r="A180" s="119"/>
      <c r="B180" s="76" t="s">
        <v>9866</v>
      </c>
      <c r="C180" s="76" t="s">
        <v>10290</v>
      </c>
      <c r="D180" s="81" t="s">
        <v>10092</v>
      </c>
      <c r="E180" s="82" t="s">
        <v>10223</v>
      </c>
      <c r="F180" s="79" t="s">
        <v>9687</v>
      </c>
      <c r="G180" s="79" t="s">
        <v>9719</v>
      </c>
      <c r="H180" s="15" t="s">
        <v>9813</v>
      </c>
      <c r="I180" s="107">
        <v>500</v>
      </c>
      <c r="J180" s="84">
        <v>500</v>
      </c>
      <c r="K180" s="27" t="s">
        <v>9968</v>
      </c>
      <c r="L180" s="15" t="s">
        <v>9874</v>
      </c>
      <c r="M180" s="15" t="s">
        <v>9981</v>
      </c>
      <c r="N180" s="79" t="str">
        <f t="shared" si="4"/>
        <v>Sim</v>
      </c>
      <c r="O180" s="15">
        <v>300</v>
      </c>
      <c r="P180" s="15">
        <v>750</v>
      </c>
    </row>
    <row r="181" spans="1:16" ht="17.25" customHeight="1" x14ac:dyDescent="0.35">
      <c r="A181" s="119"/>
      <c r="B181" s="76" t="s">
        <v>9866</v>
      </c>
      <c r="C181" s="76" t="s">
        <v>10290</v>
      </c>
      <c r="D181" s="81" t="s">
        <v>10093</v>
      </c>
      <c r="E181" s="82" t="s">
        <v>10224</v>
      </c>
      <c r="F181" s="79" t="s">
        <v>9687</v>
      </c>
      <c r="G181" s="79" t="s">
        <v>9719</v>
      </c>
      <c r="H181" s="15" t="s">
        <v>9868</v>
      </c>
      <c r="I181" s="107">
        <v>5.21</v>
      </c>
      <c r="J181" s="84">
        <v>5.21</v>
      </c>
      <c r="K181" s="27" t="s">
        <v>9968</v>
      </c>
      <c r="L181" s="15" t="s">
        <v>9874</v>
      </c>
      <c r="M181" s="15" t="s">
        <v>9982</v>
      </c>
      <c r="N181" s="79" t="str">
        <f t="shared" si="4"/>
        <v>Sim</v>
      </c>
      <c r="O181" s="15">
        <v>0</v>
      </c>
      <c r="P181" s="15">
        <v>10</v>
      </c>
    </row>
    <row r="182" spans="1:16" ht="17.25" customHeight="1" x14ac:dyDescent="0.35">
      <c r="A182" s="119"/>
      <c r="B182" s="76" t="s">
        <v>9866</v>
      </c>
      <c r="C182" s="76" t="s">
        <v>10290</v>
      </c>
      <c r="D182" s="81" t="s">
        <v>10094</v>
      </c>
      <c r="E182" s="82" t="s">
        <v>10225</v>
      </c>
      <c r="F182" s="79" t="s">
        <v>9687</v>
      </c>
      <c r="G182" s="79" t="s">
        <v>9719</v>
      </c>
      <c r="H182" s="15" t="s">
        <v>9868</v>
      </c>
      <c r="I182" s="107">
        <v>5.21</v>
      </c>
      <c r="J182" s="84">
        <v>5.21</v>
      </c>
      <c r="K182" s="27" t="s">
        <v>9968</v>
      </c>
      <c r="L182" s="15" t="s">
        <v>9874</v>
      </c>
      <c r="M182" s="15" t="s">
        <v>9983</v>
      </c>
      <c r="N182" s="79" t="str">
        <f t="shared" si="4"/>
        <v>Sim</v>
      </c>
      <c r="O182" s="15">
        <v>0</v>
      </c>
      <c r="P182" s="15">
        <v>10</v>
      </c>
    </row>
    <row r="183" spans="1:16" ht="17.25" customHeight="1" x14ac:dyDescent="0.35">
      <c r="A183" s="119"/>
      <c r="B183" s="76" t="s">
        <v>9866</v>
      </c>
      <c r="C183" s="76" t="s">
        <v>10291</v>
      </c>
      <c r="D183" s="81" t="s">
        <v>10095</v>
      </c>
      <c r="E183" s="82" t="s">
        <v>10226</v>
      </c>
      <c r="F183" s="79" t="s">
        <v>9687</v>
      </c>
      <c r="G183" s="79" t="s">
        <v>9719</v>
      </c>
      <c r="H183" s="15" t="s">
        <v>9813</v>
      </c>
      <c r="I183" s="107">
        <v>520</v>
      </c>
      <c r="J183" s="84">
        <v>520</v>
      </c>
      <c r="K183" s="27" t="s">
        <v>9968</v>
      </c>
      <c r="L183" s="15" t="s">
        <v>9874</v>
      </c>
      <c r="M183" s="15" t="s">
        <v>9984</v>
      </c>
      <c r="N183" s="79" t="str">
        <f t="shared" si="4"/>
        <v>Sim</v>
      </c>
      <c r="O183" s="15">
        <v>300</v>
      </c>
      <c r="P183" s="15">
        <v>750</v>
      </c>
    </row>
    <row r="184" spans="1:16" s="18" customFormat="1" ht="17.25" customHeight="1" x14ac:dyDescent="0.35">
      <c r="A184" s="119"/>
      <c r="B184" s="76" t="s">
        <v>9866</v>
      </c>
      <c r="C184" s="76" t="s">
        <v>10291</v>
      </c>
      <c r="D184" s="81" t="s">
        <v>10096</v>
      </c>
      <c r="E184" s="82" t="s">
        <v>10227</v>
      </c>
      <c r="F184" s="79" t="s">
        <v>9687</v>
      </c>
      <c r="G184" s="79" t="s">
        <v>9719</v>
      </c>
      <c r="H184" s="15" t="s">
        <v>9813</v>
      </c>
      <c r="I184" s="107">
        <v>520</v>
      </c>
      <c r="J184" s="84">
        <v>520</v>
      </c>
      <c r="K184" s="27" t="s">
        <v>9968</v>
      </c>
      <c r="L184" s="15" t="s">
        <v>9874</v>
      </c>
      <c r="M184" s="15" t="s">
        <v>9985</v>
      </c>
      <c r="N184" s="79" t="str">
        <f t="shared" si="4"/>
        <v>Sim</v>
      </c>
      <c r="O184" s="15">
        <v>0</v>
      </c>
      <c r="P184" s="15">
        <v>750</v>
      </c>
    </row>
    <row r="185" spans="1:16" ht="17.25" customHeight="1" x14ac:dyDescent="0.35">
      <c r="A185" s="119"/>
      <c r="B185" s="76" t="s">
        <v>9866</v>
      </c>
      <c r="C185" s="76" t="s">
        <v>10291</v>
      </c>
      <c r="D185" s="81" t="s">
        <v>10093</v>
      </c>
      <c r="E185" s="82" t="s">
        <v>10228</v>
      </c>
      <c r="F185" s="79" t="s">
        <v>9687</v>
      </c>
      <c r="G185" s="79" t="s">
        <v>9719</v>
      </c>
      <c r="H185" s="15" t="s">
        <v>9868</v>
      </c>
      <c r="I185" s="107">
        <v>5.21</v>
      </c>
      <c r="J185" s="84">
        <v>5.21</v>
      </c>
      <c r="K185" s="27" t="s">
        <v>9968</v>
      </c>
      <c r="L185" s="15" t="s">
        <v>9874</v>
      </c>
      <c r="M185" s="15" t="s">
        <v>9986</v>
      </c>
      <c r="N185" s="79" t="str">
        <f t="shared" si="4"/>
        <v>Sim</v>
      </c>
      <c r="O185" s="15">
        <v>0</v>
      </c>
      <c r="P185" s="15">
        <v>10</v>
      </c>
    </row>
    <row r="186" spans="1:16" ht="17.25" customHeight="1" x14ac:dyDescent="0.35">
      <c r="A186" s="119"/>
      <c r="B186" s="76" t="s">
        <v>9866</v>
      </c>
      <c r="C186" s="76" t="s">
        <v>10291</v>
      </c>
      <c r="D186" s="81" t="s">
        <v>10094</v>
      </c>
      <c r="E186" s="82" t="s">
        <v>10229</v>
      </c>
      <c r="F186" s="79" t="s">
        <v>9687</v>
      </c>
      <c r="G186" s="79" t="s">
        <v>9719</v>
      </c>
      <c r="H186" s="15" t="s">
        <v>9868</v>
      </c>
      <c r="I186" s="107">
        <v>5.21</v>
      </c>
      <c r="J186" s="84">
        <v>5.21</v>
      </c>
      <c r="K186" s="27" t="s">
        <v>9968</v>
      </c>
      <c r="L186" s="15" t="s">
        <v>9874</v>
      </c>
      <c r="M186" s="15" t="s">
        <v>9987</v>
      </c>
      <c r="N186" s="79" t="str">
        <f t="shared" si="4"/>
        <v>Sim</v>
      </c>
      <c r="O186" s="15">
        <v>0</v>
      </c>
      <c r="P186" s="15">
        <v>10</v>
      </c>
    </row>
    <row r="187" spans="1:16" ht="17.25" customHeight="1" x14ac:dyDescent="0.35">
      <c r="A187" s="119" t="s">
        <v>10115</v>
      </c>
      <c r="B187" s="76" t="s">
        <v>9866</v>
      </c>
      <c r="C187" s="76" t="s">
        <v>10292</v>
      </c>
      <c r="D187" s="81" t="s">
        <v>10106</v>
      </c>
      <c r="E187" s="82" t="s">
        <v>10230</v>
      </c>
      <c r="F187" s="79" t="s">
        <v>9687</v>
      </c>
      <c r="G187" s="79" t="s">
        <v>9719</v>
      </c>
      <c r="H187" s="15" t="s">
        <v>9869</v>
      </c>
      <c r="I187" s="107">
        <v>4500000</v>
      </c>
      <c r="J187" s="84">
        <v>4500000</v>
      </c>
      <c r="K187" s="27" t="s">
        <v>9968</v>
      </c>
      <c r="L187" s="15" t="s">
        <v>9874</v>
      </c>
      <c r="M187" s="15" t="s">
        <v>9988</v>
      </c>
      <c r="N187" s="79" t="str">
        <f t="shared" si="4"/>
        <v>Sim</v>
      </c>
      <c r="O187" s="15">
        <v>0</v>
      </c>
      <c r="P187" s="15">
        <v>10000000</v>
      </c>
    </row>
    <row r="188" spans="1:16" ht="17.25" customHeight="1" x14ac:dyDescent="0.35">
      <c r="A188" s="119"/>
      <c r="B188" s="76" t="s">
        <v>9866</v>
      </c>
      <c r="C188" s="76" t="s">
        <v>10292</v>
      </c>
      <c r="D188" s="81" t="s">
        <v>10107</v>
      </c>
      <c r="E188" s="82" t="s">
        <v>10231</v>
      </c>
      <c r="F188" s="79" t="s">
        <v>9687</v>
      </c>
      <c r="G188" s="79" t="s">
        <v>9719</v>
      </c>
      <c r="H188" s="15" t="s">
        <v>9870</v>
      </c>
      <c r="I188" s="107">
        <v>25</v>
      </c>
      <c r="J188" s="84">
        <v>25</v>
      </c>
      <c r="K188" s="27" t="s">
        <v>9968</v>
      </c>
      <c r="L188" s="15" t="s">
        <v>9874</v>
      </c>
      <c r="M188" s="15" t="s">
        <v>9989</v>
      </c>
      <c r="N188" s="79" t="str">
        <f t="shared" si="4"/>
        <v>Sim</v>
      </c>
      <c r="O188" s="15">
        <v>0</v>
      </c>
      <c r="P188" s="15">
        <v>500</v>
      </c>
    </row>
    <row r="189" spans="1:16" ht="17.25" customHeight="1" x14ac:dyDescent="0.35">
      <c r="A189" s="119"/>
      <c r="B189" s="76" t="s">
        <v>9866</v>
      </c>
      <c r="C189" s="76" t="s">
        <v>10293</v>
      </c>
      <c r="D189" s="81" t="s">
        <v>10108</v>
      </c>
      <c r="E189" s="82" t="s">
        <v>10232</v>
      </c>
      <c r="F189" s="79" t="s">
        <v>9687</v>
      </c>
      <c r="G189" s="79" t="s">
        <v>9719</v>
      </c>
      <c r="H189" s="15" t="s">
        <v>9871</v>
      </c>
      <c r="I189" s="107">
        <v>25</v>
      </c>
      <c r="J189" s="84">
        <v>25</v>
      </c>
      <c r="K189" s="27" t="s">
        <v>9968</v>
      </c>
      <c r="L189" s="15" t="s">
        <v>9874</v>
      </c>
      <c r="M189" s="15" t="s">
        <v>9990</v>
      </c>
      <c r="N189" s="79" t="str">
        <f t="shared" si="4"/>
        <v>Sim</v>
      </c>
      <c r="O189" s="15">
        <v>0</v>
      </c>
      <c r="P189" s="15">
        <v>500</v>
      </c>
    </row>
    <row r="190" spans="1:16" ht="17.25" customHeight="1" x14ac:dyDescent="0.35">
      <c r="A190" s="119"/>
      <c r="B190" s="76" t="s">
        <v>9866</v>
      </c>
      <c r="C190" s="76" t="s">
        <v>10293</v>
      </c>
      <c r="D190" s="81" t="s">
        <v>10109</v>
      </c>
      <c r="E190" s="82" t="s">
        <v>10233</v>
      </c>
      <c r="F190" s="79" t="s">
        <v>9687</v>
      </c>
      <c r="G190" s="79" t="s">
        <v>9719</v>
      </c>
      <c r="H190" s="15" t="s">
        <v>9872</v>
      </c>
      <c r="I190" s="107">
        <v>2000</v>
      </c>
      <c r="J190" s="84">
        <v>2000</v>
      </c>
      <c r="K190" s="27" t="s">
        <v>9968</v>
      </c>
      <c r="L190" s="15" t="s">
        <v>9874</v>
      </c>
      <c r="M190" s="15" t="s">
        <v>9991</v>
      </c>
      <c r="N190" s="79" t="str">
        <f t="shared" si="4"/>
        <v>Sim</v>
      </c>
      <c r="O190" s="15">
        <v>0</v>
      </c>
      <c r="P190" s="15">
        <v>5000</v>
      </c>
    </row>
    <row r="191" spans="1:16" ht="17.25" customHeight="1" x14ac:dyDescent="0.35">
      <c r="A191" s="119"/>
      <c r="B191" s="76" t="s">
        <v>9866</v>
      </c>
      <c r="C191" s="76" t="s">
        <v>10293</v>
      </c>
      <c r="D191" s="81" t="s">
        <v>10110</v>
      </c>
      <c r="E191" s="82" t="s">
        <v>10237</v>
      </c>
      <c r="F191" s="79" t="s">
        <v>9687</v>
      </c>
      <c r="G191" s="79" t="s">
        <v>9719</v>
      </c>
      <c r="H191" s="15" t="s">
        <v>9952</v>
      </c>
      <c r="I191" s="107">
        <v>10</v>
      </c>
      <c r="J191" s="84">
        <v>10</v>
      </c>
      <c r="K191" s="27" t="s">
        <v>9968</v>
      </c>
      <c r="L191" s="15" t="s">
        <v>9874</v>
      </c>
      <c r="M191" s="15" t="s">
        <v>10330</v>
      </c>
      <c r="N191" s="79" t="str">
        <f t="shared" si="4"/>
        <v>Sim</v>
      </c>
      <c r="O191" s="15">
        <v>0</v>
      </c>
      <c r="P191" s="15">
        <v>10</v>
      </c>
    </row>
    <row r="192" spans="1:16" ht="17.25" customHeight="1" x14ac:dyDescent="0.35">
      <c r="A192" s="119"/>
      <c r="B192" s="76" t="s">
        <v>9866</v>
      </c>
      <c r="C192" s="76" t="s">
        <v>10293</v>
      </c>
      <c r="D192" s="81" t="s">
        <v>10111</v>
      </c>
      <c r="E192" s="82" t="s">
        <v>10234</v>
      </c>
      <c r="F192" s="79" t="s">
        <v>9687</v>
      </c>
      <c r="G192" s="79" t="s">
        <v>9719</v>
      </c>
      <c r="H192" s="15" t="s">
        <v>9870</v>
      </c>
      <c r="I192" s="107">
        <v>25</v>
      </c>
      <c r="J192" s="84">
        <v>25</v>
      </c>
      <c r="K192" s="27" t="s">
        <v>9968</v>
      </c>
      <c r="L192" s="15" t="s">
        <v>9874</v>
      </c>
      <c r="M192" s="15" t="s">
        <v>10331</v>
      </c>
      <c r="N192" s="79" t="str">
        <f t="shared" si="4"/>
        <v>Sim</v>
      </c>
      <c r="O192" s="15">
        <v>0</v>
      </c>
      <c r="P192" s="15">
        <v>100</v>
      </c>
    </row>
    <row r="193" spans="1:16" ht="17.25" customHeight="1" x14ac:dyDescent="0.35">
      <c r="A193" s="119"/>
      <c r="B193" s="76" t="s">
        <v>9866</v>
      </c>
      <c r="C193" s="76" t="s">
        <v>10294</v>
      </c>
      <c r="D193" s="81" t="s">
        <v>10112</v>
      </c>
      <c r="E193" s="82" t="s">
        <v>10235</v>
      </c>
      <c r="F193" s="79" t="s">
        <v>9687</v>
      </c>
      <c r="G193" s="79" t="s">
        <v>9719</v>
      </c>
      <c r="H193" s="15" t="s">
        <v>9873</v>
      </c>
      <c r="I193" s="107">
        <v>50</v>
      </c>
      <c r="J193" s="84">
        <v>50</v>
      </c>
      <c r="K193" s="27" t="s">
        <v>9968</v>
      </c>
      <c r="L193" s="15" t="s">
        <v>9874</v>
      </c>
      <c r="M193" s="15" t="s">
        <v>9992</v>
      </c>
      <c r="N193" s="79" t="str">
        <f t="shared" si="4"/>
        <v>Sim</v>
      </c>
      <c r="O193" s="15">
        <v>0</v>
      </c>
      <c r="P193" s="15">
        <v>500</v>
      </c>
    </row>
    <row r="194" spans="1:16" ht="17.25" customHeight="1" x14ac:dyDescent="0.35">
      <c r="A194" s="119"/>
      <c r="B194" s="76" t="s">
        <v>9866</v>
      </c>
      <c r="C194" s="76" t="s">
        <v>10294</v>
      </c>
      <c r="D194" s="81" t="s">
        <v>10113</v>
      </c>
      <c r="E194" s="82" t="s">
        <v>10236</v>
      </c>
      <c r="F194" s="79" t="s">
        <v>9687</v>
      </c>
      <c r="G194" s="79" t="s">
        <v>9719</v>
      </c>
      <c r="H194" s="15" t="s">
        <v>9872</v>
      </c>
      <c r="I194" s="107">
        <v>2250</v>
      </c>
      <c r="J194" s="84">
        <v>2250</v>
      </c>
      <c r="K194" s="27" t="s">
        <v>9968</v>
      </c>
      <c r="L194" s="15" t="s">
        <v>9874</v>
      </c>
      <c r="M194" s="15" t="s">
        <v>9993</v>
      </c>
      <c r="N194" s="79" t="str">
        <f t="shared" si="4"/>
        <v>Sim</v>
      </c>
      <c r="O194" s="15">
        <v>0</v>
      </c>
      <c r="P194" s="15">
        <v>5000</v>
      </c>
    </row>
    <row r="195" spans="1:16" ht="17.25" customHeight="1" x14ac:dyDescent="0.35">
      <c r="A195" s="119"/>
      <c r="B195" s="76" t="s">
        <v>9866</v>
      </c>
      <c r="C195" s="76" t="s">
        <v>10294</v>
      </c>
      <c r="D195" s="81" t="s">
        <v>10110</v>
      </c>
      <c r="E195" s="82" t="s">
        <v>10238</v>
      </c>
      <c r="F195" s="79" t="s">
        <v>9687</v>
      </c>
      <c r="G195" s="79" t="s">
        <v>9719</v>
      </c>
      <c r="H195" s="15" t="s">
        <v>9952</v>
      </c>
      <c r="I195" s="107">
        <v>5</v>
      </c>
      <c r="J195" s="84">
        <v>5</v>
      </c>
      <c r="K195" s="27" t="s">
        <v>9968</v>
      </c>
      <c r="L195" s="15" t="s">
        <v>9874</v>
      </c>
      <c r="M195" s="15" t="s">
        <v>9994</v>
      </c>
      <c r="N195" s="79" t="str">
        <f t="shared" si="4"/>
        <v>Sim</v>
      </c>
      <c r="O195" s="15">
        <v>0</v>
      </c>
      <c r="P195" s="15">
        <v>10</v>
      </c>
    </row>
    <row r="196" spans="1:16" ht="17.25" customHeight="1" x14ac:dyDescent="0.35">
      <c r="A196" s="119"/>
      <c r="B196" s="76" t="s">
        <v>9866</v>
      </c>
      <c r="C196" s="76" t="s">
        <v>10294</v>
      </c>
      <c r="D196" s="81" t="s">
        <v>10114</v>
      </c>
      <c r="E196" s="82" t="s">
        <v>10239</v>
      </c>
      <c r="F196" s="79" t="s">
        <v>9687</v>
      </c>
      <c r="G196" s="79" t="s">
        <v>9719</v>
      </c>
      <c r="H196" s="15" t="s">
        <v>9870</v>
      </c>
      <c r="I196" s="107">
        <v>25</v>
      </c>
      <c r="J196" s="84">
        <v>25</v>
      </c>
      <c r="K196" s="27" t="s">
        <v>9968</v>
      </c>
      <c r="L196" s="15" t="s">
        <v>9874</v>
      </c>
      <c r="M196" s="15" t="s">
        <v>9995</v>
      </c>
      <c r="N196" s="79" t="str">
        <f t="shared" si="4"/>
        <v>Sim</v>
      </c>
      <c r="O196" s="15">
        <v>0</v>
      </c>
      <c r="P196" s="15">
        <v>100</v>
      </c>
    </row>
    <row r="197" spans="1:16" ht="17.25" customHeight="1" x14ac:dyDescent="0.35">
      <c r="A197" s="119" t="s">
        <v>10116</v>
      </c>
      <c r="B197" s="76" t="s">
        <v>9866</v>
      </c>
      <c r="C197" s="76" t="s">
        <v>10292</v>
      </c>
      <c r="D197" s="81" t="s">
        <v>10097</v>
      </c>
      <c r="E197" s="82" t="s">
        <v>10240</v>
      </c>
      <c r="F197" s="79" t="s">
        <v>9687</v>
      </c>
      <c r="G197" s="79" t="s">
        <v>9719</v>
      </c>
      <c r="H197" s="15" t="s">
        <v>9869</v>
      </c>
      <c r="I197" s="107">
        <v>4500000</v>
      </c>
      <c r="J197" s="84">
        <v>4500000</v>
      </c>
      <c r="K197" s="27" t="s">
        <v>9968</v>
      </c>
      <c r="L197" s="15" t="s">
        <v>9874</v>
      </c>
      <c r="M197" s="15" t="s">
        <v>9988</v>
      </c>
      <c r="N197" s="79" t="str">
        <f t="shared" si="4"/>
        <v>Sim</v>
      </c>
      <c r="O197" s="15">
        <v>0</v>
      </c>
      <c r="P197" s="15">
        <v>10000000</v>
      </c>
    </row>
    <row r="198" spans="1:16" ht="17.25" customHeight="1" x14ac:dyDescent="0.35">
      <c r="A198" s="119"/>
      <c r="B198" s="76" t="s">
        <v>9866</v>
      </c>
      <c r="C198" s="76" t="s">
        <v>10292</v>
      </c>
      <c r="D198" s="81" t="s">
        <v>10098</v>
      </c>
      <c r="E198" s="82" t="s">
        <v>10241</v>
      </c>
      <c r="F198" s="79" t="s">
        <v>9687</v>
      </c>
      <c r="G198" s="79" t="s">
        <v>9719</v>
      </c>
      <c r="H198" s="15" t="s">
        <v>9870</v>
      </c>
      <c r="I198" s="107">
        <v>25</v>
      </c>
      <c r="J198" s="84">
        <v>25</v>
      </c>
      <c r="K198" s="27" t="s">
        <v>9968</v>
      </c>
      <c r="L198" s="15" t="s">
        <v>9874</v>
      </c>
      <c r="M198" s="15" t="s">
        <v>9989</v>
      </c>
      <c r="N198" s="79" t="str">
        <f t="shared" si="4"/>
        <v>Sim</v>
      </c>
      <c r="O198" s="15">
        <v>0</v>
      </c>
      <c r="P198" s="15">
        <v>500</v>
      </c>
    </row>
    <row r="199" spans="1:16" ht="17.25" customHeight="1" x14ac:dyDescent="0.35">
      <c r="A199" s="119"/>
      <c r="B199" s="76" t="s">
        <v>9866</v>
      </c>
      <c r="C199" s="76" t="s">
        <v>10293</v>
      </c>
      <c r="D199" s="81" t="s">
        <v>10099</v>
      </c>
      <c r="E199" s="82" t="s">
        <v>10242</v>
      </c>
      <c r="F199" s="79" t="s">
        <v>9687</v>
      </c>
      <c r="G199" s="79" t="s">
        <v>9719</v>
      </c>
      <c r="H199" s="15" t="s">
        <v>9871</v>
      </c>
      <c r="I199" s="107">
        <v>25</v>
      </c>
      <c r="J199" s="84">
        <v>25</v>
      </c>
      <c r="K199" s="27" t="s">
        <v>9968</v>
      </c>
      <c r="L199" s="15" t="s">
        <v>9874</v>
      </c>
      <c r="M199" s="15" t="s">
        <v>9990</v>
      </c>
      <c r="N199" s="79" t="str">
        <f t="shared" si="4"/>
        <v>Sim</v>
      </c>
      <c r="O199" s="15">
        <v>0</v>
      </c>
      <c r="P199" s="15">
        <v>500</v>
      </c>
    </row>
    <row r="200" spans="1:16" ht="17.25" customHeight="1" x14ac:dyDescent="0.35">
      <c r="A200" s="119"/>
      <c r="B200" s="76" t="s">
        <v>9866</v>
      </c>
      <c r="C200" s="76" t="s">
        <v>10293</v>
      </c>
      <c r="D200" s="81" t="s">
        <v>10100</v>
      </c>
      <c r="E200" s="82" t="s">
        <v>10243</v>
      </c>
      <c r="F200" s="79" t="s">
        <v>9687</v>
      </c>
      <c r="G200" s="79" t="s">
        <v>9719</v>
      </c>
      <c r="H200" s="15" t="s">
        <v>9872</v>
      </c>
      <c r="I200" s="107">
        <v>2000</v>
      </c>
      <c r="J200" s="84">
        <v>2000</v>
      </c>
      <c r="K200" s="27" t="s">
        <v>9968</v>
      </c>
      <c r="L200" s="15" t="s">
        <v>9874</v>
      </c>
      <c r="M200" s="15" t="s">
        <v>9991</v>
      </c>
      <c r="N200" s="79" t="str">
        <f t="shared" si="4"/>
        <v>Sim</v>
      </c>
      <c r="O200" s="15">
        <v>0</v>
      </c>
      <c r="P200" s="15">
        <v>5000</v>
      </c>
    </row>
    <row r="201" spans="1:16" ht="17.25" customHeight="1" x14ac:dyDescent="0.35">
      <c r="A201" s="119"/>
      <c r="B201" s="76" t="s">
        <v>9866</v>
      </c>
      <c r="C201" s="76" t="s">
        <v>10293</v>
      </c>
      <c r="D201" s="81" t="s">
        <v>10101</v>
      </c>
      <c r="E201" s="82" t="s">
        <v>10244</v>
      </c>
      <c r="F201" s="79" t="s">
        <v>9687</v>
      </c>
      <c r="G201" s="79" t="s">
        <v>9719</v>
      </c>
      <c r="H201" s="15" t="s">
        <v>9952</v>
      </c>
      <c r="I201" s="107">
        <v>10</v>
      </c>
      <c r="J201" s="84">
        <v>10</v>
      </c>
      <c r="K201" s="27" t="s">
        <v>9968</v>
      </c>
      <c r="L201" s="15" t="s">
        <v>9874</v>
      </c>
      <c r="M201" s="15" t="s">
        <v>10330</v>
      </c>
      <c r="N201" s="79" t="str">
        <f t="shared" si="4"/>
        <v>Sim</v>
      </c>
      <c r="O201" s="15">
        <v>0</v>
      </c>
      <c r="P201" s="15">
        <v>10</v>
      </c>
    </row>
    <row r="202" spans="1:16" ht="17.25" customHeight="1" x14ac:dyDescent="0.35">
      <c r="A202" s="119"/>
      <c r="B202" s="76" t="s">
        <v>9866</v>
      </c>
      <c r="C202" s="76" t="s">
        <v>10293</v>
      </c>
      <c r="D202" s="81" t="s">
        <v>10102</v>
      </c>
      <c r="E202" s="82" t="s">
        <v>10245</v>
      </c>
      <c r="F202" s="79" t="s">
        <v>9687</v>
      </c>
      <c r="G202" s="79" t="s">
        <v>9719</v>
      </c>
      <c r="H202" s="15" t="s">
        <v>9870</v>
      </c>
      <c r="I202" s="107">
        <v>25</v>
      </c>
      <c r="J202" s="84">
        <v>25</v>
      </c>
      <c r="K202" s="27" t="s">
        <v>9968</v>
      </c>
      <c r="L202" s="15" t="s">
        <v>9874</v>
      </c>
      <c r="M202" s="15" t="s">
        <v>10331</v>
      </c>
      <c r="N202" s="79" t="str">
        <f t="shared" si="4"/>
        <v>Sim</v>
      </c>
      <c r="O202" s="15">
        <v>0</v>
      </c>
      <c r="P202" s="15">
        <v>100</v>
      </c>
    </row>
    <row r="203" spans="1:16" ht="17.25" customHeight="1" x14ac:dyDescent="0.35">
      <c r="A203" s="119"/>
      <c r="B203" s="76" t="s">
        <v>9866</v>
      </c>
      <c r="C203" s="76" t="s">
        <v>10294</v>
      </c>
      <c r="D203" s="81" t="s">
        <v>10103</v>
      </c>
      <c r="E203" s="82" t="s">
        <v>10246</v>
      </c>
      <c r="F203" s="79" t="s">
        <v>9687</v>
      </c>
      <c r="G203" s="79" t="s">
        <v>9719</v>
      </c>
      <c r="H203" s="15" t="s">
        <v>9873</v>
      </c>
      <c r="I203" s="107">
        <v>50</v>
      </c>
      <c r="J203" s="84">
        <v>50</v>
      </c>
      <c r="K203" s="27" t="s">
        <v>9968</v>
      </c>
      <c r="L203" s="15" t="s">
        <v>9874</v>
      </c>
      <c r="M203" s="15" t="s">
        <v>9993</v>
      </c>
      <c r="N203" s="79" t="str">
        <f t="shared" si="4"/>
        <v>Sim</v>
      </c>
      <c r="O203" s="15">
        <v>0</v>
      </c>
      <c r="P203" s="15">
        <v>500</v>
      </c>
    </row>
    <row r="204" spans="1:16" ht="17.25" customHeight="1" x14ac:dyDescent="0.35">
      <c r="A204" s="119"/>
      <c r="B204" s="76" t="s">
        <v>9866</v>
      </c>
      <c r="C204" s="76" t="s">
        <v>10294</v>
      </c>
      <c r="D204" s="81" t="s">
        <v>10104</v>
      </c>
      <c r="E204" s="82" t="s">
        <v>10247</v>
      </c>
      <c r="F204" s="79" t="s">
        <v>9687</v>
      </c>
      <c r="G204" s="79" t="s">
        <v>9719</v>
      </c>
      <c r="H204" s="15" t="s">
        <v>9872</v>
      </c>
      <c r="I204" s="107">
        <v>2250</v>
      </c>
      <c r="J204" s="84">
        <v>2250</v>
      </c>
      <c r="K204" s="27" t="s">
        <v>9968</v>
      </c>
      <c r="L204" s="15" t="s">
        <v>9874</v>
      </c>
      <c r="M204" s="15" t="s">
        <v>9994</v>
      </c>
      <c r="N204" s="79" t="str">
        <f t="shared" si="4"/>
        <v>Sim</v>
      </c>
      <c r="O204" s="15">
        <v>0</v>
      </c>
      <c r="P204" s="15">
        <v>5000</v>
      </c>
    </row>
    <row r="205" spans="1:16" ht="17.25" customHeight="1" x14ac:dyDescent="0.35">
      <c r="A205" s="119"/>
      <c r="B205" s="76" t="s">
        <v>9866</v>
      </c>
      <c r="C205" s="76" t="s">
        <v>10294</v>
      </c>
      <c r="D205" s="81" t="s">
        <v>10101</v>
      </c>
      <c r="E205" s="82" t="s">
        <v>10248</v>
      </c>
      <c r="F205" s="79" t="s">
        <v>9687</v>
      </c>
      <c r="G205" s="79" t="s">
        <v>9719</v>
      </c>
      <c r="H205" s="15" t="s">
        <v>9952</v>
      </c>
      <c r="I205" s="107">
        <v>5</v>
      </c>
      <c r="J205" s="84">
        <v>5</v>
      </c>
      <c r="K205" s="27" t="s">
        <v>9968</v>
      </c>
      <c r="L205" s="15" t="s">
        <v>9874</v>
      </c>
      <c r="M205" s="15" t="s">
        <v>10332</v>
      </c>
      <c r="N205" s="79" t="str">
        <f t="shared" si="4"/>
        <v>Sim</v>
      </c>
      <c r="O205" s="15">
        <v>0</v>
      </c>
      <c r="P205" s="15">
        <v>10</v>
      </c>
    </row>
    <row r="206" spans="1:16" ht="17.25" customHeight="1" x14ac:dyDescent="0.35">
      <c r="A206" s="119"/>
      <c r="B206" s="76" t="s">
        <v>9866</v>
      </c>
      <c r="C206" s="76" t="s">
        <v>10294</v>
      </c>
      <c r="D206" s="81" t="s">
        <v>10105</v>
      </c>
      <c r="E206" s="82" t="s">
        <v>10249</v>
      </c>
      <c r="F206" s="79" t="s">
        <v>9687</v>
      </c>
      <c r="G206" s="79" t="s">
        <v>9719</v>
      </c>
      <c r="H206" s="15" t="s">
        <v>9870</v>
      </c>
      <c r="I206" s="107">
        <v>25</v>
      </c>
      <c r="J206" s="84">
        <v>25</v>
      </c>
      <c r="K206" s="27" t="s">
        <v>9968</v>
      </c>
      <c r="L206" s="15" t="s">
        <v>9874</v>
      </c>
      <c r="M206" s="15" t="s">
        <v>10333</v>
      </c>
      <c r="N206" s="79" t="str">
        <f t="shared" si="4"/>
        <v>Sim</v>
      </c>
      <c r="O206" s="15">
        <v>0</v>
      </c>
      <c r="P206" s="15">
        <v>100</v>
      </c>
    </row>
    <row r="207" spans="1:16" ht="17.25" customHeight="1" x14ac:dyDescent="0.35">
      <c r="A207" s="75" t="s">
        <v>10358</v>
      </c>
      <c r="B207" s="76" t="s">
        <v>9866</v>
      </c>
      <c r="C207" s="76" t="s">
        <v>10359</v>
      </c>
      <c r="D207" s="81" t="s">
        <v>10360</v>
      </c>
      <c r="E207" s="82" t="s">
        <v>10361</v>
      </c>
      <c r="F207" s="79" t="s">
        <v>9642</v>
      </c>
      <c r="G207" s="79" t="s">
        <v>9719</v>
      </c>
      <c r="H207" s="15" t="s">
        <v>9780</v>
      </c>
      <c r="I207" s="107" t="s">
        <v>9720</v>
      </c>
      <c r="J207" s="84" t="s">
        <v>9780</v>
      </c>
      <c r="K207" s="27" t="s">
        <v>9780</v>
      </c>
      <c r="L207" s="15" t="s">
        <v>9780</v>
      </c>
      <c r="M207" s="15" t="s">
        <v>9780</v>
      </c>
      <c r="N207" s="79" t="str">
        <f t="shared" si="4"/>
        <v>Sim</v>
      </c>
      <c r="O207" s="15" t="s">
        <v>9780</v>
      </c>
      <c r="P207" s="15" t="s">
        <v>9780</v>
      </c>
    </row>
    <row r="208" spans="1:16" ht="17.25" customHeight="1" x14ac:dyDescent="0.35">
      <c r="A208" s="120" t="s">
        <v>10357</v>
      </c>
      <c r="B208" s="3" t="s">
        <v>10339</v>
      </c>
      <c r="C208" s="3" t="s">
        <v>10555</v>
      </c>
      <c r="D208" s="77" t="s">
        <v>10340</v>
      </c>
      <c r="E208" s="78" t="s">
        <v>10340</v>
      </c>
      <c r="F208" s="3" t="s">
        <v>9642</v>
      </c>
      <c r="G208" s="79" t="s">
        <v>9719</v>
      </c>
      <c r="H208" s="3" t="s">
        <v>9780</v>
      </c>
      <c r="I208"/>
      <c r="J208" t="s">
        <v>10420</v>
      </c>
      <c r="K208" s="3" t="s">
        <v>9780</v>
      </c>
      <c r="L208" s="3" t="s">
        <v>9780</v>
      </c>
      <c r="M208" s="3" t="s">
        <v>9780</v>
      </c>
      <c r="N208" s="79" t="str">
        <f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20"/>
      <c r="B209" s="3" t="s">
        <v>10339</v>
      </c>
      <c r="C209" s="3" t="s">
        <v>10555</v>
      </c>
      <c r="D209" s="77" t="s">
        <v>10341</v>
      </c>
      <c r="E209" s="78" t="s">
        <v>10341</v>
      </c>
      <c r="F209" s="3" t="s">
        <v>9642</v>
      </c>
      <c r="G209" s="79" t="s">
        <v>9719</v>
      </c>
      <c r="H209" s="3" t="s">
        <v>9780</v>
      </c>
      <c r="I209"/>
      <c r="J209" t="s">
        <v>10421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35">
      <c r="A210" s="120"/>
      <c r="B210" s="3" t="s">
        <v>10339</v>
      </c>
      <c r="C210" s="3" t="s">
        <v>10555</v>
      </c>
      <c r="D210" s="77" t="s">
        <v>10342</v>
      </c>
      <c r="E210" s="78" t="s">
        <v>10342</v>
      </c>
      <c r="F210" s="3" t="s">
        <v>9642</v>
      </c>
      <c r="G210" s="79" t="s">
        <v>9719</v>
      </c>
      <c r="H210" s="3" t="s">
        <v>9780</v>
      </c>
      <c r="I210"/>
      <c r="J210" t="s">
        <v>10422</v>
      </c>
      <c r="K210" s="3" t="s">
        <v>9780</v>
      </c>
      <c r="L210" s="3" t="s">
        <v>9780</v>
      </c>
      <c r="M210" s="3" t="s">
        <v>9780</v>
      </c>
      <c r="N210" s="79" t="str">
        <f t="shared" ref="N210:N222" si="5">IF(F210="String",IF(I210&lt;&gt;"","Sim","Não"),IF(F210="List",IF(I210&lt;&gt;"","Sim","Não"),IF(AND(I210&gt;=O210,I210&lt;=P210,I210&lt;&gt;""),"Sim","Não")))</f>
        <v>Não</v>
      </c>
      <c r="O210" s="3" t="s">
        <v>9780</v>
      </c>
      <c r="P210" s="3" t="s">
        <v>9780</v>
      </c>
    </row>
    <row r="211" spans="1:16" ht="17.25" customHeight="1" x14ac:dyDescent="0.35">
      <c r="A211" s="120"/>
      <c r="B211" s="3" t="s">
        <v>10339</v>
      </c>
      <c r="C211" s="3" t="s">
        <v>10555</v>
      </c>
      <c r="D211" s="77" t="s">
        <v>10343</v>
      </c>
      <c r="E211" s="78" t="s">
        <v>10343</v>
      </c>
      <c r="F211" s="3" t="s">
        <v>9642</v>
      </c>
      <c r="G211" s="79" t="s">
        <v>9719</v>
      </c>
      <c r="H211" s="3" t="s">
        <v>9780</v>
      </c>
      <c r="I211"/>
      <c r="J211" t="s">
        <v>10423</v>
      </c>
      <c r="K211" s="3" t="s">
        <v>9780</v>
      </c>
      <c r="L211" s="3" t="s">
        <v>9780</v>
      </c>
      <c r="M211" s="3" t="s">
        <v>9780</v>
      </c>
      <c r="N211" s="79" t="str">
        <f t="shared" si="5"/>
        <v>Não</v>
      </c>
      <c r="O211" s="3" t="s">
        <v>9780</v>
      </c>
      <c r="P211" s="3" t="s">
        <v>9780</v>
      </c>
    </row>
    <row r="212" spans="1:16" ht="17.25" customHeight="1" x14ac:dyDescent="0.35">
      <c r="A212" s="120"/>
      <c r="B212" s="3" t="s">
        <v>10339</v>
      </c>
      <c r="C212" s="3" t="s">
        <v>10555</v>
      </c>
      <c r="D212" s="77" t="s">
        <v>10344</v>
      </c>
      <c r="E212" s="78" t="s">
        <v>10344</v>
      </c>
      <c r="F212" s="3" t="s">
        <v>9642</v>
      </c>
      <c r="G212" s="79" t="s">
        <v>9719</v>
      </c>
      <c r="H212" s="3" t="s">
        <v>9780</v>
      </c>
      <c r="I212"/>
      <c r="J212" t="s">
        <v>10424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3" t="s">
        <v>9780</v>
      </c>
      <c r="P212" s="3" t="s">
        <v>9780</v>
      </c>
    </row>
    <row r="213" spans="1:16" ht="17.25" customHeight="1" x14ac:dyDescent="0.35">
      <c r="A213" s="120"/>
      <c r="B213" s="3" t="s">
        <v>10339</v>
      </c>
      <c r="C213" s="3" t="s">
        <v>10555</v>
      </c>
      <c r="D213" s="77" t="s">
        <v>10345</v>
      </c>
      <c r="E213" s="78" t="s">
        <v>10345</v>
      </c>
      <c r="F213" s="3" t="s">
        <v>9642</v>
      </c>
      <c r="G213" s="79" t="s">
        <v>9719</v>
      </c>
      <c r="H213" s="3" t="s">
        <v>9780</v>
      </c>
      <c r="I213"/>
      <c r="J213" t="s">
        <v>10433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3" t="s">
        <v>9780</v>
      </c>
      <c r="P213" s="3" t="s">
        <v>9780</v>
      </c>
    </row>
    <row r="214" spans="1:16" ht="17.25" customHeight="1" x14ac:dyDescent="0.35">
      <c r="A214" s="120"/>
      <c r="B214" s="3" t="s">
        <v>10339</v>
      </c>
      <c r="C214" s="3" t="s">
        <v>10555</v>
      </c>
      <c r="D214" s="77" t="s">
        <v>10346</v>
      </c>
      <c r="E214" s="78" t="s">
        <v>10356</v>
      </c>
      <c r="F214" s="3" t="s">
        <v>9642</v>
      </c>
      <c r="G214" s="79" t="s">
        <v>9719</v>
      </c>
      <c r="H214" s="3" t="s">
        <v>9780</v>
      </c>
      <c r="I214"/>
      <c r="J214" t="s">
        <v>10425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3" t="s">
        <v>9780</v>
      </c>
      <c r="P214" s="3" t="s">
        <v>9780</v>
      </c>
    </row>
    <row r="215" spans="1:16" ht="17.25" customHeight="1" x14ac:dyDescent="0.35">
      <c r="A215" s="120"/>
      <c r="B215" s="3" t="s">
        <v>10339</v>
      </c>
      <c r="C215" s="3" t="s">
        <v>10555</v>
      </c>
      <c r="D215" s="77" t="s">
        <v>10347</v>
      </c>
      <c r="E215" s="78" t="s">
        <v>10347</v>
      </c>
      <c r="F215" s="3" t="s">
        <v>9642</v>
      </c>
      <c r="G215" s="79" t="s">
        <v>9719</v>
      </c>
      <c r="H215" s="3" t="s">
        <v>9780</v>
      </c>
      <c r="I215"/>
      <c r="J215" t="s">
        <v>10426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3" t="s">
        <v>9780</v>
      </c>
      <c r="P215" s="3" t="s">
        <v>9780</v>
      </c>
    </row>
    <row r="216" spans="1:16" ht="17.25" customHeight="1" x14ac:dyDescent="0.35">
      <c r="A216" s="120"/>
      <c r="B216" s="3" t="s">
        <v>10339</v>
      </c>
      <c r="C216" s="3" t="s">
        <v>10555</v>
      </c>
      <c r="D216" s="77" t="s">
        <v>10348</v>
      </c>
      <c r="E216" s="78" t="s">
        <v>10355</v>
      </c>
      <c r="F216" s="3" t="s">
        <v>9642</v>
      </c>
      <c r="G216" s="79" t="s">
        <v>9719</v>
      </c>
      <c r="H216" s="3" t="s">
        <v>9780</v>
      </c>
      <c r="I216"/>
      <c r="J216" t="s">
        <v>10427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3" t="s">
        <v>9780</v>
      </c>
      <c r="P216" s="3" t="s">
        <v>9780</v>
      </c>
    </row>
    <row r="217" spans="1:16" ht="17.25" customHeight="1" x14ac:dyDescent="0.35">
      <c r="A217" s="120"/>
      <c r="B217" s="3" t="s">
        <v>10339</v>
      </c>
      <c r="C217" s="3" t="s">
        <v>10555</v>
      </c>
      <c r="D217" s="77" t="s">
        <v>10349</v>
      </c>
      <c r="E217" s="78" t="s">
        <v>10349</v>
      </c>
      <c r="F217" s="3" t="s">
        <v>9642</v>
      </c>
      <c r="G217" s="79" t="s">
        <v>9719</v>
      </c>
      <c r="H217" s="3" t="s">
        <v>9780</v>
      </c>
      <c r="I217"/>
      <c r="J217" t="s">
        <v>10428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3" t="s">
        <v>9780</v>
      </c>
      <c r="P217" s="3" t="s">
        <v>9780</v>
      </c>
    </row>
    <row r="218" spans="1:16" ht="17.25" customHeight="1" x14ac:dyDescent="0.35">
      <c r="A218" s="120"/>
      <c r="B218" s="3" t="s">
        <v>10339</v>
      </c>
      <c r="C218" s="3" t="s">
        <v>10555</v>
      </c>
      <c r="D218" s="77" t="s">
        <v>10350</v>
      </c>
      <c r="E218" s="78" t="s">
        <v>10350</v>
      </c>
      <c r="F218" s="3" t="s">
        <v>9642</v>
      </c>
      <c r="G218" s="79" t="s">
        <v>9719</v>
      </c>
      <c r="H218" s="3" t="s">
        <v>9780</v>
      </c>
      <c r="I218"/>
      <c r="J218" t="s">
        <v>10429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3" t="s">
        <v>9780</v>
      </c>
      <c r="P218" s="3" t="s">
        <v>9780</v>
      </c>
    </row>
    <row r="219" spans="1:16" ht="17.25" customHeight="1" x14ac:dyDescent="0.35">
      <c r="A219" s="120"/>
      <c r="B219" s="3" t="s">
        <v>10339</v>
      </c>
      <c r="C219" s="3" t="s">
        <v>10555</v>
      </c>
      <c r="D219" s="77" t="s">
        <v>10351</v>
      </c>
      <c r="E219" s="78" t="s">
        <v>10351</v>
      </c>
      <c r="F219" s="3" t="s">
        <v>9642</v>
      </c>
      <c r="G219" s="79" t="s">
        <v>9719</v>
      </c>
      <c r="H219" s="3" t="s">
        <v>9780</v>
      </c>
      <c r="I219"/>
      <c r="J219" t="s">
        <v>10429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3" t="s">
        <v>9780</v>
      </c>
      <c r="P219" s="3" t="s">
        <v>9780</v>
      </c>
    </row>
    <row r="220" spans="1:16" ht="17.25" customHeight="1" x14ac:dyDescent="0.35">
      <c r="A220" s="120"/>
      <c r="B220" s="3" t="s">
        <v>10339</v>
      </c>
      <c r="C220" s="3" t="s">
        <v>10555</v>
      </c>
      <c r="D220" s="77" t="s">
        <v>10352</v>
      </c>
      <c r="E220" s="78" t="s">
        <v>10352</v>
      </c>
      <c r="F220" s="3" t="s">
        <v>9642</v>
      </c>
      <c r="G220" s="79" t="s">
        <v>9719</v>
      </c>
      <c r="H220" s="3" t="s">
        <v>9780</v>
      </c>
      <c r="I220"/>
      <c r="J220" t="s">
        <v>10430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3" t="s">
        <v>9780</v>
      </c>
      <c r="P220" s="3" t="s">
        <v>9780</v>
      </c>
    </row>
    <row r="221" spans="1:16" ht="17.25" customHeight="1" x14ac:dyDescent="0.35">
      <c r="A221" s="120"/>
      <c r="B221" s="3" t="s">
        <v>10339</v>
      </c>
      <c r="C221" s="3" t="s">
        <v>10555</v>
      </c>
      <c r="D221" s="77" t="s">
        <v>10353</v>
      </c>
      <c r="E221" s="78" t="s">
        <v>10353</v>
      </c>
      <c r="F221" s="3" t="s">
        <v>9642</v>
      </c>
      <c r="G221" s="79" t="s">
        <v>9719</v>
      </c>
      <c r="H221" s="3" t="s">
        <v>9780</v>
      </c>
      <c r="I221"/>
      <c r="J221" t="s">
        <v>10431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3" t="s">
        <v>9780</v>
      </c>
      <c r="P221" s="3" t="s">
        <v>9780</v>
      </c>
    </row>
    <row r="222" spans="1:16" ht="17.25" customHeight="1" x14ac:dyDescent="0.35">
      <c r="A222" s="120"/>
      <c r="B222" s="3" t="s">
        <v>10339</v>
      </c>
      <c r="C222" s="3" t="s">
        <v>10555</v>
      </c>
      <c r="D222" s="77" t="s">
        <v>10354</v>
      </c>
      <c r="E222" s="78" t="s">
        <v>10354</v>
      </c>
      <c r="F222" s="3" t="s">
        <v>9642</v>
      </c>
      <c r="G222" s="79" t="s">
        <v>9719</v>
      </c>
      <c r="H222" s="3" t="s">
        <v>9780</v>
      </c>
      <c r="I222"/>
      <c r="J222" t="s">
        <v>10432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3" t="s">
        <v>9780</v>
      </c>
      <c r="P222" s="3" t="s">
        <v>9780</v>
      </c>
    </row>
    <row r="223" spans="1:16" ht="17.25" customHeight="1" x14ac:dyDescent="0.35">
      <c r="A223" s="120"/>
      <c r="B223" s="3" t="s">
        <v>10339</v>
      </c>
      <c r="C223" s="3" t="s">
        <v>10555</v>
      </c>
      <c r="D223" s="85" t="s">
        <v>10436</v>
      </c>
      <c r="E223" s="1" t="s">
        <v>10436</v>
      </c>
      <c r="F223" s="3" t="s">
        <v>9642</v>
      </c>
      <c r="G223" s="79" t="s">
        <v>9719</v>
      </c>
      <c r="H223" s="3" t="s">
        <v>9780</v>
      </c>
      <c r="J223" t="s">
        <v>10434</v>
      </c>
      <c r="K223" s="3" t="s">
        <v>9780</v>
      </c>
      <c r="L223" s="3" t="s">
        <v>9780</v>
      </c>
      <c r="M223" s="3" t="s">
        <v>9780</v>
      </c>
      <c r="N223" s="79" t="str">
        <f>IF(F223="String",IF(I223&lt;&gt;"","Sim","Não"),IF(F223="List",IF(I223&lt;&gt;"","Sim","Não"),IF(AND(I223&gt;=O223,I223&lt;=P223,I223&lt;&gt;""),"Sim","Não")))</f>
        <v>Não</v>
      </c>
      <c r="O223" s="3" t="s">
        <v>9780</v>
      </c>
      <c r="P223" s="3" t="s">
        <v>9780</v>
      </c>
    </row>
    <row r="224" spans="1:16" ht="17.25" customHeight="1" x14ac:dyDescent="0.35">
      <c r="A224" s="120"/>
      <c r="B224" s="3" t="s">
        <v>10339</v>
      </c>
      <c r="C224" s="3" t="s">
        <v>10555</v>
      </c>
      <c r="D224" s="85" t="s">
        <v>10437</v>
      </c>
      <c r="E224" s="1" t="s">
        <v>10437</v>
      </c>
      <c r="F224" s="3" t="s">
        <v>9642</v>
      </c>
      <c r="G224" s="79" t="s">
        <v>9719</v>
      </c>
      <c r="H224" s="3" t="s">
        <v>9780</v>
      </c>
      <c r="J224" t="s">
        <v>10435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3" t="s">
        <v>9780</v>
      </c>
      <c r="P224" s="3" t="s">
        <v>9780</v>
      </c>
    </row>
    <row r="225" spans="1:16" ht="17.25" customHeight="1" x14ac:dyDescent="0.35">
      <c r="A225" s="119" t="s">
        <v>10539</v>
      </c>
      <c r="B225" s="76" t="s">
        <v>10538</v>
      </c>
      <c r="C225" s="76" t="s">
        <v>10540</v>
      </c>
      <c r="D225" s="81" t="s">
        <v>10541</v>
      </c>
      <c r="E225" s="82" t="s">
        <v>10554</v>
      </c>
      <c r="F225" s="79" t="s">
        <v>9642</v>
      </c>
      <c r="G225" s="79" t="s">
        <v>9719</v>
      </c>
      <c r="H225" s="15" t="s">
        <v>9780</v>
      </c>
      <c r="I225" s="84"/>
      <c r="J225" s="84" t="s">
        <v>9780</v>
      </c>
      <c r="K225" s="27" t="s">
        <v>9780</v>
      </c>
      <c r="L225" s="15" t="s">
        <v>9780</v>
      </c>
      <c r="M225" s="15" t="s">
        <v>9780</v>
      </c>
      <c r="N225" s="79" t="str">
        <f t="shared" ref="N225:N231" si="6">IF(F225="String",IF(I225&lt;&gt;"","Sim","Não"),IF(F225="List",IF(I225&lt;&gt;"","Sim","Não"),IF(AND(I225&gt;=O225,I225&lt;=P225,I225&lt;&gt;""),"Sim","Não")))</f>
        <v>Não</v>
      </c>
      <c r="O225" s="15" t="s">
        <v>9780</v>
      </c>
      <c r="P225" s="15" t="s">
        <v>9780</v>
      </c>
    </row>
    <row r="226" spans="1:16" ht="17.25" customHeight="1" x14ac:dyDescent="0.35">
      <c r="A226" s="119"/>
      <c r="B226" s="76" t="s">
        <v>10538</v>
      </c>
      <c r="C226" s="76" t="s">
        <v>10540</v>
      </c>
      <c r="D226" s="81" t="s">
        <v>10542</v>
      </c>
      <c r="E226" s="82" t="s">
        <v>10553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si="6"/>
        <v>Não</v>
      </c>
      <c r="O226" s="15" t="s">
        <v>9780</v>
      </c>
      <c r="P226" s="15" t="s">
        <v>9780</v>
      </c>
    </row>
    <row r="227" spans="1:16" ht="17.25" customHeight="1" x14ac:dyDescent="0.35">
      <c r="A227" s="119"/>
      <c r="B227" s="76" t="s">
        <v>10538</v>
      </c>
      <c r="C227" s="76" t="s">
        <v>10540</v>
      </c>
      <c r="D227" s="81" t="s">
        <v>10543</v>
      </c>
      <c r="E227" s="82" t="s">
        <v>10552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5" t="s">
        <v>9780</v>
      </c>
      <c r="P227" s="15" t="s">
        <v>9780</v>
      </c>
    </row>
    <row r="228" spans="1:16" ht="17.25" customHeight="1" x14ac:dyDescent="0.35">
      <c r="A228" s="119"/>
      <c r="B228" s="76" t="s">
        <v>10538</v>
      </c>
      <c r="C228" s="76" t="s">
        <v>10540</v>
      </c>
      <c r="D228" s="81" t="s">
        <v>10544</v>
      </c>
      <c r="E228" s="82" t="s">
        <v>10551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5" t="s">
        <v>9780</v>
      </c>
      <c r="P228" s="15" t="s">
        <v>9780</v>
      </c>
    </row>
    <row r="229" spans="1:16" ht="17.25" customHeight="1" x14ac:dyDescent="0.35">
      <c r="A229" s="119"/>
      <c r="B229" s="76" t="s">
        <v>10538</v>
      </c>
      <c r="C229" s="76" t="s">
        <v>10540</v>
      </c>
      <c r="D229" s="81" t="s">
        <v>10545</v>
      </c>
      <c r="E229" s="82" t="s">
        <v>10550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5" t="s">
        <v>9780</v>
      </c>
      <c r="P229" s="15" t="s">
        <v>9780</v>
      </c>
    </row>
    <row r="230" spans="1:16" ht="17.25" customHeight="1" x14ac:dyDescent="0.35">
      <c r="A230" s="119"/>
      <c r="B230" s="76" t="s">
        <v>10538</v>
      </c>
      <c r="C230" s="76" t="s">
        <v>10540</v>
      </c>
      <c r="D230" s="81" t="s">
        <v>10546</v>
      </c>
      <c r="E230" s="82" t="s">
        <v>10549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5" t="s">
        <v>9780</v>
      </c>
      <c r="P230" s="15" t="s">
        <v>9780</v>
      </c>
    </row>
    <row r="231" spans="1:16" ht="17.25" customHeight="1" x14ac:dyDescent="0.35">
      <c r="A231" s="119"/>
      <c r="B231" s="76" t="s">
        <v>10538</v>
      </c>
      <c r="C231" s="76" t="s">
        <v>10540</v>
      </c>
      <c r="D231" s="81" t="s">
        <v>10547</v>
      </c>
      <c r="E231" s="82" t="s">
        <v>10548</v>
      </c>
      <c r="F231" s="79" t="s">
        <v>9642</v>
      </c>
      <c r="G231" s="79" t="s">
        <v>9719</v>
      </c>
      <c r="H231" s="15" t="s">
        <v>9780</v>
      </c>
      <c r="I231" s="84" t="s">
        <v>10950</v>
      </c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Sim</v>
      </c>
      <c r="O231" s="15" t="s">
        <v>9780</v>
      </c>
      <c r="P231" s="15" t="s">
        <v>9780</v>
      </c>
    </row>
  </sheetData>
  <dataConsolidate/>
  <mergeCells count="19">
    <mergeCell ref="A38:A42"/>
    <mergeCell ref="A4:A7"/>
    <mergeCell ref="A2:A3"/>
    <mergeCell ref="A23:A31"/>
    <mergeCell ref="A32:A37"/>
    <mergeCell ref="A8:A22"/>
    <mergeCell ref="A225:A231"/>
    <mergeCell ref="A43:A44"/>
    <mergeCell ref="A45:A67"/>
    <mergeCell ref="A68:A84"/>
    <mergeCell ref="A85:A88"/>
    <mergeCell ref="A208:A224"/>
    <mergeCell ref="A89:A97"/>
    <mergeCell ref="A133:A143"/>
    <mergeCell ref="A145:A165"/>
    <mergeCell ref="A197:A206"/>
    <mergeCell ref="A98:A132"/>
    <mergeCell ref="A166:A186"/>
    <mergeCell ref="A187:A196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10949</v>
      </c>
    </row>
    <row r="2" spans="1:15" ht="17.25" customHeight="1" x14ac:dyDescent="0.35">
      <c r="A2" s="109" t="s">
        <v>7248</v>
      </c>
      <c r="B2" s="99">
        <v>4107009</v>
      </c>
      <c r="C2" s="3">
        <f>IFERROR(VLOOKUP(B2,Municípios!$D$1:$H$5571,4,FALSE),"")</f>
        <v>-24.036200000000001</v>
      </c>
      <c r="D2" s="3">
        <f>IFERROR(VLOOKUP(B2,Municípios!$D$1:$H$5571,5,FALSE),"")</f>
        <v>-50.457599999999999</v>
      </c>
      <c r="E2" s="5">
        <f>IFERROR(VLOOKUP(B2,Municípios!$D$1:$H$5571,3,FALSE),"")</f>
        <v>15289</v>
      </c>
      <c r="F2" s="7">
        <f>IFERROR(E2*'Banco de Dados'!$I$4*365/313/1000,"")</f>
        <v>16.046123003194889</v>
      </c>
      <c r="G2" s="111">
        <v>0</v>
      </c>
      <c r="H2" s="99">
        <v>0</v>
      </c>
      <c r="I2" s="99">
        <v>0</v>
      </c>
      <c r="J2" s="99" t="s">
        <v>9720</v>
      </c>
      <c r="K2" s="99" t="s">
        <v>9719</v>
      </c>
      <c r="L2" s="99" t="s">
        <v>9719</v>
      </c>
    </row>
    <row r="3" spans="1:15" ht="17.25" customHeight="1" x14ac:dyDescent="0.35">
      <c r="A3" s="109" t="s">
        <v>7150</v>
      </c>
      <c r="B3" s="99">
        <v>4100459</v>
      </c>
      <c r="C3" s="3">
        <f>IFERROR(VLOOKUP(B3,Municípios!$D$1:$H$5571,4,FALSE),"")</f>
        <v>-24.798300000000001</v>
      </c>
      <c r="D3" s="3">
        <f>IFERROR(VLOOKUP(B3,Municípios!$D$1:$H$5571,5,FALSE),"")</f>
        <v>-52.712800000000001</v>
      </c>
      <c r="E3" s="5">
        <f>IFERROR(VLOOKUP(B3,Municípios!$D$1:$H$5571,3,FALSE),"")</f>
        <v>1429</v>
      </c>
      <c r="F3" s="7">
        <f>IFERROR(E3*'Banco de Dados'!$I$4*365/313/1000,"")</f>
        <v>1.4997651757188502</v>
      </c>
      <c r="G3" s="111">
        <v>0</v>
      </c>
      <c r="H3" s="99">
        <v>0</v>
      </c>
      <c r="I3" s="99">
        <v>0</v>
      </c>
      <c r="J3" s="99" t="s">
        <v>9720</v>
      </c>
      <c r="K3" s="99" t="s">
        <v>9719</v>
      </c>
      <c r="L3" s="99" t="s">
        <v>9719</v>
      </c>
    </row>
    <row r="4" spans="1:15" ht="17.25" customHeight="1" x14ac:dyDescent="0.35">
      <c r="A4" s="109" t="s">
        <v>55</v>
      </c>
      <c r="B4" s="99">
        <v>4128625</v>
      </c>
      <c r="C4" s="3">
        <f>IFERROR(VLOOKUP(B4,Municípios!$D$1:$H$5571,4,FALSE),"")</f>
        <v>-26.114599999999999</v>
      </c>
      <c r="D4" s="3">
        <f>IFERROR(VLOOKUP(B4,Municípios!$D$1:$H$5571,5,FALSE),"")</f>
        <v>-52.746899999999997</v>
      </c>
      <c r="E4" s="5">
        <f>IFERROR(VLOOKUP(B4,Municípios!$D$1:$H$5571,3,FALSE),"")</f>
        <v>2630</v>
      </c>
      <c r="F4" s="7">
        <f>IFERROR(E4*'Banco de Dados'!$I$4*365/313/1000,"")</f>
        <v>2.7602396166134184</v>
      </c>
      <c r="G4" s="111">
        <v>0</v>
      </c>
      <c r="H4" s="99">
        <v>0</v>
      </c>
      <c r="I4" s="99">
        <v>0</v>
      </c>
      <c r="J4" s="99" t="s">
        <v>9720</v>
      </c>
      <c r="K4" s="99" t="s">
        <v>9720</v>
      </c>
      <c r="L4" s="99" t="s">
        <v>9719</v>
      </c>
      <c r="O4" s="4"/>
    </row>
    <row r="5" spans="1:15" ht="17.25" customHeight="1" x14ac:dyDescent="0.35">
      <c r="A5" s="109" t="s">
        <v>7152</v>
      </c>
      <c r="B5" s="99">
        <v>4100608</v>
      </c>
      <c r="C5" s="3">
        <f>IFERROR(VLOOKUP(B5,Municípios!$D$1:$H$5571,4,FALSE),"")</f>
        <v>-23.1312</v>
      </c>
      <c r="D5" s="3">
        <f>IFERROR(VLOOKUP(B5,Municípios!$D$1:$H$5571,5,FALSE),"")</f>
        <v>-52.318899999999999</v>
      </c>
      <c r="E5" s="5">
        <f>IFERROR(VLOOKUP(B5,Municípios!$D$1:$H$5571,3,FALSE),"")</f>
        <v>14945</v>
      </c>
      <c r="F5" s="7">
        <f>IFERROR(E5*'Banco de Dados'!$I$4*365/313/1000,"")</f>
        <v>15.68508785942492</v>
      </c>
      <c r="G5" s="111">
        <v>0</v>
      </c>
      <c r="H5" s="99">
        <v>0</v>
      </c>
      <c r="I5" s="99">
        <v>0</v>
      </c>
      <c r="J5" s="99" t="s">
        <v>9720</v>
      </c>
      <c r="K5" s="99" t="s">
        <v>9719</v>
      </c>
      <c r="L5" s="99" t="s">
        <v>9720</v>
      </c>
    </row>
    <row r="6" spans="1:15" ht="17.25" customHeight="1" x14ac:dyDescent="0.35">
      <c r="A6" s="109" t="s">
        <v>7163</v>
      </c>
      <c r="B6" s="99">
        <v>4101507</v>
      </c>
      <c r="C6" s="3">
        <f>IFERROR(VLOOKUP(B6,Municípios!$D$1:$H$5571,4,FALSE),"")</f>
        <v>-23.415299999999998</v>
      </c>
      <c r="D6" s="3">
        <f>IFERROR(VLOOKUP(B6,Municípios!$D$1:$H$5571,5,FALSE),"")</f>
        <v>-51.425899999999999</v>
      </c>
      <c r="E6" s="5">
        <f>IFERROR(VLOOKUP(B6,Municípios!$D$1:$H$5571,3,FALSE),"")</f>
        <v>126545</v>
      </c>
      <c r="F6" s="7">
        <f>IFERROR(E6*'Banco de Dados'!$I$4*365/313/1000,"")</f>
        <v>132.81160543130991</v>
      </c>
      <c r="G6" s="111">
        <v>0</v>
      </c>
      <c r="H6" s="99">
        <v>0</v>
      </c>
      <c r="I6" s="99">
        <v>0</v>
      </c>
      <c r="J6" s="99" t="s">
        <v>9720</v>
      </c>
      <c r="K6" s="99" t="s">
        <v>9719</v>
      </c>
      <c r="L6" s="99" t="s">
        <v>9719</v>
      </c>
    </row>
    <row r="7" spans="1:15" ht="17.25" customHeight="1" x14ac:dyDescent="0.35">
      <c r="A7" s="109" t="s">
        <v>7164</v>
      </c>
      <c r="B7" s="99">
        <v>4101606</v>
      </c>
      <c r="C7" s="3">
        <f>IFERROR(VLOOKUP(B7,Municípios!$D$1:$H$5571,4,FALSE),"")</f>
        <v>-24.154800000000002</v>
      </c>
      <c r="D7" s="3">
        <f>IFERROR(VLOOKUP(B7,Municípios!$D$1:$H$5571,5,FALSE),"")</f>
        <v>-49.828499999999998</v>
      </c>
      <c r="E7" s="5">
        <f>IFERROR(VLOOKUP(B7,Municípios!$D$1:$H$5571,3,FALSE),"")</f>
        <v>28480</v>
      </c>
      <c r="F7" s="7">
        <f>IFERROR(E7*'Banco de Dados'!$I$4*365/313/1000,"")</f>
        <v>29.890351437699678</v>
      </c>
      <c r="G7" s="111">
        <v>0</v>
      </c>
      <c r="H7" s="99">
        <v>0</v>
      </c>
      <c r="I7" s="99">
        <v>0</v>
      </c>
      <c r="J7" s="99" t="s">
        <v>9720</v>
      </c>
      <c r="K7" s="99" t="s">
        <v>9719</v>
      </c>
      <c r="L7" s="99" t="s">
        <v>9719</v>
      </c>
    </row>
    <row r="8" spans="1:15" ht="17.25" customHeight="1" x14ac:dyDescent="0.35">
      <c r="A8" s="109"/>
      <c r="B8" s="99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/>
      <c r="G8" s="111"/>
      <c r="H8" s="99"/>
      <c r="I8" s="99"/>
      <c r="J8" s="99"/>
      <c r="K8" s="99"/>
      <c r="L8" s="99"/>
    </row>
    <row r="9" spans="1:15" ht="17.25" customHeight="1" x14ac:dyDescent="0.35">
      <c r="A9" s="109"/>
      <c r="B9" s="99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  <c r="G9" s="111"/>
      <c r="H9" s="99"/>
      <c r="I9" s="99"/>
      <c r="J9" s="99"/>
      <c r="K9" s="99"/>
      <c r="L9" s="99"/>
    </row>
    <row r="10" spans="1:15" ht="17.25" customHeight="1" x14ac:dyDescent="0.35">
      <c r="A10" s="109"/>
      <c r="B10" s="99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  <c r="G10" s="111"/>
      <c r="H10" s="99"/>
      <c r="I10" s="99"/>
      <c r="J10" s="99"/>
      <c r="K10" s="99"/>
      <c r="L10" s="99"/>
    </row>
    <row r="11" spans="1:15" ht="17.25" customHeight="1" x14ac:dyDescent="0.35">
      <c r="A11" s="109"/>
      <c r="B11" s="99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  <c r="G11" s="111"/>
      <c r="H11" s="99"/>
      <c r="I11" s="99"/>
      <c r="J11" s="99"/>
      <c r="K11" s="99"/>
      <c r="L11" s="99"/>
    </row>
    <row r="12" spans="1:15" ht="17.25" customHeight="1" x14ac:dyDescent="0.35">
      <c r="A12" s="109"/>
      <c r="B12" s="99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  <c r="G12" s="111"/>
      <c r="H12" s="99"/>
      <c r="I12" s="99"/>
      <c r="J12" s="99"/>
      <c r="K12" s="99"/>
      <c r="L12" s="99"/>
    </row>
    <row r="13" spans="1:15" ht="17.25" customHeight="1" x14ac:dyDescent="0.35">
      <c r="A13" s="109"/>
      <c r="B13" s="99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  <c r="G13" s="111"/>
      <c r="H13" s="99"/>
      <c r="I13" s="99"/>
      <c r="J13" s="99"/>
      <c r="K13" s="99"/>
      <c r="L13" s="99"/>
    </row>
    <row r="14" spans="1:15" ht="17.25" customHeight="1" x14ac:dyDescent="0.35">
      <c r="A14" s="109"/>
      <c r="B14" s="99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  <c r="G14" s="111"/>
      <c r="H14" s="99"/>
      <c r="I14" s="99"/>
      <c r="J14" s="99"/>
      <c r="K14" s="99"/>
      <c r="L14" s="99"/>
    </row>
    <row r="15" spans="1:15" ht="17.25" customHeight="1" x14ac:dyDescent="0.35">
      <c r="A15" s="109"/>
      <c r="B15" s="1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  <c r="G15" s="111"/>
      <c r="H15" s="99"/>
      <c r="I15" s="99"/>
      <c r="J15" s="99"/>
      <c r="K15" s="99"/>
      <c r="L15" s="99"/>
    </row>
    <row r="16" spans="1:15" ht="17.25" customHeight="1" x14ac:dyDescent="0.35">
      <c r="A16" s="109"/>
      <c r="B16" s="99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  <c r="G16" s="111"/>
      <c r="H16" s="99"/>
      <c r="I16" s="99"/>
      <c r="J16" s="99"/>
      <c r="K16" s="99"/>
      <c r="L16" s="99"/>
    </row>
    <row r="17" spans="1:12" ht="17.25" customHeight="1" x14ac:dyDescent="0.35">
      <c r="A17" s="109"/>
      <c r="B17" s="99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  <c r="G17" s="111"/>
      <c r="H17" s="99"/>
      <c r="I17" s="99"/>
      <c r="J17" s="99"/>
      <c r="K17" s="99"/>
      <c r="L17" s="99"/>
    </row>
    <row r="18" spans="1:12" ht="17.25" customHeight="1" x14ac:dyDescent="0.35">
      <c r="A18" s="109"/>
      <c r="B18" s="99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  <c r="G18" s="111"/>
      <c r="H18" s="99"/>
      <c r="I18" s="99"/>
      <c r="J18" s="99"/>
      <c r="K18" s="99"/>
      <c r="L18" s="99"/>
    </row>
    <row r="19" spans="1:12" ht="17.25" customHeight="1" x14ac:dyDescent="0.35">
      <c r="A19" s="109"/>
      <c r="B19" s="99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  <c r="G19" s="111"/>
      <c r="H19" s="99"/>
      <c r="I19" s="99"/>
      <c r="J19" s="99"/>
      <c r="K19" s="99"/>
      <c r="L19" s="99"/>
    </row>
    <row r="20" spans="1:12" ht="17.25" customHeight="1" x14ac:dyDescent="0.35">
      <c r="A20" s="109"/>
      <c r="B20" s="99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  <c r="G20" s="111"/>
      <c r="H20" s="99"/>
      <c r="I20" s="99"/>
      <c r="J20" s="99"/>
      <c r="K20" s="99"/>
      <c r="L20" s="99"/>
    </row>
    <row r="21" spans="1:12" ht="17.25" customHeight="1" x14ac:dyDescent="0.35">
      <c r="A21" s="109"/>
      <c r="B21" s="99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  <c r="G21" s="111"/>
      <c r="H21" s="99"/>
      <c r="I21" s="99"/>
      <c r="J21" s="99"/>
      <c r="K21" s="99"/>
      <c r="L21" s="99"/>
    </row>
    <row r="22" spans="1:12" ht="17.25" customHeight="1" x14ac:dyDescent="0.35">
      <c r="A22" s="109"/>
      <c r="B22" s="99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  <c r="G22" s="111"/>
      <c r="H22" s="99"/>
      <c r="I22" s="99"/>
      <c r="J22" s="99"/>
      <c r="K22" s="99"/>
      <c r="L22" s="99"/>
    </row>
    <row r="23" spans="1:12" ht="17.25" customHeight="1" x14ac:dyDescent="0.35">
      <c r="A23" s="109"/>
      <c r="B23" s="99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  <c r="G23" s="111"/>
      <c r="H23" s="99"/>
      <c r="I23" s="99"/>
      <c r="J23" s="99"/>
      <c r="K23" s="99"/>
      <c r="L23" s="99"/>
    </row>
    <row r="24" spans="1:12" ht="17.25" customHeight="1" x14ac:dyDescent="0.35">
      <c r="A24" s="109"/>
      <c r="B24" s="99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  <c r="G24" s="111"/>
      <c r="H24" s="99"/>
      <c r="I24" s="99"/>
      <c r="J24" s="99"/>
      <c r="K24" s="99"/>
      <c r="L24" s="99"/>
    </row>
    <row r="25" spans="1:12" ht="17.25" customHeight="1" x14ac:dyDescent="0.35">
      <c r="A25" s="109"/>
      <c r="B25" s="99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  <c r="G25" s="111"/>
      <c r="H25" s="99"/>
      <c r="I25" s="99"/>
      <c r="J25" s="99"/>
      <c r="K25" s="99"/>
      <c r="L25" s="99"/>
    </row>
    <row r="26" spans="1:12" ht="17.25" customHeight="1" x14ac:dyDescent="0.35">
      <c r="A26" s="109"/>
      <c r="B26" s="99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  <c r="G26" s="111"/>
      <c r="H26" s="99"/>
      <c r="I26" s="99"/>
      <c r="J26" s="99"/>
      <c r="K26" s="99"/>
      <c r="L26" s="99"/>
    </row>
    <row r="27" spans="1:12" ht="17.25" customHeight="1" x14ac:dyDescent="0.35">
      <c r="A27" s="109"/>
      <c r="B27" s="99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  <c r="G27" s="111"/>
      <c r="H27" s="99"/>
      <c r="I27" s="99"/>
      <c r="J27" s="99"/>
      <c r="K27" s="99"/>
      <c r="L27" s="99"/>
    </row>
    <row r="28" spans="1:12" ht="17.25" customHeight="1" x14ac:dyDescent="0.35">
      <c r="A28" s="109"/>
      <c r="B28" s="99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  <c r="G28" s="111"/>
      <c r="H28" s="99"/>
      <c r="I28" s="99"/>
      <c r="J28" s="99"/>
      <c r="K28" s="99"/>
      <c r="L28" s="99"/>
    </row>
    <row r="29" spans="1:12" ht="17.25" customHeight="1" x14ac:dyDescent="0.35">
      <c r="A29" s="109"/>
      <c r="B29" s="99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  <c r="G29" s="111"/>
      <c r="H29" s="99"/>
      <c r="I29" s="99"/>
      <c r="J29" s="99"/>
      <c r="K29" s="99"/>
      <c r="L29" s="99"/>
    </row>
    <row r="30" spans="1:12" ht="17.25" customHeight="1" x14ac:dyDescent="0.35">
      <c r="A30" s="109"/>
      <c r="B30" s="99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  <c r="G30" s="111"/>
      <c r="H30" s="99"/>
      <c r="I30" s="99"/>
      <c r="J30" s="99"/>
      <c r="K30" s="99"/>
      <c r="L30" s="99"/>
    </row>
    <row r="31" spans="1:12" ht="17.25" customHeight="1" x14ac:dyDescent="0.35">
      <c r="A31" s="109"/>
      <c r="B31" s="99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  <c r="G31" s="111"/>
      <c r="H31" s="99"/>
      <c r="I31" s="99"/>
      <c r="J31" s="99"/>
      <c r="K31" s="99"/>
      <c r="L31" s="99"/>
    </row>
    <row r="32" spans="1:12" ht="17.25" customHeight="1" x14ac:dyDescent="0.35">
      <c r="A32" s="109"/>
      <c r="B32" s="99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  <c r="G32" s="111"/>
      <c r="H32" s="99"/>
      <c r="I32" s="99"/>
      <c r="J32" s="99"/>
      <c r="K32" s="99"/>
      <c r="L32" s="99"/>
    </row>
    <row r="33" spans="1:12" ht="17.25" customHeight="1" x14ac:dyDescent="0.35">
      <c r="A33" s="109"/>
      <c r="B33" s="99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  <c r="G33" s="111"/>
      <c r="H33" s="99"/>
      <c r="I33" s="99"/>
      <c r="J33" s="99"/>
      <c r="K33" s="99"/>
      <c r="L33" s="99"/>
    </row>
    <row r="34" spans="1:12" ht="17.25" customHeight="1" x14ac:dyDescent="0.35">
      <c r="A34" s="109"/>
      <c r="B34" s="99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  <c r="G34" s="111"/>
      <c r="H34" s="99"/>
      <c r="I34" s="99"/>
      <c r="J34" s="99"/>
      <c r="K34" s="99"/>
      <c r="L34" s="99"/>
    </row>
    <row r="35" spans="1:12" ht="17.25" customHeight="1" x14ac:dyDescent="0.35">
      <c r="A35" s="109"/>
      <c r="B35" s="99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  <c r="G35" s="111"/>
      <c r="H35" s="99"/>
      <c r="I35" s="99"/>
      <c r="J35" s="99"/>
      <c r="K35" s="99"/>
      <c r="L35" s="99"/>
    </row>
    <row r="36" spans="1:12" ht="17.25" customHeight="1" x14ac:dyDescent="0.35">
      <c r="A36" s="109"/>
      <c r="B36" s="99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  <c r="G36" s="111"/>
      <c r="H36" s="99"/>
      <c r="I36" s="99"/>
      <c r="J36" s="99"/>
      <c r="K36" s="99"/>
      <c r="L36" s="99"/>
    </row>
    <row r="37" spans="1:12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  <c r="G37" s="100"/>
      <c r="I37" s="99"/>
      <c r="J37" s="99"/>
      <c r="K37" s="99"/>
      <c r="L37" s="99"/>
    </row>
    <row r="38" spans="1:12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  <c r="G38" s="100"/>
      <c r="I38" s="99"/>
      <c r="J38" s="99"/>
      <c r="K38" s="99"/>
      <c r="L38" s="99"/>
    </row>
    <row r="39" spans="1:12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  <c r="G39" s="100"/>
      <c r="I39" s="99"/>
      <c r="J39" s="99"/>
      <c r="K39" s="99"/>
      <c r="L39" s="99"/>
    </row>
    <row r="40" spans="1:12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  <c r="G40" s="100"/>
      <c r="I40" s="99"/>
      <c r="J40" s="99"/>
      <c r="K40" s="99"/>
      <c r="L40" s="99"/>
    </row>
    <row r="41" spans="1:12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  <c r="G41" s="100"/>
      <c r="I41" s="99"/>
      <c r="J41" s="99"/>
      <c r="K41" s="99"/>
      <c r="L41" s="99"/>
    </row>
    <row r="42" spans="1:12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  <c r="G42" s="100"/>
      <c r="I42" s="99"/>
      <c r="J42" s="99"/>
      <c r="K42" s="99"/>
      <c r="L42" s="99"/>
    </row>
    <row r="43" spans="1:12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  <c r="G43" s="100"/>
      <c r="I43" s="99"/>
      <c r="J43" s="99"/>
      <c r="K43" s="99"/>
      <c r="L43" s="99"/>
    </row>
    <row r="44" spans="1:12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  <c r="G44" s="100"/>
      <c r="I44" s="99"/>
      <c r="J44" s="99"/>
      <c r="K44" s="99"/>
      <c r="L44" s="99"/>
    </row>
    <row r="45" spans="1:12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  <c r="G45" s="100"/>
      <c r="I45" s="99"/>
      <c r="J45" s="99"/>
      <c r="K45" s="99"/>
      <c r="L45" s="99"/>
    </row>
    <row r="46" spans="1:12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  <c r="G46" s="101"/>
      <c r="I46" s="99"/>
      <c r="J46" s="99"/>
      <c r="K46" s="99"/>
      <c r="L46" s="99"/>
    </row>
    <row r="47" spans="1:12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  <c r="G47" s="101"/>
      <c r="I47" s="99"/>
      <c r="J47" s="99"/>
      <c r="K47" s="99"/>
      <c r="L47" s="99"/>
    </row>
    <row r="48" spans="1:12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  <c r="G48" s="101"/>
      <c r="I48" s="99"/>
      <c r="J48" s="99"/>
      <c r="K48" s="99"/>
      <c r="L48" s="99"/>
    </row>
    <row r="49" spans="1:12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  <c r="G49" s="101"/>
      <c r="I49" s="99"/>
      <c r="J49" s="99"/>
      <c r="K49" s="99"/>
      <c r="L49" s="99"/>
    </row>
    <row r="50" spans="1:12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  <c r="G50" s="101"/>
      <c r="I50" s="99"/>
      <c r="J50" s="99"/>
      <c r="K50" s="99"/>
      <c r="L50" s="99"/>
    </row>
    <row r="51" spans="1:12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  <c r="G51" s="101"/>
      <c r="I51" s="99"/>
      <c r="J51" s="99"/>
      <c r="K51" s="99"/>
      <c r="L51" s="99"/>
    </row>
    <row r="52" spans="1:12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  <c r="G52" s="101"/>
      <c r="I52" s="99"/>
      <c r="J52" s="99"/>
      <c r="K52" s="99"/>
      <c r="L52" s="99"/>
    </row>
    <row r="53" spans="1:12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  <c r="G53" s="101"/>
      <c r="I53" s="99"/>
      <c r="J53" s="99"/>
      <c r="K53" s="99"/>
      <c r="L53" s="99"/>
    </row>
    <row r="54" spans="1:12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  <c r="G54" s="101"/>
      <c r="I54" s="99"/>
      <c r="J54" s="99"/>
      <c r="K54" s="99"/>
      <c r="L54" s="99"/>
    </row>
    <row r="55" spans="1:12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  <c r="G55" s="101"/>
      <c r="I55" s="99"/>
      <c r="J55" s="99"/>
      <c r="K55" s="99"/>
      <c r="L55" s="99"/>
    </row>
    <row r="56" spans="1:12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  <c r="G56" s="101"/>
      <c r="I56" s="99"/>
      <c r="J56" s="99"/>
      <c r="K56" s="99"/>
      <c r="L56" s="99"/>
    </row>
    <row r="57" spans="1:12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  <c r="G57" s="101"/>
      <c r="I57" s="99"/>
      <c r="J57" s="99"/>
      <c r="K57" s="99"/>
      <c r="L57" s="99"/>
    </row>
    <row r="58" spans="1:12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  <c r="G58" s="101"/>
      <c r="I58" s="99"/>
      <c r="J58" s="99"/>
      <c r="K58" s="99"/>
      <c r="L58" s="99"/>
    </row>
    <row r="59" spans="1:12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  <c r="G59" s="101"/>
      <c r="I59" s="99"/>
      <c r="J59" s="99"/>
      <c r="K59" s="99"/>
      <c r="L59" s="99"/>
    </row>
    <row r="60" spans="1:12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12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12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12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12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G8"/>
  <sheetViews>
    <sheetView zoomScale="80" zoomScaleNormal="80" workbookViewId="0">
      <selection activeCell="A2" sqref="A2"/>
    </sheetView>
  </sheetViews>
  <sheetFormatPr defaultColWidth="15.42578125" defaultRowHeight="39" customHeight="1" x14ac:dyDescent="0.25"/>
  <cols>
    <col min="1" max="1" width="15.42578125" style="96"/>
    <col min="2" max="16384" width="15.42578125" style="26"/>
  </cols>
  <sheetData>
    <row r="1" spans="1:7" s="98" customFormat="1" ht="72.599999999999994" customHeight="1" x14ac:dyDescent="0.25">
      <c r="A1" s="97"/>
    </row>
    <row r="2" spans="1:7" s="96" customFormat="1" ht="39" customHeight="1" x14ac:dyDescent="0.25">
      <c r="B2" s="96" t="s">
        <v>7248</v>
      </c>
      <c r="C2" s="96" t="s">
        <v>7150</v>
      </c>
      <c r="D2" s="96" t="s">
        <v>55</v>
      </c>
      <c r="E2" s="96" t="s">
        <v>7152</v>
      </c>
      <c r="F2" s="96" t="s">
        <v>7163</v>
      </c>
      <c r="G2" s="96" t="s">
        <v>7164</v>
      </c>
    </row>
    <row r="3" spans="1:7" ht="39" customHeight="1" x14ac:dyDescent="0.25">
      <c r="A3" s="96" t="s">
        <v>7248</v>
      </c>
      <c r="B3" s="26">
        <v>0</v>
      </c>
      <c r="C3" s="26">
        <v>243.54</v>
      </c>
      <c r="D3" s="26">
        <v>326.42</v>
      </c>
      <c r="E3" s="26">
        <v>214.71</v>
      </c>
      <c r="F3" s="26">
        <v>120.34</v>
      </c>
      <c r="G3" s="26">
        <v>65.2</v>
      </c>
    </row>
    <row r="4" spans="1:7" ht="39" customHeight="1" x14ac:dyDescent="0.25">
      <c r="A4" s="96" t="s">
        <v>7150</v>
      </c>
      <c r="B4" s="26">
        <v>243.54</v>
      </c>
      <c r="C4" s="26">
        <v>0</v>
      </c>
      <c r="D4" s="26">
        <v>146.4</v>
      </c>
      <c r="E4" s="26">
        <v>189.64</v>
      </c>
      <c r="F4" s="26">
        <v>201.75</v>
      </c>
      <c r="G4" s="26">
        <v>300.52</v>
      </c>
    </row>
    <row r="5" spans="1:7" ht="39" customHeight="1" x14ac:dyDescent="0.25">
      <c r="A5" s="96" t="s">
        <v>55</v>
      </c>
      <c r="B5" s="26">
        <v>326.42</v>
      </c>
      <c r="C5" s="26">
        <v>146.4</v>
      </c>
      <c r="D5" s="26">
        <v>0</v>
      </c>
      <c r="E5" s="26">
        <v>334.53</v>
      </c>
      <c r="F5" s="26">
        <v>328.43</v>
      </c>
      <c r="G5" s="26">
        <v>365.74</v>
      </c>
    </row>
    <row r="6" spans="1:7" ht="39" customHeight="1" x14ac:dyDescent="0.25">
      <c r="A6" s="96" t="s">
        <v>7152</v>
      </c>
      <c r="B6" s="26">
        <v>214.71</v>
      </c>
      <c r="C6" s="26">
        <v>189.64</v>
      </c>
      <c r="D6" s="26">
        <v>334.53</v>
      </c>
      <c r="E6" s="26">
        <v>0</v>
      </c>
      <c r="F6" s="26">
        <v>96.53</v>
      </c>
      <c r="G6" s="26">
        <v>278.02</v>
      </c>
    </row>
    <row r="7" spans="1:7" ht="39" customHeight="1" x14ac:dyDescent="0.25">
      <c r="A7" s="96" t="s">
        <v>7163</v>
      </c>
      <c r="B7" s="26">
        <v>120.34</v>
      </c>
      <c r="C7" s="26">
        <v>201.75</v>
      </c>
      <c r="D7" s="26">
        <v>328.43</v>
      </c>
      <c r="E7" s="26">
        <v>96.53</v>
      </c>
      <c r="F7" s="26">
        <v>0</v>
      </c>
      <c r="G7" s="26">
        <v>182.14</v>
      </c>
    </row>
    <row r="8" spans="1:7" ht="39" customHeight="1" x14ac:dyDescent="0.25">
      <c r="A8" s="96" t="s">
        <v>7164</v>
      </c>
      <c r="B8" s="26">
        <v>65.2</v>
      </c>
      <c r="C8" s="26">
        <v>300.52</v>
      </c>
      <c r="D8" s="26">
        <v>365.74</v>
      </c>
      <c r="E8" s="26">
        <v>278.02</v>
      </c>
      <c r="F8" s="26">
        <v>182.14</v>
      </c>
      <c r="G8" s="26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10558</v>
      </c>
      <c r="N1" s="20" t="s">
        <v>10159</v>
      </c>
      <c r="O1" s="20" t="s">
        <v>10160</v>
      </c>
    </row>
    <row r="2" spans="1:15" s="71" customFormat="1" x14ac:dyDescent="0.35">
      <c r="A2" s="15">
        <v>1</v>
      </c>
      <c r="B2" s="15" t="s">
        <v>9720</v>
      </c>
      <c r="C2" s="15" t="s">
        <v>10454</v>
      </c>
      <c r="D2" s="15" t="s">
        <v>10573</v>
      </c>
      <c r="E2" s="15" t="s">
        <v>10574</v>
      </c>
      <c r="F2" s="15" t="s">
        <v>9780</v>
      </c>
      <c r="G2" s="15" t="s">
        <v>9780</v>
      </c>
      <c r="H2" s="15" t="s">
        <v>9780</v>
      </c>
      <c r="I2" s="15">
        <v>189318</v>
      </c>
      <c r="J2" s="15">
        <v>449.74542933333299</v>
      </c>
      <c r="K2" s="15">
        <v>198.69319999999999</v>
      </c>
      <c r="L2" s="15">
        <v>449.74542933333299</v>
      </c>
      <c r="M2" s="15">
        <v>0</v>
      </c>
      <c r="N2" s="15">
        <v>0</v>
      </c>
      <c r="O2" s="15">
        <v>0</v>
      </c>
    </row>
    <row r="3" spans="1:15" s="15" customFormat="1" x14ac:dyDescent="0.35">
      <c r="A3" s="15">
        <v>1</v>
      </c>
      <c r="B3" s="15" t="s">
        <v>9720</v>
      </c>
      <c r="C3" s="15" t="s">
        <v>10562</v>
      </c>
      <c r="D3" s="15" t="s">
        <v>10573</v>
      </c>
      <c r="E3" s="15" t="s">
        <v>10575</v>
      </c>
      <c r="F3" s="72" t="s">
        <v>10576</v>
      </c>
      <c r="G3" s="72" t="s">
        <v>10577</v>
      </c>
      <c r="H3" s="72" t="s">
        <v>10578</v>
      </c>
      <c r="I3" s="72">
        <v>189318</v>
      </c>
      <c r="J3" s="15">
        <v>449.74542933333299</v>
      </c>
      <c r="K3" s="15">
        <v>198.69319999999999</v>
      </c>
      <c r="L3" s="15">
        <v>449.74542933333299</v>
      </c>
      <c r="M3" s="15">
        <v>0</v>
      </c>
      <c r="N3" s="15">
        <v>0</v>
      </c>
      <c r="O3" s="15">
        <v>0</v>
      </c>
    </row>
    <row r="4" spans="1:15" s="71" customFormat="1" x14ac:dyDescent="0.35">
      <c r="A4" s="15">
        <v>2</v>
      </c>
      <c r="B4" s="15" t="s">
        <v>9719</v>
      </c>
      <c r="C4" s="15" t="s">
        <v>10579</v>
      </c>
      <c r="D4" s="15" t="s">
        <v>10573</v>
      </c>
      <c r="E4" s="15" t="s">
        <v>10574</v>
      </c>
      <c r="F4" s="15" t="s">
        <v>9780</v>
      </c>
      <c r="G4" s="15" t="s">
        <v>9780</v>
      </c>
      <c r="H4" s="15" t="s">
        <v>9780</v>
      </c>
      <c r="I4" s="15">
        <v>189318</v>
      </c>
      <c r="J4" s="15">
        <v>449.74542933333299</v>
      </c>
      <c r="K4" s="15">
        <v>198.69319999999999</v>
      </c>
      <c r="L4" s="15">
        <v>449.74542933333299</v>
      </c>
      <c r="M4" s="15">
        <v>0</v>
      </c>
      <c r="N4" s="15">
        <v>0</v>
      </c>
      <c r="O4" s="15">
        <v>0</v>
      </c>
    </row>
    <row r="5" spans="1:15" s="15" customFormat="1" x14ac:dyDescent="0.35">
      <c r="A5" s="15">
        <v>2</v>
      </c>
      <c r="B5" s="15" t="s">
        <v>9719</v>
      </c>
      <c r="C5" s="15" t="s">
        <v>10580</v>
      </c>
      <c r="D5" s="15" t="s">
        <v>10573</v>
      </c>
      <c r="E5" s="15" t="s">
        <v>10575</v>
      </c>
      <c r="F5" s="72" t="s">
        <v>10576</v>
      </c>
      <c r="G5" s="72" t="s">
        <v>10577</v>
      </c>
      <c r="H5" s="72" t="s">
        <v>10578</v>
      </c>
      <c r="I5" s="72">
        <v>189318</v>
      </c>
      <c r="J5" s="15">
        <v>449.74542933333299</v>
      </c>
      <c r="K5" s="15">
        <v>198.69319999999999</v>
      </c>
      <c r="L5" s="15">
        <v>449.74542933333299</v>
      </c>
      <c r="M5" s="15">
        <v>0</v>
      </c>
      <c r="N5" s="15">
        <v>0</v>
      </c>
      <c r="O5" s="15">
        <v>0</v>
      </c>
    </row>
    <row r="6" spans="1:15" s="15" customFormat="1" x14ac:dyDescent="0.35">
      <c r="A6" s="15">
        <v>3</v>
      </c>
      <c r="B6" s="15" t="s">
        <v>9720</v>
      </c>
      <c r="C6" s="15" t="s">
        <v>10455</v>
      </c>
      <c r="D6" s="15" t="s">
        <v>10581</v>
      </c>
      <c r="E6" s="15" t="s">
        <v>10574</v>
      </c>
      <c r="F6" s="72" t="s">
        <v>9780</v>
      </c>
      <c r="G6" s="72" t="s">
        <v>9780</v>
      </c>
      <c r="H6" s="72" t="s">
        <v>9780</v>
      </c>
      <c r="I6" s="72">
        <v>189318</v>
      </c>
      <c r="J6" s="15">
        <v>626.89952361687904</v>
      </c>
      <c r="K6" s="15">
        <v>198.69319999999999</v>
      </c>
      <c r="L6" s="15">
        <v>626.89952361687904</v>
      </c>
      <c r="M6" s="15">
        <v>0</v>
      </c>
      <c r="N6" s="15">
        <v>0</v>
      </c>
      <c r="O6" s="15">
        <v>0</v>
      </c>
    </row>
    <row r="7" spans="1:15" s="6" customFormat="1" x14ac:dyDescent="0.35">
      <c r="A7" s="15">
        <v>3</v>
      </c>
      <c r="B7" s="15" t="s">
        <v>9720</v>
      </c>
      <c r="C7" s="15" t="s">
        <v>10582</v>
      </c>
      <c r="D7" s="15" t="s">
        <v>10581</v>
      </c>
      <c r="E7" s="15" t="s">
        <v>10583</v>
      </c>
      <c r="F7" s="72" t="s">
        <v>10576</v>
      </c>
      <c r="G7" s="72" t="s">
        <v>10577</v>
      </c>
      <c r="H7" s="72" t="s">
        <v>10584</v>
      </c>
      <c r="I7" s="72">
        <v>187889</v>
      </c>
      <c r="J7" s="15">
        <v>451.825152</v>
      </c>
      <c r="K7" s="15">
        <v>197.1934</v>
      </c>
      <c r="L7" s="15">
        <v>451.825152</v>
      </c>
      <c r="M7" s="15">
        <v>0</v>
      </c>
      <c r="N7" s="15">
        <v>0</v>
      </c>
      <c r="O7" s="15">
        <v>0</v>
      </c>
    </row>
    <row r="8" spans="1:15" x14ac:dyDescent="0.35">
      <c r="A8" s="15">
        <v>3</v>
      </c>
      <c r="B8" s="15" t="s">
        <v>9720</v>
      </c>
      <c r="C8" s="15" t="s">
        <v>10585</v>
      </c>
      <c r="D8" s="15" t="s">
        <v>10581</v>
      </c>
      <c r="E8" s="15" t="s">
        <v>10586</v>
      </c>
      <c r="F8" s="72" t="s">
        <v>10576</v>
      </c>
      <c r="G8" s="72" t="s">
        <v>10577</v>
      </c>
      <c r="H8" s="72" t="s">
        <v>10587</v>
      </c>
      <c r="I8" s="72">
        <v>1429</v>
      </c>
      <c r="J8" s="15">
        <v>23645.6424173333</v>
      </c>
      <c r="K8" s="15">
        <v>1.4998</v>
      </c>
      <c r="L8" s="15">
        <v>23645.6424173333</v>
      </c>
      <c r="M8" s="15">
        <v>0</v>
      </c>
      <c r="N8" s="15">
        <v>0</v>
      </c>
      <c r="O8" s="15">
        <v>0</v>
      </c>
    </row>
    <row r="9" spans="1:15" x14ac:dyDescent="0.35">
      <c r="A9" s="15">
        <v>4</v>
      </c>
      <c r="B9" s="15" t="s">
        <v>9720</v>
      </c>
      <c r="C9" s="15" t="s">
        <v>10319</v>
      </c>
      <c r="D9" s="15" t="s">
        <v>10588</v>
      </c>
      <c r="E9" s="15" t="s">
        <v>10574</v>
      </c>
      <c r="F9" s="72" t="s">
        <v>9780</v>
      </c>
      <c r="G9" s="72" t="s">
        <v>9780</v>
      </c>
      <c r="H9" s="72" t="s">
        <v>9780</v>
      </c>
      <c r="I9" s="72">
        <v>189318</v>
      </c>
      <c r="J9" s="15">
        <v>700.72421510742595</v>
      </c>
      <c r="K9" s="15">
        <v>198.69319999999999</v>
      </c>
      <c r="L9" s="15">
        <v>700.72421510742595</v>
      </c>
      <c r="M9" s="15">
        <v>0</v>
      </c>
      <c r="N9" s="15">
        <v>0</v>
      </c>
      <c r="O9" s="15">
        <v>0</v>
      </c>
    </row>
    <row r="10" spans="1:15" x14ac:dyDescent="0.35">
      <c r="A10" s="15">
        <v>4</v>
      </c>
      <c r="B10" s="15" t="s">
        <v>9720</v>
      </c>
      <c r="C10" s="15" t="s">
        <v>10589</v>
      </c>
      <c r="D10" s="15" t="s">
        <v>10588</v>
      </c>
      <c r="E10" s="15" t="s">
        <v>10590</v>
      </c>
      <c r="F10" s="72" t="s">
        <v>10576</v>
      </c>
      <c r="G10" s="72" t="s">
        <v>10577</v>
      </c>
      <c r="H10" s="72" t="s">
        <v>10584</v>
      </c>
      <c r="I10" s="72">
        <v>170314</v>
      </c>
      <c r="J10" s="15">
        <v>481.00309066666603</v>
      </c>
      <c r="K10" s="15">
        <v>178.74809999999999</v>
      </c>
      <c r="L10" s="15">
        <v>481.00309066666603</v>
      </c>
      <c r="M10" s="15">
        <v>0</v>
      </c>
      <c r="N10" s="15">
        <v>0</v>
      </c>
      <c r="O10" s="15">
        <v>0</v>
      </c>
    </row>
    <row r="11" spans="1:15" s="6" customFormat="1" x14ac:dyDescent="0.35">
      <c r="A11" s="15">
        <v>4</v>
      </c>
      <c r="B11" s="15" t="s">
        <v>9720</v>
      </c>
      <c r="C11" s="15" t="s">
        <v>10591</v>
      </c>
      <c r="D11" s="15" t="s">
        <v>10588</v>
      </c>
      <c r="E11" s="15" t="s">
        <v>10592</v>
      </c>
      <c r="F11" s="72" t="s">
        <v>10576</v>
      </c>
      <c r="G11" s="72" t="s">
        <v>10577</v>
      </c>
      <c r="H11" s="72" t="s">
        <v>10587</v>
      </c>
      <c r="I11" s="72">
        <v>19004</v>
      </c>
      <c r="J11" s="15">
        <v>2669.8661860000002</v>
      </c>
      <c r="K11" s="15">
        <v>19.9451</v>
      </c>
      <c r="L11" s="15">
        <v>2669.8661860000002</v>
      </c>
      <c r="M11" s="15">
        <v>0</v>
      </c>
      <c r="N11" s="15">
        <v>0</v>
      </c>
      <c r="O11" s="15">
        <v>0</v>
      </c>
    </row>
    <row r="12" spans="1:15" s="6" customFormat="1" x14ac:dyDescent="0.35">
      <c r="A12" s="15">
        <v>5</v>
      </c>
      <c r="B12" s="15" t="s">
        <v>9720</v>
      </c>
      <c r="C12" s="15" t="s">
        <v>10566</v>
      </c>
      <c r="D12" s="15" t="s">
        <v>10593</v>
      </c>
      <c r="E12" s="15" t="s">
        <v>10574</v>
      </c>
      <c r="F12" s="72" t="s">
        <v>9780</v>
      </c>
      <c r="G12" s="72" t="s">
        <v>9780</v>
      </c>
      <c r="H12" s="72" t="s">
        <v>9780</v>
      </c>
      <c r="I12" s="72">
        <v>189318</v>
      </c>
      <c r="J12" s="15">
        <v>702.43021166345602</v>
      </c>
      <c r="K12" s="15">
        <v>198.69319999999999</v>
      </c>
      <c r="L12" s="15">
        <v>702.43021166345602</v>
      </c>
      <c r="M12" s="15">
        <v>0</v>
      </c>
      <c r="N12" s="15">
        <v>0</v>
      </c>
      <c r="O12" s="15">
        <v>0</v>
      </c>
    </row>
    <row r="13" spans="1:15" x14ac:dyDescent="0.35">
      <c r="A13" s="15">
        <v>5</v>
      </c>
      <c r="B13" s="15" t="s">
        <v>9720</v>
      </c>
      <c r="C13" s="15" t="s">
        <v>10594</v>
      </c>
      <c r="D13" s="15" t="s">
        <v>10593</v>
      </c>
      <c r="E13" s="15" t="s">
        <v>10595</v>
      </c>
      <c r="F13" s="72" t="s">
        <v>10576</v>
      </c>
      <c r="G13" s="72" t="s">
        <v>10577</v>
      </c>
      <c r="H13" s="72" t="s">
        <v>10584</v>
      </c>
      <c r="I13" s="72">
        <v>19348</v>
      </c>
      <c r="J13" s="15">
        <v>2642.4870573333301</v>
      </c>
      <c r="K13" s="15">
        <v>20.306100000000001</v>
      </c>
      <c r="L13" s="15">
        <v>2642.4870573333301</v>
      </c>
      <c r="M13" s="15">
        <v>0</v>
      </c>
      <c r="N13" s="15">
        <v>0</v>
      </c>
      <c r="O13" s="15">
        <v>0</v>
      </c>
    </row>
    <row r="14" spans="1:15" x14ac:dyDescent="0.35">
      <c r="A14" s="15">
        <v>5</v>
      </c>
      <c r="B14" s="15" t="s">
        <v>9720</v>
      </c>
      <c r="C14" s="15" t="s">
        <v>10596</v>
      </c>
      <c r="D14" s="15" t="s">
        <v>10593</v>
      </c>
      <c r="E14" s="15" t="s">
        <v>10597</v>
      </c>
      <c r="F14" s="72" t="s">
        <v>10576</v>
      </c>
      <c r="G14" s="72" t="s">
        <v>10577</v>
      </c>
      <c r="H14" s="72" t="s">
        <v>10576</v>
      </c>
      <c r="I14" s="72">
        <v>169970</v>
      </c>
      <c r="J14" s="15">
        <v>481.59031733333302</v>
      </c>
      <c r="K14" s="15">
        <v>178.3871</v>
      </c>
      <c r="L14" s="15">
        <v>481.59031733333302</v>
      </c>
      <c r="M14" s="15">
        <v>0</v>
      </c>
      <c r="N14" s="15">
        <v>0</v>
      </c>
      <c r="O14" s="15">
        <v>0</v>
      </c>
    </row>
    <row r="15" spans="1:15" x14ac:dyDescent="0.35">
      <c r="A15" s="15">
        <v>6</v>
      </c>
      <c r="B15" s="15" t="s">
        <v>9719</v>
      </c>
      <c r="C15" s="15" t="s">
        <v>10598</v>
      </c>
      <c r="D15" s="15" t="s">
        <v>10599</v>
      </c>
      <c r="E15" s="15" t="s">
        <v>10574</v>
      </c>
      <c r="F15" s="72" t="s">
        <v>9780</v>
      </c>
      <c r="G15" s="72" t="s">
        <v>9780</v>
      </c>
      <c r="H15" s="72" t="s">
        <v>9780</v>
      </c>
      <c r="I15" s="72">
        <v>189318</v>
      </c>
      <c r="J15" s="15">
        <v>702.96561900145696</v>
      </c>
      <c r="K15" s="15">
        <v>198.69319999999999</v>
      </c>
      <c r="L15" s="15">
        <v>702.96561900145696</v>
      </c>
      <c r="M15" s="15">
        <v>0</v>
      </c>
      <c r="N15" s="15">
        <v>0</v>
      </c>
      <c r="O15" s="15">
        <v>0</v>
      </c>
    </row>
    <row r="16" spans="1:15" s="6" customFormat="1" x14ac:dyDescent="0.35">
      <c r="A16" s="15">
        <v>6</v>
      </c>
      <c r="B16" s="15" t="s">
        <v>9719</v>
      </c>
      <c r="C16" s="15" t="s">
        <v>10600</v>
      </c>
      <c r="D16" s="15" t="s">
        <v>10599</v>
      </c>
      <c r="E16" s="15" t="s">
        <v>10601</v>
      </c>
      <c r="F16" s="72" t="s">
        <v>10576</v>
      </c>
      <c r="G16" s="72" t="s">
        <v>10577</v>
      </c>
      <c r="H16" s="72" t="s">
        <v>10584</v>
      </c>
      <c r="I16" s="72">
        <v>174373</v>
      </c>
      <c r="J16" s="15">
        <v>474.09354466666599</v>
      </c>
      <c r="K16" s="15">
        <v>183.00810000000001</v>
      </c>
      <c r="L16" s="15">
        <v>474.09354466666599</v>
      </c>
      <c r="M16" s="15">
        <v>0</v>
      </c>
      <c r="N16" s="15">
        <v>0</v>
      </c>
      <c r="O16" s="15">
        <v>0</v>
      </c>
    </row>
    <row r="17" spans="1:15" x14ac:dyDescent="0.35">
      <c r="A17" s="15">
        <v>6</v>
      </c>
      <c r="B17" s="15" t="s">
        <v>9719</v>
      </c>
      <c r="C17" s="15" t="s">
        <v>10602</v>
      </c>
      <c r="D17" s="15" t="s">
        <v>10599</v>
      </c>
      <c r="E17" s="15" t="s">
        <v>10603</v>
      </c>
      <c r="F17" s="72" t="s">
        <v>10576</v>
      </c>
      <c r="G17" s="72" t="s">
        <v>10577</v>
      </c>
      <c r="H17" s="72" t="s">
        <v>10576</v>
      </c>
      <c r="I17" s="72">
        <v>14945</v>
      </c>
      <c r="J17" s="15">
        <v>3373.3625860000002</v>
      </c>
      <c r="K17" s="15">
        <v>15.6851</v>
      </c>
      <c r="L17" s="15">
        <v>3373.3625860000002</v>
      </c>
      <c r="M17" s="15">
        <v>0</v>
      </c>
      <c r="N17" s="15">
        <v>0</v>
      </c>
      <c r="O17" s="15">
        <v>0</v>
      </c>
    </row>
    <row r="18" spans="1:15" x14ac:dyDescent="0.35">
      <c r="A18" s="15">
        <v>7</v>
      </c>
      <c r="B18" s="15" t="s">
        <v>9719</v>
      </c>
      <c r="C18" s="15" t="s">
        <v>10604</v>
      </c>
      <c r="D18" s="15" t="s">
        <v>10605</v>
      </c>
      <c r="E18" s="15" t="s">
        <v>10574</v>
      </c>
      <c r="F18" s="72" t="s">
        <v>9780</v>
      </c>
      <c r="G18" s="72" t="s">
        <v>9780</v>
      </c>
      <c r="H18" s="72" t="s">
        <v>9780</v>
      </c>
      <c r="I18" s="72">
        <v>189318</v>
      </c>
      <c r="J18" s="15">
        <v>703.95636697144005</v>
      </c>
      <c r="K18" s="15">
        <v>198.69319999999999</v>
      </c>
      <c r="L18" s="15">
        <v>703.95636697144005</v>
      </c>
      <c r="M18" s="15">
        <v>0</v>
      </c>
      <c r="N18" s="15">
        <v>0</v>
      </c>
      <c r="O18" s="15">
        <v>0</v>
      </c>
    </row>
    <row r="19" spans="1:15" x14ac:dyDescent="0.35">
      <c r="A19" s="15">
        <v>7</v>
      </c>
      <c r="B19" s="15" t="s">
        <v>9719</v>
      </c>
      <c r="C19" s="15" t="s">
        <v>10606</v>
      </c>
      <c r="D19" s="15" t="s">
        <v>10605</v>
      </c>
      <c r="E19" s="15" t="s">
        <v>10607</v>
      </c>
      <c r="F19" s="72" t="s">
        <v>10576</v>
      </c>
      <c r="G19" s="72" t="s">
        <v>10577</v>
      </c>
      <c r="H19" s="72" t="s">
        <v>10584</v>
      </c>
      <c r="I19" s="72">
        <v>15289</v>
      </c>
      <c r="J19" s="15">
        <v>3313.747046</v>
      </c>
      <c r="K19" s="15">
        <v>16.046099999999999</v>
      </c>
      <c r="L19" s="15">
        <v>3313.747046</v>
      </c>
      <c r="M19" s="15">
        <v>0</v>
      </c>
      <c r="N19" s="15">
        <v>0</v>
      </c>
      <c r="O19" s="15">
        <v>0</v>
      </c>
    </row>
    <row r="20" spans="1:15" s="6" customFormat="1" x14ac:dyDescent="0.35">
      <c r="A20" s="15">
        <v>7</v>
      </c>
      <c r="B20" s="15" t="s">
        <v>9719</v>
      </c>
      <c r="C20" s="15" t="s">
        <v>10608</v>
      </c>
      <c r="D20" s="15" t="s">
        <v>10605</v>
      </c>
      <c r="E20" s="15" t="s">
        <v>10609</v>
      </c>
      <c r="F20" s="72" t="s">
        <v>10576</v>
      </c>
      <c r="G20" s="72" t="s">
        <v>10577</v>
      </c>
      <c r="H20" s="72" t="s">
        <v>10587</v>
      </c>
      <c r="I20" s="72">
        <v>174029</v>
      </c>
      <c r="J20" s="15">
        <v>474.67836466666603</v>
      </c>
      <c r="K20" s="15">
        <v>182.64709999999999</v>
      </c>
      <c r="L20" s="15">
        <v>474.67836466666603</v>
      </c>
      <c r="M20" s="15">
        <v>0</v>
      </c>
      <c r="N20" s="15">
        <v>0</v>
      </c>
      <c r="O20" s="15">
        <v>0</v>
      </c>
    </row>
    <row r="21" spans="1:15" s="6" customFormat="1" x14ac:dyDescent="0.35">
      <c r="A21" s="15">
        <v>8</v>
      </c>
      <c r="B21" s="15" t="s">
        <v>9719</v>
      </c>
      <c r="C21" s="15" t="s">
        <v>10610</v>
      </c>
      <c r="D21" s="15" t="s">
        <v>10611</v>
      </c>
      <c r="E21" s="15" t="s">
        <v>10574</v>
      </c>
      <c r="F21" s="72" t="s">
        <v>9780</v>
      </c>
      <c r="G21" s="72" t="s">
        <v>9780</v>
      </c>
      <c r="H21" s="72" t="s">
        <v>9780</v>
      </c>
      <c r="I21" s="72">
        <v>189318</v>
      </c>
      <c r="J21" s="15">
        <v>704.30174713934696</v>
      </c>
      <c r="K21" s="15">
        <v>198.69319999999999</v>
      </c>
      <c r="L21" s="15">
        <v>704.30174713934696</v>
      </c>
      <c r="M21" s="15">
        <v>0</v>
      </c>
      <c r="N21" s="15">
        <v>0</v>
      </c>
      <c r="O21" s="15">
        <v>0</v>
      </c>
    </row>
    <row r="22" spans="1:15" x14ac:dyDescent="0.35">
      <c r="A22" s="15">
        <v>8</v>
      </c>
      <c r="B22" s="15" t="s">
        <v>9719</v>
      </c>
      <c r="C22" s="15" t="s">
        <v>10612</v>
      </c>
      <c r="D22" s="15" t="s">
        <v>10611</v>
      </c>
      <c r="E22" s="15" t="s">
        <v>10613</v>
      </c>
      <c r="F22" s="72" t="s">
        <v>10576</v>
      </c>
      <c r="G22" s="72" t="s">
        <v>10577</v>
      </c>
      <c r="H22" s="72" t="s">
        <v>10584</v>
      </c>
      <c r="I22" s="72">
        <v>17919</v>
      </c>
      <c r="J22" s="15">
        <v>2857.9276180000002</v>
      </c>
      <c r="K22" s="15">
        <v>18.8063</v>
      </c>
      <c r="L22" s="15">
        <v>2857.9276180000002</v>
      </c>
      <c r="M22" s="15">
        <v>0</v>
      </c>
      <c r="N22" s="15">
        <v>0</v>
      </c>
      <c r="O22" s="15">
        <v>0</v>
      </c>
    </row>
    <row r="23" spans="1:15" x14ac:dyDescent="0.35">
      <c r="A23" s="15">
        <v>8</v>
      </c>
      <c r="B23" s="15" t="s">
        <v>9719</v>
      </c>
      <c r="C23" s="15" t="s">
        <v>10614</v>
      </c>
      <c r="D23" s="15" t="s">
        <v>10611</v>
      </c>
      <c r="E23" s="15" t="s">
        <v>10615</v>
      </c>
      <c r="F23" s="72" t="s">
        <v>10576</v>
      </c>
      <c r="G23" s="72" t="s">
        <v>10577</v>
      </c>
      <c r="H23" s="72" t="s">
        <v>10587</v>
      </c>
      <c r="I23" s="72">
        <v>171399</v>
      </c>
      <c r="J23" s="15">
        <v>479.15064266666599</v>
      </c>
      <c r="K23" s="15">
        <v>179.8869</v>
      </c>
      <c r="L23" s="15">
        <v>479.15064266666599</v>
      </c>
      <c r="M23" s="15">
        <v>0</v>
      </c>
      <c r="N23" s="15">
        <v>0</v>
      </c>
      <c r="O23" s="15">
        <v>0</v>
      </c>
    </row>
    <row r="24" spans="1:15" x14ac:dyDescent="0.35">
      <c r="A24" s="15">
        <v>9</v>
      </c>
      <c r="B24" s="15" t="s">
        <v>9719</v>
      </c>
      <c r="C24" s="15" t="s">
        <v>10616</v>
      </c>
      <c r="D24" s="15" t="s">
        <v>10617</v>
      </c>
      <c r="E24" s="15" t="s">
        <v>10574</v>
      </c>
      <c r="F24" s="72" t="s">
        <v>9780</v>
      </c>
      <c r="G24" s="72" t="s">
        <v>9780</v>
      </c>
      <c r="H24" s="72" t="s">
        <v>9780</v>
      </c>
      <c r="I24" s="72">
        <v>189318</v>
      </c>
      <c r="J24" s="15">
        <v>704.98289550311597</v>
      </c>
      <c r="K24" s="15">
        <v>198.69319999999999</v>
      </c>
      <c r="L24" s="15">
        <v>704.98289550311597</v>
      </c>
      <c r="M24" s="15">
        <v>0</v>
      </c>
      <c r="N24" s="15">
        <v>0</v>
      </c>
      <c r="O24" s="15">
        <v>0</v>
      </c>
    </row>
    <row r="25" spans="1:15" x14ac:dyDescent="0.35">
      <c r="A25" s="15">
        <v>9</v>
      </c>
      <c r="B25" s="15" t="s">
        <v>9719</v>
      </c>
      <c r="C25" s="15" t="s">
        <v>10618</v>
      </c>
      <c r="D25" s="15" t="s">
        <v>10617</v>
      </c>
      <c r="E25" s="15" t="s">
        <v>10619</v>
      </c>
      <c r="F25" s="72" t="s">
        <v>10576</v>
      </c>
      <c r="G25" s="72" t="s">
        <v>10577</v>
      </c>
      <c r="H25" s="72" t="s">
        <v>10584</v>
      </c>
      <c r="I25" s="72">
        <v>171743</v>
      </c>
      <c r="J25" s="15">
        <v>478.56506866666598</v>
      </c>
      <c r="K25" s="15">
        <v>180.24789999999999</v>
      </c>
      <c r="L25" s="15">
        <v>478.56506866666598</v>
      </c>
      <c r="M25" s="15">
        <v>0</v>
      </c>
      <c r="N25" s="15">
        <v>0</v>
      </c>
      <c r="O25" s="15">
        <v>0</v>
      </c>
    </row>
    <row r="26" spans="1:15" s="6" customFormat="1" x14ac:dyDescent="0.35">
      <c r="A26" s="15">
        <v>9</v>
      </c>
      <c r="B26" s="15" t="s">
        <v>9719</v>
      </c>
      <c r="C26" s="15" t="s">
        <v>10620</v>
      </c>
      <c r="D26" s="15" t="s">
        <v>10617</v>
      </c>
      <c r="E26" s="15" t="s">
        <v>10621</v>
      </c>
      <c r="F26" s="72" t="s">
        <v>10576</v>
      </c>
      <c r="G26" s="72" t="s">
        <v>10577</v>
      </c>
      <c r="H26" s="72" t="s">
        <v>10577</v>
      </c>
      <c r="I26" s="72">
        <v>17575</v>
      </c>
      <c r="J26" s="15">
        <v>2917.5431579999999</v>
      </c>
      <c r="K26" s="15">
        <v>18.4453</v>
      </c>
      <c r="L26" s="15">
        <v>2917.5431579999999</v>
      </c>
      <c r="M26" s="15">
        <v>0</v>
      </c>
      <c r="N26" s="15">
        <v>0</v>
      </c>
      <c r="O26" s="15">
        <v>0</v>
      </c>
    </row>
    <row r="27" spans="1:15" x14ac:dyDescent="0.35">
      <c r="A27" s="15">
        <v>10</v>
      </c>
      <c r="B27" s="15" t="s">
        <v>9719</v>
      </c>
      <c r="C27" s="15" t="s">
        <v>10622</v>
      </c>
      <c r="D27" s="15" t="s">
        <v>10623</v>
      </c>
      <c r="E27" s="15" t="s">
        <v>10574</v>
      </c>
      <c r="F27" s="72" t="s">
        <v>9780</v>
      </c>
      <c r="G27" s="72" t="s">
        <v>9780</v>
      </c>
      <c r="H27" s="72" t="s">
        <v>9780</v>
      </c>
      <c r="I27" s="72">
        <v>189318</v>
      </c>
      <c r="J27" s="15">
        <v>705.64827785631303</v>
      </c>
      <c r="K27" s="15">
        <v>198.69319999999999</v>
      </c>
      <c r="L27" s="15">
        <v>705.64827785631303</v>
      </c>
      <c r="M27" s="15">
        <v>0</v>
      </c>
      <c r="N27" s="15">
        <v>0</v>
      </c>
      <c r="O27" s="15">
        <v>0</v>
      </c>
    </row>
    <row r="28" spans="1:15" x14ac:dyDescent="0.35">
      <c r="A28" s="15">
        <v>10</v>
      </c>
      <c r="B28" s="15" t="s">
        <v>9719</v>
      </c>
      <c r="C28" s="15" t="s">
        <v>10624</v>
      </c>
      <c r="D28" s="15" t="s">
        <v>10623</v>
      </c>
      <c r="E28" s="15" t="s">
        <v>10625</v>
      </c>
      <c r="F28" s="72" t="s">
        <v>10576</v>
      </c>
      <c r="G28" s="72" t="s">
        <v>10577</v>
      </c>
      <c r="H28" s="72" t="s">
        <v>10584</v>
      </c>
      <c r="I28" s="72">
        <v>172944</v>
      </c>
      <c r="J28" s="15">
        <v>476.52322066666602</v>
      </c>
      <c r="K28" s="15">
        <v>181.50829999999999</v>
      </c>
      <c r="L28" s="15">
        <v>476.52322066666602</v>
      </c>
      <c r="M28" s="15">
        <v>0</v>
      </c>
      <c r="N28" s="15">
        <v>0</v>
      </c>
      <c r="O28" s="15">
        <v>0</v>
      </c>
    </row>
    <row r="29" spans="1:15" s="6" customFormat="1" x14ac:dyDescent="0.35">
      <c r="A29" s="15">
        <v>10</v>
      </c>
      <c r="B29" s="15" t="s">
        <v>9719</v>
      </c>
      <c r="C29" s="15" t="s">
        <v>10626</v>
      </c>
      <c r="D29" s="15" t="s">
        <v>10623</v>
      </c>
      <c r="E29" s="15" t="s">
        <v>10627</v>
      </c>
      <c r="F29" s="72" t="s">
        <v>10576</v>
      </c>
      <c r="G29" s="72" t="s">
        <v>10577</v>
      </c>
      <c r="H29" s="72" t="s">
        <v>10587</v>
      </c>
      <c r="I29" s="72">
        <v>16374</v>
      </c>
      <c r="J29" s="15">
        <v>3125.685614</v>
      </c>
      <c r="K29" s="15">
        <v>17.184899999999999</v>
      </c>
      <c r="L29" s="15">
        <v>3125.685614</v>
      </c>
      <c r="M29" s="15">
        <v>0</v>
      </c>
      <c r="N29" s="15">
        <v>0</v>
      </c>
      <c r="O29" s="15">
        <v>0</v>
      </c>
    </row>
    <row r="30" spans="1:15" x14ac:dyDescent="0.35">
      <c r="A30" s="15">
        <v>11</v>
      </c>
      <c r="B30" s="15" t="s">
        <v>9719</v>
      </c>
      <c r="C30" s="15" t="s">
        <v>10628</v>
      </c>
      <c r="D30" s="15" t="s">
        <v>10629</v>
      </c>
      <c r="E30" s="15" t="s">
        <v>10574</v>
      </c>
      <c r="F30" s="72" t="s">
        <v>9780</v>
      </c>
      <c r="G30" s="72" t="s">
        <v>9780</v>
      </c>
      <c r="H30" s="72" t="s">
        <v>9780</v>
      </c>
      <c r="I30" s="72">
        <v>189318</v>
      </c>
      <c r="J30" s="15">
        <v>705.73020257589803</v>
      </c>
      <c r="K30" s="15">
        <v>198.69319999999999</v>
      </c>
      <c r="L30" s="15">
        <v>705.73020257589803</v>
      </c>
      <c r="M30" s="15">
        <v>0</v>
      </c>
      <c r="N30" s="15">
        <v>0</v>
      </c>
      <c r="O30" s="15">
        <v>0</v>
      </c>
    </row>
    <row r="31" spans="1:15" s="6" customFormat="1" x14ac:dyDescent="0.35">
      <c r="A31" s="15">
        <v>11</v>
      </c>
      <c r="B31" s="15" t="s">
        <v>9719</v>
      </c>
      <c r="C31" s="15" t="s">
        <v>10630</v>
      </c>
      <c r="D31" s="15" t="s">
        <v>10629</v>
      </c>
      <c r="E31" s="15" t="s">
        <v>10631</v>
      </c>
      <c r="F31" s="72" t="s">
        <v>10576</v>
      </c>
      <c r="G31" s="72" t="s">
        <v>10577</v>
      </c>
      <c r="H31" s="72" t="s">
        <v>10584</v>
      </c>
      <c r="I31" s="72">
        <v>16718</v>
      </c>
      <c r="J31" s="15">
        <v>3066.0700740000002</v>
      </c>
      <c r="K31" s="15">
        <v>17.5459</v>
      </c>
      <c r="L31" s="15">
        <v>3066.0700740000002</v>
      </c>
      <c r="M31" s="15">
        <v>0</v>
      </c>
      <c r="N31" s="15">
        <v>0</v>
      </c>
      <c r="O31" s="15">
        <v>0</v>
      </c>
    </row>
    <row r="32" spans="1:15" x14ac:dyDescent="0.35">
      <c r="A32" s="15">
        <v>11</v>
      </c>
      <c r="B32" s="15" t="s">
        <v>9719</v>
      </c>
      <c r="C32" s="15" t="s">
        <v>10632</v>
      </c>
      <c r="D32" s="15" t="s">
        <v>10629</v>
      </c>
      <c r="E32" s="15" t="s">
        <v>10633</v>
      </c>
      <c r="F32" s="72" t="s">
        <v>10576</v>
      </c>
      <c r="G32" s="72" t="s">
        <v>10577</v>
      </c>
      <c r="H32" s="72" t="s">
        <v>10577</v>
      </c>
      <c r="I32" s="72">
        <v>172600</v>
      </c>
      <c r="J32" s="15">
        <v>477.108040666666</v>
      </c>
      <c r="K32" s="15">
        <v>181.1473</v>
      </c>
      <c r="L32" s="15">
        <v>477.108040666666</v>
      </c>
      <c r="M32" s="15">
        <v>0</v>
      </c>
      <c r="N32" s="15">
        <v>0</v>
      </c>
      <c r="O32" s="15">
        <v>0</v>
      </c>
    </row>
    <row r="33" spans="1:15" x14ac:dyDescent="0.35">
      <c r="A33" s="15">
        <v>12</v>
      </c>
      <c r="B33" s="15" t="s">
        <v>9719</v>
      </c>
      <c r="C33" s="15" t="s">
        <v>10634</v>
      </c>
      <c r="D33" s="15" t="s">
        <v>10635</v>
      </c>
      <c r="E33" s="15" t="s">
        <v>10574</v>
      </c>
      <c r="F33" s="72" t="s">
        <v>9780</v>
      </c>
      <c r="G33" s="72" t="s">
        <v>9780</v>
      </c>
      <c r="H33" s="72" t="s">
        <v>9780</v>
      </c>
      <c r="I33" s="72">
        <v>189318</v>
      </c>
      <c r="J33" s="15">
        <v>708.12978316196302</v>
      </c>
      <c r="K33" s="15">
        <v>198.69319999999999</v>
      </c>
      <c r="L33" s="15">
        <v>708.12978316196302</v>
      </c>
      <c r="M33" s="15">
        <v>0</v>
      </c>
      <c r="N33" s="15">
        <v>0</v>
      </c>
      <c r="O33" s="15">
        <v>0</v>
      </c>
    </row>
    <row r="34" spans="1:15" x14ac:dyDescent="0.35">
      <c r="A34" s="15">
        <v>12</v>
      </c>
      <c r="B34" s="15" t="s">
        <v>9719</v>
      </c>
      <c r="C34" s="15" t="s">
        <v>10636</v>
      </c>
      <c r="D34" s="15" t="s">
        <v>10635</v>
      </c>
      <c r="E34" s="15" t="s">
        <v>10637</v>
      </c>
      <c r="F34" s="72" t="s">
        <v>10576</v>
      </c>
      <c r="G34" s="72" t="s">
        <v>10577</v>
      </c>
      <c r="H34" s="72" t="s">
        <v>10584</v>
      </c>
      <c r="I34" s="72">
        <v>186688</v>
      </c>
      <c r="J34" s="15">
        <v>453.57290666666597</v>
      </c>
      <c r="K34" s="15">
        <v>195.93299999999999</v>
      </c>
      <c r="L34" s="15">
        <v>453.57290666666597</v>
      </c>
      <c r="M34" s="15">
        <v>0</v>
      </c>
      <c r="N34" s="15">
        <v>0</v>
      </c>
      <c r="O34" s="15">
        <v>0</v>
      </c>
    </row>
    <row r="35" spans="1:15" x14ac:dyDescent="0.35">
      <c r="A35" s="15">
        <v>12</v>
      </c>
      <c r="B35" s="15" t="s">
        <v>9719</v>
      </c>
      <c r="C35" s="15" t="s">
        <v>10638</v>
      </c>
      <c r="D35" s="15" t="s">
        <v>10635</v>
      </c>
      <c r="E35" s="15" t="s">
        <v>10639</v>
      </c>
      <c r="F35" s="72" t="s">
        <v>10576</v>
      </c>
      <c r="G35" s="72" t="s">
        <v>10577</v>
      </c>
      <c r="H35" s="72" t="s">
        <v>10577</v>
      </c>
      <c r="I35" s="72">
        <v>2630</v>
      </c>
      <c r="J35" s="15">
        <v>18777.868382666598</v>
      </c>
      <c r="K35" s="15">
        <v>2.7602000000000002</v>
      </c>
      <c r="L35" s="15">
        <v>18777.868382666598</v>
      </c>
      <c r="M35" s="15">
        <v>0</v>
      </c>
      <c r="N35" s="15">
        <v>0</v>
      </c>
      <c r="O35" s="15">
        <v>0</v>
      </c>
    </row>
    <row r="36" spans="1:15" s="6" customFormat="1" x14ac:dyDescent="0.35">
      <c r="A36" s="15">
        <v>13</v>
      </c>
      <c r="B36" s="15" t="s">
        <v>9719</v>
      </c>
      <c r="C36" s="15" t="s">
        <v>10640</v>
      </c>
      <c r="D36" s="15" t="s">
        <v>10641</v>
      </c>
      <c r="E36" s="15" t="s">
        <v>10574</v>
      </c>
      <c r="F36" s="72" t="s">
        <v>9780</v>
      </c>
      <c r="G36" s="72" t="s">
        <v>9780</v>
      </c>
      <c r="H36" s="72" t="s">
        <v>9780</v>
      </c>
      <c r="I36" s="72">
        <v>189318</v>
      </c>
      <c r="J36" s="15">
        <v>724.40853770283798</v>
      </c>
      <c r="K36" s="15">
        <v>198.69319999999999</v>
      </c>
      <c r="L36" s="15">
        <v>724.40853770283798</v>
      </c>
      <c r="M36" s="15">
        <v>0</v>
      </c>
      <c r="N36" s="15">
        <v>0</v>
      </c>
      <c r="O36" s="15">
        <v>0</v>
      </c>
    </row>
    <row r="37" spans="1:15" x14ac:dyDescent="0.35">
      <c r="A37" s="15">
        <v>13</v>
      </c>
      <c r="B37" s="15" t="s">
        <v>9719</v>
      </c>
      <c r="C37" s="15" t="s">
        <v>10642</v>
      </c>
      <c r="D37" s="15" t="s">
        <v>10641</v>
      </c>
      <c r="E37" s="15" t="s">
        <v>10643</v>
      </c>
      <c r="F37" s="72" t="s">
        <v>10576</v>
      </c>
      <c r="G37" s="72" t="s">
        <v>10577</v>
      </c>
      <c r="H37" s="72" t="s">
        <v>10584</v>
      </c>
      <c r="I37" s="72">
        <v>185259</v>
      </c>
      <c r="J37" s="15">
        <v>455.769768</v>
      </c>
      <c r="K37" s="15">
        <v>194.4332</v>
      </c>
      <c r="L37" s="15">
        <v>455.769768</v>
      </c>
      <c r="M37" s="15">
        <v>0</v>
      </c>
      <c r="N37" s="15">
        <v>0</v>
      </c>
      <c r="O37" s="15">
        <v>0</v>
      </c>
    </row>
    <row r="38" spans="1:15" s="6" customFormat="1" x14ac:dyDescent="0.35">
      <c r="A38" s="15">
        <v>13</v>
      </c>
      <c r="B38" s="15" t="s">
        <v>9719</v>
      </c>
      <c r="C38" s="15" t="s">
        <v>10644</v>
      </c>
      <c r="D38" s="15" t="s">
        <v>10641</v>
      </c>
      <c r="E38" s="15" t="s">
        <v>10645</v>
      </c>
      <c r="F38" s="72" t="s">
        <v>10576</v>
      </c>
      <c r="G38" s="72" t="s">
        <v>10577</v>
      </c>
      <c r="H38" s="72" t="s">
        <v>10587</v>
      </c>
      <c r="I38" s="72">
        <v>4059</v>
      </c>
      <c r="J38" s="15">
        <v>12985.5108</v>
      </c>
      <c r="K38" s="15">
        <v>4.26</v>
      </c>
      <c r="L38" s="15">
        <v>12985.5108</v>
      </c>
      <c r="M38" s="15">
        <v>0</v>
      </c>
      <c r="N38" s="15">
        <v>0</v>
      </c>
      <c r="O38" s="15">
        <v>0</v>
      </c>
    </row>
    <row r="39" spans="1:15" x14ac:dyDescent="0.35">
      <c r="A39" s="15">
        <v>14</v>
      </c>
      <c r="B39" s="15" t="s">
        <v>9719</v>
      </c>
      <c r="C39" s="15" t="s">
        <v>10646</v>
      </c>
      <c r="D39" s="15" t="s">
        <v>10647</v>
      </c>
      <c r="E39" s="15" t="s">
        <v>10574</v>
      </c>
      <c r="F39" s="72" t="s">
        <v>9780</v>
      </c>
      <c r="G39" s="72" t="s">
        <v>9780</v>
      </c>
      <c r="H39" s="72" t="s">
        <v>9780</v>
      </c>
      <c r="I39" s="72">
        <v>189318</v>
      </c>
      <c r="J39" s="15">
        <v>725.78406089804605</v>
      </c>
      <c r="K39" s="15">
        <v>198.69319999999999</v>
      </c>
      <c r="L39" s="15">
        <v>725.78406089804605</v>
      </c>
      <c r="M39" s="15">
        <v>0</v>
      </c>
      <c r="N39" s="15">
        <v>0</v>
      </c>
      <c r="O39" s="15">
        <v>0</v>
      </c>
    </row>
    <row r="40" spans="1:15" x14ac:dyDescent="0.35">
      <c r="A40" s="15">
        <v>14</v>
      </c>
      <c r="B40" s="15" t="s">
        <v>9719</v>
      </c>
      <c r="C40" s="15" t="s">
        <v>10648</v>
      </c>
      <c r="D40" s="15" t="s">
        <v>10647</v>
      </c>
      <c r="E40" s="15" t="s">
        <v>10649</v>
      </c>
      <c r="F40" s="72" t="s">
        <v>10576</v>
      </c>
      <c r="G40" s="72" t="s">
        <v>10577</v>
      </c>
      <c r="H40" s="72" t="s">
        <v>10584</v>
      </c>
      <c r="I40" s="72">
        <v>160838</v>
      </c>
      <c r="J40" s="15">
        <v>498.791584</v>
      </c>
      <c r="K40" s="15">
        <v>168.80279999999999</v>
      </c>
      <c r="L40" s="15">
        <v>498.791584</v>
      </c>
      <c r="M40" s="15">
        <v>0</v>
      </c>
      <c r="N40" s="15">
        <v>0</v>
      </c>
      <c r="O40" s="15">
        <v>0</v>
      </c>
    </row>
    <row r="41" spans="1:15" x14ac:dyDescent="0.35">
      <c r="A41" s="15">
        <v>14</v>
      </c>
      <c r="B41" s="15" t="s">
        <v>9719</v>
      </c>
      <c r="C41" s="15" t="s">
        <v>10650</v>
      </c>
      <c r="D41" s="15" t="s">
        <v>10647</v>
      </c>
      <c r="E41" s="15" t="s">
        <v>10651</v>
      </c>
      <c r="F41" s="72" t="s">
        <v>10576</v>
      </c>
      <c r="G41" s="72" t="s">
        <v>10577</v>
      </c>
      <c r="H41" s="72" t="s">
        <v>10652</v>
      </c>
      <c r="I41" s="72">
        <v>28480</v>
      </c>
      <c r="J41" s="15">
        <v>2007.69951466666</v>
      </c>
      <c r="K41" s="15">
        <v>29.8904</v>
      </c>
      <c r="L41" s="15">
        <v>2007.69951466666</v>
      </c>
      <c r="M41" s="15">
        <v>0</v>
      </c>
      <c r="N41" s="15">
        <v>0</v>
      </c>
      <c r="O41" s="15">
        <v>0</v>
      </c>
    </row>
    <row r="42" spans="1:15" x14ac:dyDescent="0.35">
      <c r="A42" s="15">
        <v>15</v>
      </c>
      <c r="B42" s="15" t="s">
        <v>9719</v>
      </c>
      <c r="C42" s="15" t="s">
        <v>10653</v>
      </c>
      <c r="D42" s="15" t="s">
        <v>10654</v>
      </c>
      <c r="E42" s="15" t="s">
        <v>10574</v>
      </c>
      <c r="F42" s="72" t="s">
        <v>9780</v>
      </c>
      <c r="G42" s="72" t="s">
        <v>9780</v>
      </c>
      <c r="H42" s="72" t="s">
        <v>9780</v>
      </c>
      <c r="I42" s="72">
        <v>189318</v>
      </c>
      <c r="J42" s="15">
        <v>726.80751454580695</v>
      </c>
      <c r="K42" s="15">
        <v>198.69319999999999</v>
      </c>
      <c r="L42" s="15">
        <v>726.80751454580695</v>
      </c>
      <c r="M42" s="15">
        <v>0</v>
      </c>
      <c r="N42" s="15">
        <v>0</v>
      </c>
      <c r="O42" s="15">
        <v>0</v>
      </c>
    </row>
    <row r="43" spans="1:15" x14ac:dyDescent="0.35">
      <c r="A43" s="15">
        <v>15</v>
      </c>
      <c r="B43" s="15" t="s">
        <v>9719</v>
      </c>
      <c r="C43" s="15" t="s">
        <v>10655</v>
      </c>
      <c r="D43" s="15" t="s">
        <v>10654</v>
      </c>
      <c r="E43" s="15" t="s">
        <v>10656</v>
      </c>
      <c r="F43" s="72" t="s">
        <v>10576</v>
      </c>
      <c r="G43" s="72" t="s">
        <v>10577</v>
      </c>
      <c r="H43" s="72" t="s">
        <v>10584</v>
      </c>
      <c r="I43" s="72">
        <v>32864</v>
      </c>
      <c r="J43" s="15">
        <v>1767.2618600000001</v>
      </c>
      <c r="K43" s="15">
        <v>34.491399999999999</v>
      </c>
      <c r="L43" s="15">
        <v>1767.2618600000001</v>
      </c>
      <c r="M43" s="15">
        <v>0</v>
      </c>
      <c r="N43" s="15">
        <v>0</v>
      </c>
      <c r="O43" s="15">
        <v>0</v>
      </c>
    </row>
    <row r="44" spans="1:15" x14ac:dyDescent="0.35">
      <c r="A44" s="15">
        <v>15</v>
      </c>
      <c r="B44" s="15" t="s">
        <v>9719</v>
      </c>
      <c r="C44" s="15" t="s">
        <v>10657</v>
      </c>
      <c r="D44" s="15" t="s">
        <v>10654</v>
      </c>
      <c r="E44" s="15" t="s">
        <v>10658</v>
      </c>
      <c r="F44" s="72" t="s">
        <v>10576</v>
      </c>
      <c r="G44" s="72" t="s">
        <v>10577</v>
      </c>
      <c r="H44" s="72" t="s">
        <v>10587</v>
      </c>
      <c r="I44" s="72">
        <v>156454</v>
      </c>
      <c r="J44" s="15">
        <v>508.25493466666597</v>
      </c>
      <c r="K44" s="15">
        <v>164.20179999999999</v>
      </c>
      <c r="L44" s="15">
        <v>508.25493466666597</v>
      </c>
      <c r="M44" s="15">
        <v>0</v>
      </c>
      <c r="N44" s="15">
        <v>0</v>
      </c>
      <c r="O44" s="15">
        <v>0</v>
      </c>
    </row>
    <row r="45" spans="1:15" x14ac:dyDescent="0.35">
      <c r="A45" s="15">
        <v>16</v>
      </c>
      <c r="B45" s="15" t="s">
        <v>9719</v>
      </c>
      <c r="C45" s="15" t="s">
        <v>10659</v>
      </c>
      <c r="D45" s="15" t="s">
        <v>10660</v>
      </c>
      <c r="E45" s="15" t="s">
        <v>10574</v>
      </c>
      <c r="F45" s="72" t="s">
        <v>9780</v>
      </c>
      <c r="G45" s="72" t="s">
        <v>9780</v>
      </c>
      <c r="H45" s="72" t="s">
        <v>9780</v>
      </c>
      <c r="I45" s="72">
        <v>189318</v>
      </c>
      <c r="J45" s="15">
        <v>727.09531222190299</v>
      </c>
      <c r="K45" s="15">
        <v>198.69319999999999</v>
      </c>
      <c r="L45" s="15">
        <v>727.09531222190299</v>
      </c>
      <c r="M45" s="15">
        <v>0</v>
      </c>
      <c r="N45" s="15">
        <v>0</v>
      </c>
      <c r="O45" s="15">
        <v>0</v>
      </c>
    </row>
    <row r="46" spans="1:15" x14ac:dyDescent="0.35">
      <c r="A46" s="15">
        <v>16</v>
      </c>
      <c r="B46" s="15" t="s">
        <v>9719</v>
      </c>
      <c r="C46" s="15" t="s">
        <v>10661</v>
      </c>
      <c r="D46" s="15" t="s">
        <v>10660</v>
      </c>
      <c r="E46" s="15" t="s">
        <v>10662</v>
      </c>
      <c r="F46" s="72" t="s">
        <v>10576</v>
      </c>
      <c r="G46" s="72" t="s">
        <v>10577</v>
      </c>
      <c r="H46" s="72" t="s">
        <v>10584</v>
      </c>
      <c r="I46" s="72">
        <v>156779</v>
      </c>
      <c r="J46" s="15">
        <v>507.54792800000001</v>
      </c>
      <c r="K46" s="15">
        <v>164.5428</v>
      </c>
      <c r="L46" s="15">
        <v>507.54792800000001</v>
      </c>
      <c r="M46" s="15">
        <v>0</v>
      </c>
      <c r="N46" s="15">
        <v>0</v>
      </c>
      <c r="O46" s="15">
        <v>0</v>
      </c>
    </row>
    <row r="47" spans="1:15" s="6" customFormat="1" x14ac:dyDescent="0.35">
      <c r="A47" s="15">
        <v>16</v>
      </c>
      <c r="B47" s="15" t="s">
        <v>9719</v>
      </c>
      <c r="C47" s="15" t="s">
        <v>10663</v>
      </c>
      <c r="D47" s="15" t="s">
        <v>10660</v>
      </c>
      <c r="E47" s="15" t="s">
        <v>10664</v>
      </c>
      <c r="F47" s="72" t="s">
        <v>10576</v>
      </c>
      <c r="G47" s="72" t="s">
        <v>10577</v>
      </c>
      <c r="H47" s="72" t="s">
        <v>10587</v>
      </c>
      <c r="I47" s="72">
        <v>32539</v>
      </c>
      <c r="J47" s="15">
        <v>1784.9142933333301</v>
      </c>
      <c r="K47" s="15">
        <v>34.150399999999998</v>
      </c>
      <c r="L47" s="15">
        <v>1784.9142933333301</v>
      </c>
      <c r="M47" s="15">
        <v>0</v>
      </c>
      <c r="N47" s="15">
        <v>0</v>
      </c>
      <c r="O47" s="15">
        <v>0</v>
      </c>
    </row>
    <row r="48" spans="1:15" x14ac:dyDescent="0.35">
      <c r="A48" s="15">
        <v>17</v>
      </c>
      <c r="B48" s="15" t="s">
        <v>9719</v>
      </c>
      <c r="C48" s="15" t="s">
        <v>10665</v>
      </c>
      <c r="D48" s="15" t="s">
        <v>10666</v>
      </c>
      <c r="E48" s="15" t="s">
        <v>10574</v>
      </c>
      <c r="F48" s="72" t="s">
        <v>9780</v>
      </c>
      <c r="G48" s="72" t="s">
        <v>9780</v>
      </c>
      <c r="H48" s="72" t="s">
        <v>9780</v>
      </c>
      <c r="I48" s="72">
        <v>189318</v>
      </c>
      <c r="J48" s="15">
        <v>727.13607789914204</v>
      </c>
      <c r="K48" s="15">
        <v>198.69319999999999</v>
      </c>
      <c r="L48" s="15">
        <v>727.13607789914204</v>
      </c>
      <c r="M48" s="15">
        <v>0</v>
      </c>
      <c r="N48" s="15">
        <v>0</v>
      </c>
      <c r="O48" s="15">
        <v>0</v>
      </c>
    </row>
    <row r="49" spans="1:15" x14ac:dyDescent="0.35">
      <c r="A49" s="15">
        <v>17</v>
      </c>
      <c r="B49" s="15" t="s">
        <v>9719</v>
      </c>
      <c r="C49" s="15" t="s">
        <v>10667</v>
      </c>
      <c r="D49" s="15" t="s">
        <v>10666</v>
      </c>
      <c r="E49" s="15" t="s">
        <v>10668</v>
      </c>
      <c r="F49" s="72" t="s">
        <v>10576</v>
      </c>
      <c r="G49" s="72" t="s">
        <v>10577</v>
      </c>
      <c r="H49" s="72" t="s">
        <v>10584</v>
      </c>
      <c r="I49" s="72">
        <v>34293</v>
      </c>
      <c r="J49" s="15">
        <v>1702.5540693333301</v>
      </c>
      <c r="K49" s="15">
        <v>35.991199999999999</v>
      </c>
      <c r="L49" s="15">
        <v>1702.5540693333301</v>
      </c>
      <c r="M49" s="15">
        <v>0</v>
      </c>
      <c r="N49" s="15">
        <v>0</v>
      </c>
      <c r="O49" s="15">
        <v>0</v>
      </c>
    </row>
    <row r="50" spans="1:15" x14ac:dyDescent="0.35">
      <c r="A50" s="15">
        <v>17</v>
      </c>
      <c r="B50" s="15" t="s">
        <v>9719</v>
      </c>
      <c r="C50" s="15" t="s">
        <v>10669</v>
      </c>
      <c r="D50" s="15" t="s">
        <v>10666</v>
      </c>
      <c r="E50" s="15" t="s">
        <v>10670</v>
      </c>
      <c r="F50" s="72" t="s">
        <v>10576</v>
      </c>
      <c r="G50" s="72" t="s">
        <v>10577</v>
      </c>
      <c r="H50" s="72" t="s">
        <v>10578</v>
      </c>
      <c r="I50" s="72">
        <v>155025</v>
      </c>
      <c r="J50" s="15">
        <v>511.364519999999</v>
      </c>
      <c r="K50" s="15">
        <v>162.702</v>
      </c>
      <c r="L50" s="15">
        <v>511.364519999999</v>
      </c>
      <c r="M50" s="15">
        <v>0</v>
      </c>
      <c r="N50" s="15">
        <v>0</v>
      </c>
      <c r="O50" s="15">
        <v>0</v>
      </c>
    </row>
    <row r="51" spans="1:15" x14ac:dyDescent="0.35">
      <c r="A51" s="15">
        <v>18</v>
      </c>
      <c r="B51" s="15" t="s">
        <v>9719</v>
      </c>
      <c r="C51" s="15" t="s">
        <v>10671</v>
      </c>
      <c r="D51" s="15" t="s">
        <v>10672</v>
      </c>
      <c r="E51" s="15" t="s">
        <v>10574</v>
      </c>
      <c r="F51" s="72" t="s">
        <v>9780</v>
      </c>
      <c r="G51" s="72" t="s">
        <v>9780</v>
      </c>
      <c r="H51" s="72" t="s">
        <v>9780</v>
      </c>
      <c r="I51" s="72">
        <v>189318</v>
      </c>
      <c r="J51" s="15">
        <v>727.14416382232798</v>
      </c>
      <c r="K51" s="15">
        <v>198.69319999999999</v>
      </c>
      <c r="L51" s="15">
        <v>727.14416382232798</v>
      </c>
      <c r="M51" s="15">
        <v>0</v>
      </c>
      <c r="N51" s="15">
        <v>0</v>
      </c>
      <c r="O51" s="15">
        <v>0</v>
      </c>
    </row>
    <row r="52" spans="1:15" x14ac:dyDescent="0.35">
      <c r="A52" s="15">
        <v>18</v>
      </c>
      <c r="B52" s="15" t="s">
        <v>9719</v>
      </c>
      <c r="C52" s="15" t="s">
        <v>10673</v>
      </c>
      <c r="D52" s="15" t="s">
        <v>10672</v>
      </c>
      <c r="E52" s="15" t="s">
        <v>10674</v>
      </c>
      <c r="F52" s="72" t="s">
        <v>10576</v>
      </c>
      <c r="G52" s="72" t="s">
        <v>10577</v>
      </c>
      <c r="H52" s="72" t="s">
        <v>10584</v>
      </c>
      <c r="I52" s="72">
        <v>159409</v>
      </c>
      <c r="J52" s="15">
        <v>501.87117333333299</v>
      </c>
      <c r="K52" s="15">
        <v>167.303</v>
      </c>
      <c r="L52" s="15">
        <v>501.87117333333299</v>
      </c>
      <c r="M52" s="15">
        <v>0</v>
      </c>
      <c r="N52" s="15">
        <v>0</v>
      </c>
      <c r="O52" s="15">
        <v>0</v>
      </c>
    </row>
    <row r="53" spans="1:15" x14ac:dyDescent="0.35">
      <c r="A53" s="15">
        <v>18</v>
      </c>
      <c r="B53" s="15" t="s">
        <v>9719</v>
      </c>
      <c r="C53" s="15" t="s">
        <v>10675</v>
      </c>
      <c r="D53" s="15" t="s">
        <v>10672</v>
      </c>
      <c r="E53" s="15" t="s">
        <v>10676</v>
      </c>
      <c r="F53" s="72" t="s">
        <v>10576</v>
      </c>
      <c r="G53" s="72" t="s">
        <v>10577</v>
      </c>
      <c r="H53" s="72" t="s">
        <v>10587</v>
      </c>
      <c r="I53" s="72">
        <v>29909</v>
      </c>
      <c r="J53" s="15">
        <v>1927.80064666666</v>
      </c>
      <c r="K53" s="15">
        <v>31.3902</v>
      </c>
      <c r="L53" s="15">
        <v>1927.80064666666</v>
      </c>
      <c r="M53" s="15">
        <v>0</v>
      </c>
      <c r="N53" s="15">
        <v>0</v>
      </c>
      <c r="O53" s="15">
        <v>0</v>
      </c>
    </row>
    <row r="54" spans="1:15" x14ac:dyDescent="0.35">
      <c r="A54" s="15">
        <v>19</v>
      </c>
      <c r="B54" s="15" t="s">
        <v>9719</v>
      </c>
      <c r="C54" s="15" t="s">
        <v>10677</v>
      </c>
      <c r="D54" s="15" t="s">
        <v>10678</v>
      </c>
      <c r="E54" s="15" t="s">
        <v>10574</v>
      </c>
      <c r="F54" s="72" t="s">
        <v>9780</v>
      </c>
      <c r="G54" s="72" t="s">
        <v>9780</v>
      </c>
      <c r="H54" s="72" t="s">
        <v>9780</v>
      </c>
      <c r="I54" s="72">
        <v>189318</v>
      </c>
      <c r="J54" s="15">
        <v>727.36064644005205</v>
      </c>
      <c r="K54" s="15">
        <v>198.69319999999999</v>
      </c>
      <c r="L54" s="15">
        <v>727.36064644005205</v>
      </c>
      <c r="M54" s="15">
        <v>0</v>
      </c>
      <c r="N54" s="15">
        <v>0</v>
      </c>
      <c r="O54" s="15">
        <v>0</v>
      </c>
    </row>
    <row r="55" spans="1:15" x14ac:dyDescent="0.35">
      <c r="A55" s="15">
        <v>19</v>
      </c>
      <c r="B55" s="15" t="s">
        <v>9719</v>
      </c>
      <c r="C55" s="15" t="s">
        <v>10679</v>
      </c>
      <c r="D55" s="15" t="s">
        <v>10678</v>
      </c>
      <c r="E55" s="15" t="s">
        <v>10680</v>
      </c>
      <c r="F55" s="72" t="s">
        <v>10576</v>
      </c>
      <c r="G55" s="72" t="s">
        <v>10577</v>
      </c>
      <c r="H55" s="72" t="s">
        <v>10584</v>
      </c>
      <c r="I55" s="72">
        <v>30234</v>
      </c>
      <c r="J55" s="15">
        <v>1910.14821333333</v>
      </c>
      <c r="K55" s="15">
        <v>31.731200000000001</v>
      </c>
      <c r="L55" s="15">
        <v>1910.14821333333</v>
      </c>
      <c r="M55" s="15">
        <v>0</v>
      </c>
      <c r="N55" s="15">
        <v>0</v>
      </c>
      <c r="O55" s="15">
        <v>0</v>
      </c>
    </row>
    <row r="56" spans="1:15" s="6" customFormat="1" x14ac:dyDescent="0.35">
      <c r="A56" s="71">
        <v>19</v>
      </c>
      <c r="B56" s="71" t="s">
        <v>9719</v>
      </c>
      <c r="C56" s="71" t="s">
        <v>10681</v>
      </c>
      <c r="D56" s="71" t="s">
        <v>10678</v>
      </c>
      <c r="E56" s="71" t="s">
        <v>10682</v>
      </c>
      <c r="F56" s="73" t="s">
        <v>10576</v>
      </c>
      <c r="G56" s="73" t="s">
        <v>10577</v>
      </c>
      <c r="H56" s="73" t="s">
        <v>10587</v>
      </c>
      <c r="I56" s="73">
        <v>159084</v>
      </c>
      <c r="J56" s="71">
        <v>502.571359999999</v>
      </c>
      <c r="K56" s="71">
        <v>166.96199999999999</v>
      </c>
      <c r="L56" s="71">
        <v>502.571359999999</v>
      </c>
      <c r="M56" s="71">
        <v>0</v>
      </c>
      <c r="N56" s="71">
        <v>0</v>
      </c>
      <c r="O56" s="71">
        <v>0</v>
      </c>
    </row>
    <row r="57" spans="1:15" x14ac:dyDescent="0.35">
      <c r="A57" s="15">
        <v>20</v>
      </c>
      <c r="B57" s="15" t="s">
        <v>9719</v>
      </c>
      <c r="C57" s="15" t="s">
        <v>10683</v>
      </c>
      <c r="D57" s="15" t="s">
        <v>10684</v>
      </c>
      <c r="E57" s="15" t="s">
        <v>10574</v>
      </c>
      <c r="F57" s="72" t="s">
        <v>9780</v>
      </c>
      <c r="G57" s="72" t="s">
        <v>9780</v>
      </c>
      <c r="H57" s="72" t="s">
        <v>9780</v>
      </c>
      <c r="I57" s="72">
        <v>189318</v>
      </c>
      <c r="J57" s="15">
        <v>727.56496290603695</v>
      </c>
      <c r="K57" s="15">
        <v>198.69319999999999</v>
      </c>
      <c r="L57" s="15">
        <v>727.56496290603695</v>
      </c>
      <c r="M57" s="15">
        <v>0</v>
      </c>
      <c r="N57" s="15">
        <v>0</v>
      </c>
      <c r="O57" s="15">
        <v>0</v>
      </c>
    </row>
    <row r="58" spans="1:15" x14ac:dyDescent="0.35">
      <c r="A58" s="15">
        <v>20</v>
      </c>
      <c r="B58" s="15" t="s">
        <v>9719</v>
      </c>
      <c r="C58" s="15" t="s">
        <v>10685</v>
      </c>
      <c r="D58" s="15" t="s">
        <v>10684</v>
      </c>
      <c r="E58" s="15" t="s">
        <v>10686</v>
      </c>
      <c r="F58" s="72" t="s">
        <v>10576</v>
      </c>
      <c r="G58" s="72" t="s">
        <v>10577</v>
      </c>
      <c r="H58" s="72" t="s">
        <v>10584</v>
      </c>
      <c r="I58" s="72">
        <v>31663</v>
      </c>
      <c r="J58" s="15">
        <v>1832.50856666666</v>
      </c>
      <c r="K58" s="15">
        <v>33.231000000000002</v>
      </c>
      <c r="L58" s="15">
        <v>1832.50856666666</v>
      </c>
      <c r="M58" s="15">
        <v>0</v>
      </c>
      <c r="N58" s="15">
        <v>0</v>
      </c>
      <c r="O58" s="15">
        <v>0</v>
      </c>
    </row>
    <row r="59" spans="1:15" x14ac:dyDescent="0.35">
      <c r="A59" s="15">
        <v>20</v>
      </c>
      <c r="B59" s="15" t="s">
        <v>9719</v>
      </c>
      <c r="C59" s="15" t="s">
        <v>10687</v>
      </c>
      <c r="D59" s="15" t="s">
        <v>10684</v>
      </c>
      <c r="E59" s="15" t="s">
        <v>10688</v>
      </c>
      <c r="F59" s="72" t="s">
        <v>10576</v>
      </c>
      <c r="G59" s="72" t="s">
        <v>10577</v>
      </c>
      <c r="H59" s="72" t="s">
        <v>10577</v>
      </c>
      <c r="I59" s="72">
        <v>157655</v>
      </c>
      <c r="J59" s="15">
        <v>505.65094933333302</v>
      </c>
      <c r="K59" s="15">
        <v>165.4622</v>
      </c>
      <c r="L59" s="15">
        <v>505.65094933333302</v>
      </c>
      <c r="M59" s="15">
        <v>0</v>
      </c>
      <c r="N59" s="15">
        <v>0</v>
      </c>
      <c r="O59" s="15">
        <v>0</v>
      </c>
    </row>
    <row r="60" spans="1:15" x14ac:dyDescent="0.35">
      <c r="A60" s="15">
        <v>21</v>
      </c>
      <c r="B60" s="15" t="s">
        <v>9719</v>
      </c>
      <c r="C60" s="15" t="s">
        <v>10689</v>
      </c>
      <c r="D60" s="15" t="s">
        <v>10690</v>
      </c>
      <c r="E60" s="15" t="s">
        <v>10574</v>
      </c>
      <c r="F60" s="72" t="s">
        <v>9780</v>
      </c>
      <c r="G60" s="72" t="s">
        <v>9780</v>
      </c>
      <c r="H60" s="72" t="s">
        <v>9780</v>
      </c>
      <c r="I60" s="72">
        <v>189318</v>
      </c>
      <c r="J60" s="15">
        <v>727.61315788894296</v>
      </c>
      <c r="K60" s="15">
        <v>198.69319999999999</v>
      </c>
      <c r="L60" s="15">
        <v>727.61315788894296</v>
      </c>
      <c r="M60" s="15">
        <v>0</v>
      </c>
      <c r="N60" s="15">
        <v>0</v>
      </c>
      <c r="O60" s="15">
        <v>0</v>
      </c>
    </row>
    <row r="61" spans="1:15" x14ac:dyDescent="0.35">
      <c r="A61" s="15">
        <v>21</v>
      </c>
      <c r="B61" s="15" t="s">
        <v>9719</v>
      </c>
      <c r="C61" s="15" t="s">
        <v>10691</v>
      </c>
      <c r="D61" s="15" t="s">
        <v>10690</v>
      </c>
      <c r="E61" s="15" t="s">
        <v>10692</v>
      </c>
      <c r="F61" s="72" t="s">
        <v>10576</v>
      </c>
      <c r="G61" s="72" t="s">
        <v>10577</v>
      </c>
      <c r="H61" s="72" t="s">
        <v>10584</v>
      </c>
      <c r="I61" s="72">
        <v>145893</v>
      </c>
      <c r="J61" s="15">
        <v>532.74183866666601</v>
      </c>
      <c r="K61" s="15">
        <v>153.11770000000001</v>
      </c>
      <c r="L61" s="15">
        <v>532.74183866666601</v>
      </c>
      <c r="M61" s="15">
        <v>0</v>
      </c>
      <c r="N61" s="15">
        <v>0</v>
      </c>
      <c r="O61" s="15">
        <v>0</v>
      </c>
    </row>
    <row r="62" spans="1:15" x14ac:dyDescent="0.35">
      <c r="A62" s="15">
        <v>21</v>
      </c>
      <c r="B62" s="15" t="s">
        <v>9719</v>
      </c>
      <c r="C62" s="15" t="s">
        <v>10693</v>
      </c>
      <c r="D62" s="15" t="s">
        <v>10690</v>
      </c>
      <c r="E62" s="15" t="s">
        <v>10694</v>
      </c>
      <c r="F62" s="72" t="s">
        <v>10576</v>
      </c>
      <c r="G62" s="72" t="s">
        <v>10577</v>
      </c>
      <c r="H62" s="72" t="s">
        <v>10576</v>
      </c>
      <c r="I62" s="72">
        <v>43425</v>
      </c>
      <c r="J62" s="15">
        <v>1382.31246333333</v>
      </c>
      <c r="K62" s="15">
        <v>45.575499999999998</v>
      </c>
      <c r="L62" s="15">
        <v>1382.31246333333</v>
      </c>
      <c r="M62" s="15">
        <v>0</v>
      </c>
      <c r="N62" s="15">
        <v>0</v>
      </c>
      <c r="O62" s="15">
        <v>0</v>
      </c>
    </row>
    <row r="63" spans="1:15" x14ac:dyDescent="0.35">
      <c r="A63" s="15">
        <v>22</v>
      </c>
      <c r="B63" s="15" t="s">
        <v>9719</v>
      </c>
      <c r="C63" s="15" t="s">
        <v>10695</v>
      </c>
      <c r="D63" s="15" t="s">
        <v>10696</v>
      </c>
      <c r="E63" s="15" t="s">
        <v>10574</v>
      </c>
      <c r="F63" s="72" t="s">
        <v>9780</v>
      </c>
      <c r="G63" s="72" t="s">
        <v>9780</v>
      </c>
      <c r="H63" s="72" t="s">
        <v>9780</v>
      </c>
      <c r="I63" s="72">
        <v>189318</v>
      </c>
      <c r="J63" s="15">
        <v>727.63043702413302</v>
      </c>
      <c r="K63" s="15">
        <v>198.69319999999999</v>
      </c>
      <c r="L63" s="15">
        <v>727.63043702413302</v>
      </c>
      <c r="M63" s="15">
        <v>0</v>
      </c>
      <c r="N63" s="15">
        <v>0</v>
      </c>
      <c r="O63" s="15">
        <v>0</v>
      </c>
    </row>
    <row r="64" spans="1:15" x14ac:dyDescent="0.35">
      <c r="A64" s="15">
        <v>22</v>
      </c>
      <c r="B64" s="15" t="s">
        <v>9719</v>
      </c>
      <c r="C64" s="15" t="s">
        <v>10697</v>
      </c>
      <c r="D64" s="15" t="s">
        <v>10696</v>
      </c>
      <c r="E64" s="15" t="s">
        <v>10698</v>
      </c>
      <c r="F64" s="72" t="s">
        <v>10576</v>
      </c>
      <c r="G64" s="72" t="s">
        <v>10577</v>
      </c>
      <c r="H64" s="72" t="s">
        <v>10584</v>
      </c>
      <c r="I64" s="72">
        <v>158208</v>
      </c>
      <c r="J64" s="15">
        <v>504.45919466666601</v>
      </c>
      <c r="K64" s="15">
        <v>166.04259999999999</v>
      </c>
      <c r="L64" s="15">
        <v>504.45919466666601</v>
      </c>
      <c r="M64" s="15">
        <v>0</v>
      </c>
      <c r="N64" s="15">
        <v>0</v>
      </c>
      <c r="O64" s="15">
        <v>0</v>
      </c>
    </row>
    <row r="65" spans="1:15" x14ac:dyDescent="0.35">
      <c r="A65" s="15">
        <v>22</v>
      </c>
      <c r="B65" s="15" t="s">
        <v>9719</v>
      </c>
      <c r="C65" s="15" t="s">
        <v>10699</v>
      </c>
      <c r="D65" s="15" t="s">
        <v>10696</v>
      </c>
      <c r="E65" s="15" t="s">
        <v>10700</v>
      </c>
      <c r="F65" s="72" t="s">
        <v>10576</v>
      </c>
      <c r="G65" s="72" t="s">
        <v>10577</v>
      </c>
      <c r="H65" s="72" t="s">
        <v>10577</v>
      </c>
      <c r="I65" s="72">
        <v>31110</v>
      </c>
      <c r="J65" s="15">
        <v>1862.55394</v>
      </c>
      <c r="K65" s="15">
        <v>32.650599999999997</v>
      </c>
      <c r="L65" s="15">
        <v>1862.55394</v>
      </c>
      <c r="M65" s="15">
        <v>0</v>
      </c>
      <c r="N65" s="15">
        <v>0</v>
      </c>
      <c r="O65" s="15">
        <v>0</v>
      </c>
    </row>
    <row r="66" spans="1:15" x14ac:dyDescent="0.35">
      <c r="A66" s="15">
        <v>23</v>
      </c>
      <c r="B66" s="15" t="s">
        <v>9719</v>
      </c>
      <c r="C66" s="15" t="s">
        <v>10701</v>
      </c>
      <c r="D66" s="15" t="s">
        <v>10702</v>
      </c>
      <c r="E66" s="15" t="s">
        <v>10574</v>
      </c>
      <c r="F66" s="72" t="s">
        <v>9780</v>
      </c>
      <c r="G66" s="72" t="s">
        <v>9780</v>
      </c>
      <c r="H66" s="72" t="s">
        <v>9780</v>
      </c>
      <c r="I66" s="72">
        <v>189318</v>
      </c>
      <c r="J66" s="15">
        <v>727.65626388007001</v>
      </c>
      <c r="K66" s="15">
        <v>198.69319999999999</v>
      </c>
      <c r="L66" s="15">
        <v>727.65626388007001</v>
      </c>
      <c r="M66" s="15">
        <v>0</v>
      </c>
      <c r="N66" s="15">
        <v>0</v>
      </c>
      <c r="O66" s="15">
        <v>0</v>
      </c>
    </row>
    <row r="67" spans="1:15" x14ac:dyDescent="0.35">
      <c r="A67" s="15">
        <v>23</v>
      </c>
      <c r="B67" s="15" t="s">
        <v>9719</v>
      </c>
      <c r="C67" s="15" t="s">
        <v>10703</v>
      </c>
      <c r="D67" s="15" t="s">
        <v>10702</v>
      </c>
      <c r="E67" s="15" t="s">
        <v>10704</v>
      </c>
      <c r="F67" s="72" t="s">
        <v>10576</v>
      </c>
      <c r="G67" s="72" t="s">
        <v>10577</v>
      </c>
      <c r="H67" s="72" t="s">
        <v>10584</v>
      </c>
      <c r="I67" s="72">
        <v>141834</v>
      </c>
      <c r="J67" s="15">
        <v>542.81954466666605</v>
      </c>
      <c r="K67" s="15">
        <v>148.85769999999999</v>
      </c>
      <c r="L67" s="15">
        <v>542.81954466666605</v>
      </c>
      <c r="M67" s="15">
        <v>0</v>
      </c>
      <c r="N67" s="15">
        <v>0</v>
      </c>
      <c r="O67" s="15">
        <v>0</v>
      </c>
    </row>
    <row r="68" spans="1:15" x14ac:dyDescent="0.35">
      <c r="A68" s="15">
        <v>23</v>
      </c>
      <c r="B68" s="15" t="s">
        <v>9719</v>
      </c>
      <c r="C68" s="15" t="s">
        <v>10705</v>
      </c>
      <c r="D68" s="15" t="s">
        <v>10702</v>
      </c>
      <c r="E68" s="15" t="s">
        <v>10706</v>
      </c>
      <c r="F68" s="72" t="s">
        <v>10576</v>
      </c>
      <c r="G68" s="72" t="s">
        <v>10577</v>
      </c>
      <c r="H68" s="72" t="s">
        <v>10587</v>
      </c>
      <c r="I68" s="72">
        <v>47484</v>
      </c>
      <c r="J68" s="15">
        <v>1279.76006333333</v>
      </c>
      <c r="K68" s="15">
        <v>49.835500000000003</v>
      </c>
      <c r="L68" s="15">
        <v>1279.76006333333</v>
      </c>
      <c r="M68" s="15">
        <v>0</v>
      </c>
      <c r="N68" s="15">
        <v>0</v>
      </c>
      <c r="O68" s="15">
        <v>0</v>
      </c>
    </row>
    <row r="69" spans="1:15" x14ac:dyDescent="0.35">
      <c r="A69" s="15">
        <v>24</v>
      </c>
      <c r="B69" s="15" t="s">
        <v>9719</v>
      </c>
      <c r="C69" s="15" t="s">
        <v>10707</v>
      </c>
      <c r="D69" s="15" t="s">
        <v>10708</v>
      </c>
      <c r="E69" s="15" t="s">
        <v>10574</v>
      </c>
      <c r="F69" s="72" t="s">
        <v>9780</v>
      </c>
      <c r="G69" s="72" t="s">
        <v>9780</v>
      </c>
      <c r="H69" s="72" t="s">
        <v>9780</v>
      </c>
      <c r="I69" s="72">
        <v>189318</v>
      </c>
      <c r="J69" s="15">
        <v>727.68789359615505</v>
      </c>
      <c r="K69" s="15">
        <v>198.69319999999999</v>
      </c>
      <c r="L69" s="15">
        <v>727.68789359615505</v>
      </c>
      <c r="M69" s="15">
        <v>0</v>
      </c>
      <c r="N69" s="15">
        <v>0</v>
      </c>
      <c r="O69" s="15">
        <v>0</v>
      </c>
    </row>
    <row r="70" spans="1:15" x14ac:dyDescent="0.35">
      <c r="A70" s="15">
        <v>24</v>
      </c>
      <c r="B70" s="15" t="s">
        <v>9719</v>
      </c>
      <c r="C70" s="15" t="s">
        <v>10709</v>
      </c>
      <c r="D70" s="15" t="s">
        <v>10708</v>
      </c>
      <c r="E70" s="15" t="s">
        <v>10710</v>
      </c>
      <c r="F70" s="72" t="s">
        <v>10576</v>
      </c>
      <c r="G70" s="72" t="s">
        <v>10577</v>
      </c>
      <c r="H70" s="72" t="s">
        <v>10584</v>
      </c>
      <c r="I70" s="72">
        <v>47828</v>
      </c>
      <c r="J70" s="15">
        <v>1271.8870299999901</v>
      </c>
      <c r="K70" s="15">
        <v>50.1965</v>
      </c>
      <c r="L70" s="15">
        <v>1271.8870299999901</v>
      </c>
      <c r="M70" s="15">
        <v>0</v>
      </c>
      <c r="N70" s="15">
        <v>0</v>
      </c>
      <c r="O70" s="15">
        <v>0</v>
      </c>
    </row>
    <row r="71" spans="1:15" x14ac:dyDescent="0.35">
      <c r="A71" s="15">
        <v>24</v>
      </c>
      <c r="B71" s="15" t="s">
        <v>9719</v>
      </c>
      <c r="C71" s="15" t="s">
        <v>10711</v>
      </c>
      <c r="D71" s="15" t="s">
        <v>10708</v>
      </c>
      <c r="E71" s="15" t="s">
        <v>10712</v>
      </c>
      <c r="F71" s="72" t="s">
        <v>10576</v>
      </c>
      <c r="G71" s="72" t="s">
        <v>10577</v>
      </c>
      <c r="H71" s="72" t="s">
        <v>10576</v>
      </c>
      <c r="I71" s="72">
        <v>141490</v>
      </c>
      <c r="J71" s="15">
        <v>543.731671333333</v>
      </c>
      <c r="K71" s="15">
        <v>148.4967</v>
      </c>
      <c r="L71" s="15">
        <v>543.731671333333</v>
      </c>
      <c r="M71" s="15">
        <v>0</v>
      </c>
      <c r="N71" s="15">
        <v>0</v>
      </c>
      <c r="O71" s="15">
        <v>0</v>
      </c>
    </row>
    <row r="72" spans="1:15" x14ac:dyDescent="0.35">
      <c r="A72" s="15">
        <v>25</v>
      </c>
      <c r="B72" s="15" t="s">
        <v>9719</v>
      </c>
      <c r="C72" s="15" t="s">
        <v>10713</v>
      </c>
      <c r="D72" s="15" t="s">
        <v>10714</v>
      </c>
      <c r="E72" s="15" t="s">
        <v>10574</v>
      </c>
      <c r="F72" s="72" t="s">
        <v>9780</v>
      </c>
      <c r="G72" s="72" t="s">
        <v>9780</v>
      </c>
      <c r="H72" s="72" t="s">
        <v>9780</v>
      </c>
      <c r="I72" s="72">
        <v>189318</v>
      </c>
      <c r="J72" s="15">
        <v>727.78773150140705</v>
      </c>
      <c r="K72" s="15">
        <v>198.69319999999999</v>
      </c>
      <c r="L72" s="15">
        <v>727.78773150140705</v>
      </c>
      <c r="M72" s="15">
        <v>0</v>
      </c>
      <c r="N72" s="15">
        <v>0</v>
      </c>
      <c r="O72" s="15">
        <v>0</v>
      </c>
    </row>
    <row r="73" spans="1:15" s="6" customFormat="1" x14ac:dyDescent="0.35">
      <c r="A73" s="71">
        <v>25</v>
      </c>
      <c r="B73" s="71" t="s">
        <v>9719</v>
      </c>
      <c r="C73" s="71" t="s">
        <v>10715</v>
      </c>
      <c r="D73" s="71" t="s">
        <v>10714</v>
      </c>
      <c r="E73" s="71" t="s">
        <v>10716</v>
      </c>
      <c r="F73" s="73" t="s">
        <v>10576</v>
      </c>
      <c r="G73" s="73" t="s">
        <v>10577</v>
      </c>
      <c r="H73" s="73" t="s">
        <v>10584</v>
      </c>
      <c r="I73" s="73">
        <v>43769</v>
      </c>
      <c r="J73" s="71">
        <v>1373.6219899999901</v>
      </c>
      <c r="K73" s="71">
        <v>45.936500000000002</v>
      </c>
      <c r="L73" s="71">
        <v>1373.6219899999901</v>
      </c>
      <c r="M73" s="71">
        <v>0</v>
      </c>
      <c r="N73" s="71">
        <v>0</v>
      </c>
      <c r="O73" s="71">
        <v>0</v>
      </c>
    </row>
    <row r="74" spans="1:15" x14ac:dyDescent="0.35">
      <c r="A74" s="15">
        <v>25</v>
      </c>
      <c r="B74" s="15" t="s">
        <v>9719</v>
      </c>
      <c r="C74" s="15" t="s">
        <v>10717</v>
      </c>
      <c r="D74" s="15" t="s">
        <v>10714</v>
      </c>
      <c r="E74" s="15" t="s">
        <v>10718</v>
      </c>
      <c r="F74" s="72" t="s">
        <v>10576</v>
      </c>
      <c r="G74" s="72" t="s">
        <v>10577</v>
      </c>
      <c r="H74" s="72" t="s">
        <v>10587</v>
      </c>
      <c r="I74" s="72">
        <v>145549</v>
      </c>
      <c r="J74" s="15">
        <v>533.57454533333305</v>
      </c>
      <c r="K74" s="15">
        <v>152.7567</v>
      </c>
      <c r="L74" s="15">
        <v>533.57454533333305</v>
      </c>
      <c r="M74" s="15">
        <v>0</v>
      </c>
      <c r="N74" s="15">
        <v>0</v>
      </c>
      <c r="O74" s="15">
        <v>0</v>
      </c>
    </row>
    <row r="75" spans="1:15" x14ac:dyDescent="0.35">
      <c r="A75" s="15">
        <v>26</v>
      </c>
      <c r="B75" s="15" t="s">
        <v>9719</v>
      </c>
      <c r="C75" s="15" t="s">
        <v>10719</v>
      </c>
      <c r="D75" s="15" t="s">
        <v>10720</v>
      </c>
      <c r="E75" s="15" t="s">
        <v>10574</v>
      </c>
      <c r="F75" s="72" t="s">
        <v>9780</v>
      </c>
      <c r="G75" s="72" t="s">
        <v>9780</v>
      </c>
      <c r="H75" s="72" t="s">
        <v>9780</v>
      </c>
      <c r="I75" s="72">
        <v>189318</v>
      </c>
      <c r="J75" s="15">
        <v>727.97928960002798</v>
      </c>
      <c r="K75" s="15">
        <v>198.69319999999999</v>
      </c>
      <c r="L75" s="15">
        <v>727.97928960002798</v>
      </c>
      <c r="M75" s="15">
        <v>0</v>
      </c>
      <c r="N75" s="15">
        <v>0</v>
      </c>
      <c r="O75" s="15">
        <v>0</v>
      </c>
    </row>
    <row r="76" spans="1:15" x14ac:dyDescent="0.35">
      <c r="A76" s="15">
        <v>26</v>
      </c>
      <c r="B76" s="15" t="s">
        <v>9719</v>
      </c>
      <c r="C76" s="15" t="s">
        <v>10721</v>
      </c>
      <c r="D76" s="15" t="s">
        <v>10720</v>
      </c>
      <c r="E76" s="15" t="s">
        <v>10722</v>
      </c>
      <c r="F76" s="72" t="s">
        <v>10576</v>
      </c>
      <c r="G76" s="72" t="s">
        <v>10577</v>
      </c>
      <c r="H76" s="72" t="s">
        <v>10584</v>
      </c>
      <c r="I76" s="72">
        <v>46399</v>
      </c>
      <c r="J76" s="15">
        <v>1307.17477533333</v>
      </c>
      <c r="K76" s="15">
        <v>48.6967</v>
      </c>
      <c r="L76" s="15">
        <v>1307.17477533333</v>
      </c>
      <c r="M76" s="15">
        <v>0</v>
      </c>
      <c r="N76" s="15">
        <v>0</v>
      </c>
      <c r="O76" s="15">
        <v>0</v>
      </c>
    </row>
    <row r="77" spans="1:15" x14ac:dyDescent="0.35">
      <c r="A77" s="15">
        <v>26</v>
      </c>
      <c r="B77" s="15" t="s">
        <v>9719</v>
      </c>
      <c r="C77" s="15" t="s">
        <v>10723</v>
      </c>
      <c r="D77" s="15" t="s">
        <v>10720</v>
      </c>
      <c r="E77" s="15" t="s">
        <v>10724</v>
      </c>
      <c r="F77" s="72" t="s">
        <v>10576</v>
      </c>
      <c r="G77" s="72" t="s">
        <v>10577</v>
      </c>
      <c r="H77" s="72" t="s">
        <v>10587</v>
      </c>
      <c r="I77" s="72">
        <v>142919</v>
      </c>
      <c r="J77" s="15">
        <v>539.942176666666</v>
      </c>
      <c r="K77" s="15">
        <v>149.9965</v>
      </c>
      <c r="L77" s="15">
        <v>539.942176666666</v>
      </c>
      <c r="M77" s="15">
        <v>0</v>
      </c>
      <c r="N77" s="15">
        <v>0</v>
      </c>
      <c r="O77" s="15">
        <v>0</v>
      </c>
    </row>
    <row r="78" spans="1:15" x14ac:dyDescent="0.35">
      <c r="A78" s="15">
        <v>27</v>
      </c>
      <c r="B78" s="15" t="s">
        <v>9719</v>
      </c>
      <c r="C78" s="15" t="s">
        <v>10725</v>
      </c>
      <c r="D78" s="15" t="s">
        <v>10726</v>
      </c>
      <c r="E78" s="15" t="s">
        <v>10574</v>
      </c>
      <c r="F78" s="72" t="s">
        <v>9780</v>
      </c>
      <c r="G78" s="72" t="s">
        <v>9780</v>
      </c>
      <c r="H78" s="72" t="s">
        <v>9780</v>
      </c>
      <c r="I78" s="72">
        <v>189318</v>
      </c>
      <c r="J78" s="15">
        <v>728.06872233285901</v>
      </c>
      <c r="K78" s="15">
        <v>198.69319999999999</v>
      </c>
      <c r="L78" s="15">
        <v>728.06872233285901</v>
      </c>
      <c r="M78" s="15">
        <v>0</v>
      </c>
      <c r="N78" s="15">
        <v>0</v>
      </c>
      <c r="O78" s="15">
        <v>0</v>
      </c>
    </row>
    <row r="79" spans="1:15" x14ac:dyDescent="0.35">
      <c r="A79" s="15">
        <v>27</v>
      </c>
      <c r="B79" s="15" t="s">
        <v>9719</v>
      </c>
      <c r="C79" s="15" t="s">
        <v>10727</v>
      </c>
      <c r="D79" s="15" t="s">
        <v>10726</v>
      </c>
      <c r="E79" s="15" t="s">
        <v>10728</v>
      </c>
      <c r="F79" s="72" t="s">
        <v>10576</v>
      </c>
      <c r="G79" s="72" t="s">
        <v>10577</v>
      </c>
      <c r="H79" s="72" t="s">
        <v>10584</v>
      </c>
      <c r="I79" s="72">
        <v>143263</v>
      </c>
      <c r="J79" s="15">
        <v>539.1087</v>
      </c>
      <c r="K79" s="15">
        <v>150.35749999999999</v>
      </c>
      <c r="L79" s="15">
        <v>539.1087</v>
      </c>
      <c r="M79" s="15">
        <v>0</v>
      </c>
      <c r="N79" s="15">
        <v>0</v>
      </c>
      <c r="O79" s="15">
        <v>0</v>
      </c>
    </row>
    <row r="80" spans="1:15" x14ac:dyDescent="0.35">
      <c r="A80" s="15">
        <v>27</v>
      </c>
      <c r="B80" s="15" t="s">
        <v>9719</v>
      </c>
      <c r="C80" s="15" t="s">
        <v>10729</v>
      </c>
      <c r="D80" s="15" t="s">
        <v>10726</v>
      </c>
      <c r="E80" s="15" t="s">
        <v>10730</v>
      </c>
      <c r="F80" s="72" t="s">
        <v>10576</v>
      </c>
      <c r="G80" s="72" t="s">
        <v>10577</v>
      </c>
      <c r="H80" s="72" t="s">
        <v>10577</v>
      </c>
      <c r="I80" s="72">
        <v>46055</v>
      </c>
      <c r="J80" s="15">
        <v>1315.8652486666599</v>
      </c>
      <c r="K80" s="15">
        <v>48.335700000000003</v>
      </c>
      <c r="L80" s="15">
        <v>1315.8652486666599</v>
      </c>
      <c r="M80" s="15">
        <v>0</v>
      </c>
      <c r="N80" s="15">
        <v>0</v>
      </c>
      <c r="O80" s="15">
        <v>0</v>
      </c>
    </row>
    <row r="81" spans="1:15" x14ac:dyDescent="0.35">
      <c r="A81" s="15">
        <v>28</v>
      </c>
      <c r="B81" s="15" t="s">
        <v>9719</v>
      </c>
      <c r="C81" s="15" t="s">
        <v>10731</v>
      </c>
      <c r="D81" s="15" t="s">
        <v>10732</v>
      </c>
      <c r="E81" s="15" t="s">
        <v>10574</v>
      </c>
      <c r="F81" s="72" t="s">
        <v>9780</v>
      </c>
      <c r="G81" s="72" t="s">
        <v>9780</v>
      </c>
      <c r="H81" s="72" t="s">
        <v>9780</v>
      </c>
      <c r="I81" s="72">
        <v>189318</v>
      </c>
      <c r="J81" s="15">
        <v>728.11167308403606</v>
      </c>
      <c r="K81" s="15">
        <v>198.69319999999999</v>
      </c>
      <c r="L81" s="15">
        <v>728.11167308403606</v>
      </c>
      <c r="M81" s="15">
        <v>0</v>
      </c>
      <c r="N81" s="15">
        <v>0</v>
      </c>
      <c r="O81" s="15">
        <v>0</v>
      </c>
    </row>
    <row r="82" spans="1:15" x14ac:dyDescent="0.35">
      <c r="A82" s="15">
        <v>28</v>
      </c>
      <c r="B82" s="15" t="s">
        <v>9719</v>
      </c>
      <c r="C82" s="15" t="s">
        <v>10733</v>
      </c>
      <c r="D82" s="15" t="s">
        <v>10732</v>
      </c>
      <c r="E82" s="15" t="s">
        <v>10734</v>
      </c>
      <c r="F82" s="72" t="s">
        <v>10576</v>
      </c>
      <c r="G82" s="72" t="s">
        <v>10577</v>
      </c>
      <c r="H82" s="72" t="s">
        <v>10584</v>
      </c>
      <c r="I82" s="72">
        <v>144464</v>
      </c>
      <c r="J82" s="15">
        <v>536.20137733333297</v>
      </c>
      <c r="K82" s="15">
        <v>151.61789999999999</v>
      </c>
      <c r="L82" s="15">
        <v>536.20137733333297</v>
      </c>
      <c r="M82" s="15">
        <v>0</v>
      </c>
      <c r="N82" s="15">
        <v>0</v>
      </c>
      <c r="O82" s="15">
        <v>0</v>
      </c>
    </row>
    <row r="83" spans="1:15" x14ac:dyDescent="0.35">
      <c r="A83" s="15">
        <v>28</v>
      </c>
      <c r="B83" s="15" t="s">
        <v>9719</v>
      </c>
      <c r="C83" s="15" t="s">
        <v>10735</v>
      </c>
      <c r="D83" s="15" t="s">
        <v>10732</v>
      </c>
      <c r="E83" s="15" t="s">
        <v>10736</v>
      </c>
      <c r="F83" s="72" t="s">
        <v>10576</v>
      </c>
      <c r="G83" s="72" t="s">
        <v>10577</v>
      </c>
      <c r="H83" s="72" t="s">
        <v>10587</v>
      </c>
      <c r="I83" s="72">
        <v>44854</v>
      </c>
      <c r="J83" s="15">
        <v>1346.2072779999901</v>
      </c>
      <c r="K83" s="15">
        <v>47.075299999999999</v>
      </c>
      <c r="L83" s="15">
        <v>1346.2072779999901</v>
      </c>
      <c r="M83" s="15">
        <v>0</v>
      </c>
      <c r="N83" s="15">
        <v>0</v>
      </c>
      <c r="O83" s="15">
        <v>0</v>
      </c>
    </row>
    <row r="84" spans="1:15" x14ac:dyDescent="0.35">
      <c r="A84" s="15">
        <v>29</v>
      </c>
      <c r="B84" s="15" t="s">
        <v>9719</v>
      </c>
      <c r="C84" s="15" t="s">
        <v>10737</v>
      </c>
      <c r="D84" s="15" t="s">
        <v>10738</v>
      </c>
      <c r="E84" s="15" t="s">
        <v>10574</v>
      </c>
      <c r="F84" s="72" t="s">
        <v>9780</v>
      </c>
      <c r="G84" s="72" t="s">
        <v>9780</v>
      </c>
      <c r="H84" s="72" t="s">
        <v>9780</v>
      </c>
      <c r="I84" s="72">
        <v>189318</v>
      </c>
      <c r="J84" s="15">
        <v>728.14247866252595</v>
      </c>
      <c r="K84" s="15">
        <v>198.69319999999999</v>
      </c>
      <c r="L84" s="15">
        <v>728.14247866252595</v>
      </c>
      <c r="M84" s="15">
        <v>0</v>
      </c>
      <c r="N84" s="15">
        <v>0</v>
      </c>
      <c r="O84" s="15">
        <v>0</v>
      </c>
    </row>
    <row r="85" spans="1:15" x14ac:dyDescent="0.35">
      <c r="A85" s="15">
        <v>29</v>
      </c>
      <c r="B85" s="15" t="s">
        <v>9719</v>
      </c>
      <c r="C85" s="15" t="s">
        <v>10739</v>
      </c>
      <c r="D85" s="15" t="s">
        <v>10738</v>
      </c>
      <c r="E85" s="15" t="s">
        <v>10740</v>
      </c>
      <c r="F85" s="72" t="s">
        <v>10576</v>
      </c>
      <c r="G85" s="72" t="s">
        <v>10577</v>
      </c>
      <c r="H85" s="72" t="s">
        <v>10584</v>
      </c>
      <c r="I85" s="72">
        <v>45198</v>
      </c>
      <c r="J85" s="15">
        <v>1337.5168046666599</v>
      </c>
      <c r="K85" s="15">
        <v>47.436300000000003</v>
      </c>
      <c r="L85" s="15">
        <v>1337.5168046666599</v>
      </c>
      <c r="M85" s="15">
        <v>0</v>
      </c>
      <c r="N85" s="15">
        <v>0</v>
      </c>
      <c r="O85" s="15">
        <v>0</v>
      </c>
    </row>
    <row r="86" spans="1:15" x14ac:dyDescent="0.35">
      <c r="A86" s="15">
        <v>29</v>
      </c>
      <c r="B86" s="15" t="s">
        <v>9719</v>
      </c>
      <c r="C86" s="15" t="s">
        <v>10741</v>
      </c>
      <c r="D86" s="15" t="s">
        <v>10738</v>
      </c>
      <c r="E86" s="15" t="s">
        <v>10742</v>
      </c>
      <c r="F86" s="72" t="s">
        <v>10576</v>
      </c>
      <c r="G86" s="72" t="s">
        <v>10577</v>
      </c>
      <c r="H86" s="72" t="s">
        <v>10577</v>
      </c>
      <c r="I86" s="72">
        <v>144120</v>
      </c>
      <c r="J86" s="15">
        <v>537.03408400000001</v>
      </c>
      <c r="K86" s="15">
        <v>151.2569</v>
      </c>
      <c r="L86" s="15">
        <v>537.03408400000001</v>
      </c>
      <c r="M86" s="15">
        <v>0</v>
      </c>
      <c r="N86" s="15">
        <v>0</v>
      </c>
      <c r="O86" s="15">
        <v>0</v>
      </c>
    </row>
    <row r="87" spans="1:15" x14ac:dyDescent="0.35">
      <c r="A87" s="15">
        <v>30</v>
      </c>
      <c r="B87" s="15" t="s">
        <v>9719</v>
      </c>
      <c r="C87" s="15" t="s">
        <v>10743</v>
      </c>
      <c r="D87" s="15" t="s">
        <v>10744</v>
      </c>
      <c r="E87" s="15" t="s">
        <v>10574</v>
      </c>
      <c r="F87" s="72" t="s">
        <v>9780</v>
      </c>
      <c r="G87" s="72" t="s">
        <v>9780</v>
      </c>
      <c r="H87" s="72" t="s">
        <v>9780</v>
      </c>
      <c r="I87" s="72">
        <v>189318</v>
      </c>
      <c r="J87" s="15">
        <v>728.493650719534</v>
      </c>
      <c r="K87" s="15">
        <v>198.69319999999999</v>
      </c>
      <c r="L87" s="15">
        <v>728.493650719534</v>
      </c>
      <c r="M87" s="15">
        <v>0</v>
      </c>
      <c r="N87" s="15">
        <v>0</v>
      </c>
      <c r="O87" s="15">
        <v>0</v>
      </c>
    </row>
    <row r="88" spans="1:15" x14ac:dyDescent="0.35">
      <c r="A88" s="15">
        <v>30</v>
      </c>
      <c r="B88" s="15" t="s">
        <v>9719</v>
      </c>
      <c r="C88" s="15" t="s">
        <v>10745</v>
      </c>
      <c r="D88" s="15" t="s">
        <v>10744</v>
      </c>
      <c r="E88" s="15" t="s">
        <v>10746</v>
      </c>
      <c r="F88" s="72" t="s">
        <v>10576</v>
      </c>
      <c r="G88" s="72" t="s">
        <v>10577</v>
      </c>
      <c r="H88" s="72" t="s">
        <v>10584</v>
      </c>
      <c r="I88" s="72">
        <v>62773</v>
      </c>
      <c r="J88" s="15">
        <v>1013.29419733333</v>
      </c>
      <c r="K88" s="15">
        <v>65.881600000000006</v>
      </c>
      <c r="L88" s="15">
        <v>1013.29419733333</v>
      </c>
      <c r="M88" s="15">
        <v>0</v>
      </c>
      <c r="N88" s="15">
        <v>0</v>
      </c>
      <c r="O88" s="15">
        <v>0</v>
      </c>
    </row>
    <row r="89" spans="1:15" x14ac:dyDescent="0.35">
      <c r="A89" s="15">
        <v>30</v>
      </c>
      <c r="B89" s="15" t="s">
        <v>9719</v>
      </c>
      <c r="C89" s="15" t="s">
        <v>10747</v>
      </c>
      <c r="D89" s="15" t="s">
        <v>10744</v>
      </c>
      <c r="E89" s="15" t="s">
        <v>10748</v>
      </c>
      <c r="F89" s="72" t="s">
        <v>10576</v>
      </c>
      <c r="G89" s="72" t="s">
        <v>10577</v>
      </c>
      <c r="H89" s="72" t="s">
        <v>10578</v>
      </c>
      <c r="I89" s="72">
        <v>126545</v>
      </c>
      <c r="J89" s="15">
        <v>587.21746933333304</v>
      </c>
      <c r="K89" s="15">
        <v>132.8116</v>
      </c>
      <c r="L89" s="15">
        <v>587.21746933333304</v>
      </c>
      <c r="M89" s="15">
        <v>0</v>
      </c>
      <c r="N89" s="15">
        <v>0</v>
      </c>
      <c r="O89" s="15">
        <v>0</v>
      </c>
    </row>
    <row r="90" spans="1:15" s="6" customFormat="1" x14ac:dyDescent="0.35">
      <c r="A90" s="71">
        <v>31</v>
      </c>
      <c r="B90" s="71" t="s">
        <v>9719</v>
      </c>
      <c r="C90" s="71" t="s">
        <v>10749</v>
      </c>
      <c r="D90" s="71" t="s">
        <v>10750</v>
      </c>
      <c r="E90" s="71" t="s">
        <v>10574</v>
      </c>
      <c r="F90" s="73" t="s">
        <v>9780</v>
      </c>
      <c r="G90" s="73" t="s">
        <v>9780</v>
      </c>
      <c r="H90" s="73" t="s">
        <v>9780</v>
      </c>
      <c r="I90" s="73">
        <v>189318</v>
      </c>
      <c r="J90" s="71">
        <v>728.57530968448498</v>
      </c>
      <c r="K90" s="71">
        <v>198.69319999999999</v>
      </c>
      <c r="L90" s="71">
        <v>728.57530968448498</v>
      </c>
      <c r="M90" s="71">
        <v>0</v>
      </c>
      <c r="N90" s="71">
        <v>0</v>
      </c>
      <c r="O90" s="71">
        <v>0</v>
      </c>
    </row>
    <row r="91" spans="1:15" x14ac:dyDescent="0.35">
      <c r="A91" s="15">
        <v>31</v>
      </c>
      <c r="B91" s="15" t="s">
        <v>9719</v>
      </c>
      <c r="C91" s="15" t="s">
        <v>10751</v>
      </c>
      <c r="D91" s="15" t="s">
        <v>10750</v>
      </c>
      <c r="E91" s="15" t="s">
        <v>10752</v>
      </c>
      <c r="F91" s="72" t="s">
        <v>10576</v>
      </c>
      <c r="G91" s="72" t="s">
        <v>10577</v>
      </c>
      <c r="H91" s="72" t="s">
        <v>10584</v>
      </c>
      <c r="I91" s="72">
        <v>61344</v>
      </c>
      <c r="J91" s="15">
        <v>1033.5049813333301</v>
      </c>
      <c r="K91" s="15">
        <v>64.381799999999998</v>
      </c>
      <c r="L91" s="15">
        <v>1033.5049813333301</v>
      </c>
      <c r="M91" s="15">
        <v>0</v>
      </c>
      <c r="N91" s="15">
        <v>0</v>
      </c>
      <c r="O91" s="15">
        <v>0</v>
      </c>
    </row>
    <row r="92" spans="1:15" x14ac:dyDescent="0.35">
      <c r="A92" s="15">
        <v>31</v>
      </c>
      <c r="B92" s="15" t="s">
        <v>9719</v>
      </c>
      <c r="C92" s="15" t="s">
        <v>10753</v>
      </c>
      <c r="D92" s="15" t="s">
        <v>10750</v>
      </c>
      <c r="E92" s="15" t="s">
        <v>10754</v>
      </c>
      <c r="F92" s="72" t="s">
        <v>10576</v>
      </c>
      <c r="G92" s="72" t="s">
        <v>10577</v>
      </c>
      <c r="H92" s="72" t="s">
        <v>10587</v>
      </c>
      <c r="I92" s="72">
        <v>127974</v>
      </c>
      <c r="J92" s="15">
        <v>582.40811066666595</v>
      </c>
      <c r="K92" s="15">
        <v>134.31139999999999</v>
      </c>
      <c r="L92" s="15">
        <v>582.40811066666595</v>
      </c>
      <c r="M92" s="15">
        <v>0</v>
      </c>
      <c r="N92" s="15">
        <v>0</v>
      </c>
      <c r="O92" s="15">
        <v>0</v>
      </c>
    </row>
    <row r="93" spans="1:15" x14ac:dyDescent="0.35">
      <c r="A93" s="15">
        <v>32</v>
      </c>
      <c r="B93" s="15" t="s">
        <v>9719</v>
      </c>
      <c r="C93" s="15" t="s">
        <v>10755</v>
      </c>
      <c r="D93" s="15" t="s">
        <v>10756</v>
      </c>
      <c r="E93" s="15" t="s">
        <v>10574</v>
      </c>
      <c r="F93" s="72" t="s">
        <v>9780</v>
      </c>
      <c r="G93" s="72" t="s">
        <v>9780</v>
      </c>
      <c r="H93" s="72" t="s">
        <v>9780</v>
      </c>
      <c r="I93" s="72">
        <v>189318</v>
      </c>
      <c r="J93" s="15">
        <v>728.72017983692103</v>
      </c>
      <c r="K93" s="15">
        <v>198.69319999999999</v>
      </c>
      <c r="L93" s="15">
        <v>728.72017983692103</v>
      </c>
      <c r="M93" s="15">
        <v>0</v>
      </c>
      <c r="N93" s="15">
        <v>0</v>
      </c>
      <c r="O93" s="15">
        <v>0</v>
      </c>
    </row>
    <row r="94" spans="1:15" x14ac:dyDescent="0.35">
      <c r="A94" s="15">
        <v>32</v>
      </c>
      <c r="B94" s="15" t="s">
        <v>9719</v>
      </c>
      <c r="C94" s="15" t="s">
        <v>10757</v>
      </c>
      <c r="D94" s="15" t="s">
        <v>10756</v>
      </c>
      <c r="E94" s="15" t="s">
        <v>10758</v>
      </c>
      <c r="F94" s="72" t="s">
        <v>10576</v>
      </c>
      <c r="G94" s="72" t="s">
        <v>10577</v>
      </c>
      <c r="H94" s="72" t="s">
        <v>10584</v>
      </c>
      <c r="I94" s="15">
        <v>60143</v>
      </c>
      <c r="J94" s="15">
        <v>1051.1169706666601</v>
      </c>
      <c r="K94" s="15">
        <v>63.121400000000001</v>
      </c>
      <c r="L94" s="15">
        <v>1051.1169706666601</v>
      </c>
      <c r="M94" s="15">
        <v>0</v>
      </c>
      <c r="N94" s="15">
        <v>0</v>
      </c>
      <c r="O94" s="15">
        <v>0</v>
      </c>
    </row>
    <row r="95" spans="1:15" x14ac:dyDescent="0.35">
      <c r="A95" s="15">
        <v>32</v>
      </c>
      <c r="B95" s="15" t="s">
        <v>9719</v>
      </c>
      <c r="C95" s="15" t="s">
        <v>10759</v>
      </c>
      <c r="D95" s="15" t="s">
        <v>10756</v>
      </c>
      <c r="E95" s="15" t="s">
        <v>10760</v>
      </c>
      <c r="F95" s="72" t="s">
        <v>10576</v>
      </c>
      <c r="G95" s="72" t="s">
        <v>10577</v>
      </c>
      <c r="H95" s="72" t="s">
        <v>10577</v>
      </c>
      <c r="I95" s="72">
        <v>129175</v>
      </c>
      <c r="J95" s="15">
        <v>578.61420799999996</v>
      </c>
      <c r="K95" s="15">
        <v>135.5718</v>
      </c>
      <c r="L95" s="15">
        <v>578.61420799999996</v>
      </c>
      <c r="M95" s="15">
        <v>0</v>
      </c>
      <c r="N95" s="15">
        <v>0</v>
      </c>
      <c r="O95" s="15">
        <v>0</v>
      </c>
    </row>
    <row r="96" spans="1:15" x14ac:dyDescent="0.35">
      <c r="A96" s="15">
        <v>33</v>
      </c>
      <c r="B96" s="15" t="s">
        <v>9719</v>
      </c>
      <c r="C96" s="15" t="s">
        <v>10761</v>
      </c>
      <c r="D96" s="15" t="s">
        <v>10762</v>
      </c>
      <c r="E96" s="15" t="s">
        <v>10574</v>
      </c>
      <c r="F96" s="72" t="s">
        <v>9780</v>
      </c>
      <c r="G96" s="72" t="s">
        <v>9780</v>
      </c>
      <c r="H96" s="72" t="s">
        <v>9780</v>
      </c>
      <c r="I96" s="72">
        <v>189318</v>
      </c>
      <c r="J96" s="15">
        <v>728.78366995016302</v>
      </c>
      <c r="K96" s="15">
        <v>198.69319999999999</v>
      </c>
      <c r="L96" s="15">
        <v>728.78366995016302</v>
      </c>
      <c r="M96" s="15">
        <v>0</v>
      </c>
      <c r="N96" s="15">
        <v>0</v>
      </c>
      <c r="O96" s="15">
        <v>0</v>
      </c>
    </row>
    <row r="97" spans="1:15" x14ac:dyDescent="0.35">
      <c r="A97" s="15">
        <v>33</v>
      </c>
      <c r="B97" s="15" t="s">
        <v>9719</v>
      </c>
      <c r="C97" s="15" t="s">
        <v>10763</v>
      </c>
      <c r="D97" s="15" t="s">
        <v>10762</v>
      </c>
      <c r="E97" s="15" t="s">
        <v>10764</v>
      </c>
      <c r="F97" s="72" t="s">
        <v>10576</v>
      </c>
      <c r="G97" s="72" t="s">
        <v>10577</v>
      </c>
      <c r="H97" s="72" t="s">
        <v>10584</v>
      </c>
      <c r="I97" s="72">
        <v>58714</v>
      </c>
      <c r="J97" s="15">
        <v>1072.0741760000001</v>
      </c>
      <c r="K97" s="15">
        <v>61.621600000000001</v>
      </c>
      <c r="L97" s="15">
        <v>1072.0741760000001</v>
      </c>
      <c r="M97" s="15">
        <v>0</v>
      </c>
      <c r="N97" s="15">
        <v>0</v>
      </c>
      <c r="O97" s="15">
        <v>0</v>
      </c>
    </row>
    <row r="98" spans="1:15" x14ac:dyDescent="0.35">
      <c r="A98" s="15">
        <v>33</v>
      </c>
      <c r="B98" s="15" t="s">
        <v>9719</v>
      </c>
      <c r="C98" s="15" t="s">
        <v>10765</v>
      </c>
      <c r="D98" s="15" t="s">
        <v>10762</v>
      </c>
      <c r="E98" s="15" t="s">
        <v>10766</v>
      </c>
      <c r="F98" s="72" t="s">
        <v>10576</v>
      </c>
      <c r="G98" s="72" t="s">
        <v>10577</v>
      </c>
      <c r="H98" s="72" t="s">
        <v>10587</v>
      </c>
      <c r="I98" s="72">
        <v>130604</v>
      </c>
      <c r="J98" s="15">
        <v>574.45476266666606</v>
      </c>
      <c r="K98" s="15">
        <v>137.07159999999999</v>
      </c>
      <c r="L98" s="15">
        <v>574.45476266666606</v>
      </c>
      <c r="M98" s="15">
        <v>0</v>
      </c>
      <c r="N98" s="15">
        <v>0</v>
      </c>
      <c r="O98" s="15">
        <v>0</v>
      </c>
    </row>
    <row r="99" spans="1:15" x14ac:dyDescent="0.35">
      <c r="F99" s="72"/>
      <c r="G99" s="72"/>
      <c r="H99" s="72"/>
    </row>
    <row r="100" spans="1:15" x14ac:dyDescent="0.35">
      <c r="F100" s="72"/>
      <c r="G100" s="72"/>
      <c r="H100" s="72"/>
      <c r="I100" s="72"/>
    </row>
    <row r="101" spans="1:15" x14ac:dyDescent="0.35">
      <c r="F101" s="72"/>
      <c r="G101" s="72"/>
      <c r="H101" s="72"/>
      <c r="I101" s="72"/>
    </row>
    <row r="102" spans="1:15" x14ac:dyDescent="0.35">
      <c r="F102" s="72"/>
      <c r="G102" s="72"/>
      <c r="H102" s="72"/>
      <c r="I102" s="72"/>
    </row>
    <row r="103" spans="1:15" x14ac:dyDescent="0.35">
      <c r="F103" s="72"/>
      <c r="G103" s="72"/>
      <c r="H103" s="72"/>
      <c r="I103" s="72"/>
    </row>
    <row r="104" spans="1:15" s="6" customFormat="1" x14ac:dyDescent="0.35">
      <c r="A104" s="71"/>
      <c r="B104" s="71"/>
      <c r="C104" s="71"/>
      <c r="D104" s="71"/>
      <c r="E104" s="71"/>
      <c r="F104" s="73"/>
      <c r="G104" s="73"/>
      <c r="H104" s="73"/>
      <c r="I104" s="73"/>
      <c r="J104" s="71"/>
      <c r="K104" s="71"/>
      <c r="L104" s="71"/>
      <c r="M104" s="71"/>
      <c r="N104" s="71"/>
      <c r="O104" s="71"/>
    </row>
    <row r="105" spans="1:15" x14ac:dyDescent="0.35">
      <c r="F105" s="72"/>
      <c r="G105" s="72"/>
      <c r="H105" s="72"/>
    </row>
    <row r="106" spans="1:15" x14ac:dyDescent="0.35">
      <c r="F106" s="72"/>
      <c r="G106" s="72"/>
      <c r="H106" s="72"/>
      <c r="I106" s="72"/>
    </row>
    <row r="107" spans="1:15" s="6" customFormat="1" x14ac:dyDescent="0.35">
      <c r="A107" s="71"/>
      <c r="B107" s="71"/>
      <c r="C107" s="71"/>
      <c r="D107" s="71"/>
      <c r="E107" s="71"/>
      <c r="F107" s="73"/>
      <c r="G107" s="73"/>
      <c r="H107" s="73"/>
      <c r="I107" s="73"/>
      <c r="J107" s="71"/>
      <c r="K107" s="71"/>
      <c r="L107" s="71"/>
      <c r="M107" s="71"/>
      <c r="N107" s="71"/>
      <c r="O107" s="71"/>
    </row>
    <row r="108" spans="1:15" x14ac:dyDescent="0.35">
      <c r="F108" s="72"/>
      <c r="G108" s="72"/>
      <c r="H108" s="72"/>
      <c r="I108" s="72"/>
    </row>
    <row r="109" spans="1:15" x14ac:dyDescent="0.35">
      <c r="F109" s="72"/>
      <c r="G109" s="72"/>
      <c r="H109" s="72"/>
      <c r="I109" s="72"/>
    </row>
    <row r="110" spans="1:15" x14ac:dyDescent="0.35">
      <c r="F110" s="72"/>
      <c r="G110" s="72"/>
      <c r="H110" s="72"/>
      <c r="I110" s="72"/>
    </row>
    <row r="111" spans="1:15" x14ac:dyDescent="0.35">
      <c r="F111" s="72"/>
      <c r="G111" s="72"/>
      <c r="H111" s="72"/>
    </row>
    <row r="112" spans="1:15" x14ac:dyDescent="0.35">
      <c r="F112" s="72"/>
      <c r="G112" s="72"/>
      <c r="H112" s="72"/>
      <c r="I112" s="72"/>
    </row>
    <row r="113" spans="1:15" x14ac:dyDescent="0.35">
      <c r="F113" s="72"/>
      <c r="G113" s="72"/>
      <c r="H113" s="72"/>
      <c r="I113" s="72"/>
    </row>
    <row r="114" spans="1:15" x14ac:dyDescent="0.35">
      <c r="F114" s="72"/>
      <c r="G114" s="72"/>
      <c r="H114" s="72"/>
      <c r="I114" s="72"/>
    </row>
    <row r="115" spans="1:15" x14ac:dyDescent="0.35">
      <c r="F115" s="72"/>
      <c r="G115" s="72"/>
      <c r="H115" s="72"/>
      <c r="I115" s="72"/>
    </row>
    <row r="116" spans="1:15" x14ac:dyDescent="0.35">
      <c r="F116" s="72"/>
      <c r="G116" s="72"/>
      <c r="H116" s="72"/>
      <c r="I116" s="72"/>
    </row>
    <row r="117" spans="1:15" x14ac:dyDescent="0.35">
      <c r="F117" s="72"/>
      <c r="G117" s="72"/>
      <c r="H117" s="72"/>
    </row>
    <row r="118" spans="1:15" x14ac:dyDescent="0.35">
      <c r="F118" s="72"/>
      <c r="G118" s="72"/>
      <c r="H118" s="72"/>
      <c r="I118" s="72"/>
    </row>
    <row r="119" spans="1:15" x14ac:dyDescent="0.35">
      <c r="F119" s="72"/>
      <c r="G119" s="72"/>
      <c r="H119" s="72"/>
      <c r="I119" s="72"/>
    </row>
    <row r="120" spans="1:15" x14ac:dyDescent="0.35">
      <c r="F120" s="72"/>
      <c r="G120" s="72"/>
      <c r="H120" s="72"/>
      <c r="I120" s="72"/>
    </row>
    <row r="121" spans="1:15" x14ac:dyDescent="0.35">
      <c r="F121" s="72"/>
      <c r="G121" s="72"/>
      <c r="H121" s="72"/>
      <c r="I121" s="72"/>
    </row>
    <row r="122" spans="1:15" x14ac:dyDescent="0.35">
      <c r="F122" s="72"/>
      <c r="G122" s="72"/>
      <c r="H122" s="72"/>
      <c r="I122" s="72"/>
    </row>
    <row r="123" spans="1:15" x14ac:dyDescent="0.35">
      <c r="F123" s="72"/>
      <c r="G123" s="72"/>
      <c r="H123" s="72"/>
    </row>
    <row r="124" spans="1:15" s="6" customFormat="1" x14ac:dyDescent="0.35">
      <c r="A124" s="71"/>
      <c r="B124" s="71"/>
      <c r="C124" s="71"/>
      <c r="D124" s="71"/>
      <c r="E124" s="71"/>
      <c r="F124" s="73"/>
      <c r="G124" s="73"/>
      <c r="H124" s="73"/>
      <c r="I124" s="73"/>
      <c r="J124" s="71"/>
      <c r="K124" s="71"/>
      <c r="L124" s="71"/>
      <c r="M124" s="71"/>
      <c r="N124" s="71"/>
      <c r="O124" s="71"/>
    </row>
    <row r="125" spans="1:15" x14ac:dyDescent="0.35">
      <c r="F125" s="72"/>
      <c r="G125" s="72"/>
      <c r="H125" s="72"/>
      <c r="I125" s="72"/>
    </row>
    <row r="126" spans="1:15" x14ac:dyDescent="0.35">
      <c r="F126" s="72"/>
      <c r="G126" s="72"/>
      <c r="H126" s="72"/>
      <c r="I126" s="72"/>
    </row>
    <row r="127" spans="1:15" x14ac:dyDescent="0.35">
      <c r="F127" s="72"/>
      <c r="G127" s="72"/>
      <c r="H127" s="72"/>
      <c r="I127" s="72"/>
    </row>
    <row r="128" spans="1:15" x14ac:dyDescent="0.35">
      <c r="F128" s="72"/>
      <c r="G128" s="72"/>
      <c r="H128" s="72"/>
      <c r="I128" s="72"/>
    </row>
    <row r="129" spans="1:15" x14ac:dyDescent="0.35">
      <c r="F129" s="72"/>
      <c r="G129" s="72"/>
      <c r="H129" s="72"/>
    </row>
    <row r="130" spans="1:15" x14ac:dyDescent="0.35">
      <c r="F130" s="72"/>
      <c r="G130" s="72"/>
      <c r="H130" s="72"/>
      <c r="I130" s="72"/>
    </row>
    <row r="131" spans="1:15" x14ac:dyDescent="0.35">
      <c r="F131" s="72"/>
      <c r="G131" s="72"/>
      <c r="H131" s="72"/>
      <c r="I131" s="72"/>
    </row>
    <row r="132" spans="1:15" x14ac:dyDescent="0.35">
      <c r="F132" s="72"/>
      <c r="G132" s="72"/>
      <c r="H132" s="72"/>
      <c r="I132" s="72"/>
    </row>
    <row r="133" spans="1:15" x14ac:dyDescent="0.35">
      <c r="F133" s="72"/>
      <c r="G133" s="72"/>
      <c r="H133" s="72"/>
      <c r="I133" s="72"/>
    </row>
    <row r="134" spans="1:15" x14ac:dyDescent="0.35">
      <c r="F134" s="72"/>
      <c r="G134" s="72"/>
      <c r="H134" s="72"/>
      <c r="I134" s="72"/>
    </row>
    <row r="135" spans="1:15" x14ac:dyDescent="0.35">
      <c r="F135" s="72"/>
      <c r="G135" s="72"/>
      <c r="H135" s="72"/>
    </row>
    <row r="136" spans="1:15" x14ac:dyDescent="0.35">
      <c r="F136" s="72"/>
      <c r="G136" s="72"/>
      <c r="H136" s="72"/>
      <c r="I136" s="72"/>
    </row>
    <row r="137" spans="1:15" x14ac:dyDescent="0.35">
      <c r="F137" s="72"/>
      <c r="G137" s="72"/>
      <c r="H137" s="72"/>
      <c r="I137" s="72"/>
    </row>
    <row r="138" spans="1:15" x14ac:dyDescent="0.35">
      <c r="F138" s="72"/>
      <c r="G138" s="72"/>
      <c r="H138" s="72"/>
      <c r="I138" s="72"/>
    </row>
    <row r="139" spans="1:15" x14ac:dyDescent="0.35">
      <c r="F139" s="72"/>
      <c r="G139" s="72"/>
      <c r="H139" s="72"/>
      <c r="I139" s="72"/>
    </row>
    <row r="140" spans="1:15" x14ac:dyDescent="0.35">
      <c r="F140" s="72"/>
      <c r="G140" s="72"/>
      <c r="H140" s="72"/>
      <c r="I140" s="72"/>
    </row>
    <row r="141" spans="1:15" s="6" customFormat="1" x14ac:dyDescent="0.35">
      <c r="A141" s="71"/>
      <c r="B141" s="71"/>
      <c r="C141" s="71"/>
      <c r="D141" s="71"/>
      <c r="E141" s="71"/>
      <c r="F141" s="73"/>
      <c r="G141" s="73"/>
      <c r="H141" s="73"/>
      <c r="I141" s="73"/>
      <c r="J141" s="71"/>
      <c r="K141" s="71"/>
      <c r="L141" s="71"/>
      <c r="M141" s="71"/>
      <c r="N141" s="71"/>
      <c r="O141" s="71"/>
    </row>
    <row r="142" spans="1:15" x14ac:dyDescent="0.35">
      <c r="F142" s="72"/>
      <c r="G142" s="72"/>
      <c r="H142" s="72"/>
    </row>
    <row r="143" spans="1:15" x14ac:dyDescent="0.35">
      <c r="F143" s="72"/>
      <c r="G143" s="72"/>
      <c r="H143" s="72"/>
    </row>
    <row r="144" spans="1:15" x14ac:dyDescent="0.35">
      <c r="F144" s="72"/>
      <c r="G144" s="72"/>
      <c r="H144" s="72"/>
    </row>
    <row r="145" spans="1:15" x14ac:dyDescent="0.35">
      <c r="F145" s="72"/>
      <c r="G145" s="72"/>
      <c r="H145" s="72"/>
    </row>
    <row r="146" spans="1:15" x14ac:dyDescent="0.35">
      <c r="F146" s="72"/>
      <c r="G146" s="72"/>
      <c r="H146" s="72"/>
    </row>
    <row r="147" spans="1:15" x14ac:dyDescent="0.35">
      <c r="F147" s="72"/>
      <c r="G147" s="72"/>
      <c r="H147" s="72"/>
    </row>
    <row r="148" spans="1:15" x14ac:dyDescent="0.35">
      <c r="F148" s="72"/>
      <c r="G148" s="72"/>
      <c r="H148" s="72"/>
    </row>
    <row r="149" spans="1:15" x14ac:dyDescent="0.35">
      <c r="F149" s="72"/>
      <c r="G149" s="72"/>
      <c r="H149" s="72"/>
    </row>
    <row r="150" spans="1:15" x14ac:dyDescent="0.35">
      <c r="F150" s="72"/>
      <c r="G150" s="72"/>
      <c r="H150" s="72"/>
    </row>
    <row r="151" spans="1:15" x14ac:dyDescent="0.35">
      <c r="F151" s="72"/>
      <c r="G151" s="72"/>
      <c r="H151" s="72"/>
    </row>
    <row r="152" spans="1:15" x14ac:dyDescent="0.35">
      <c r="F152" s="72"/>
      <c r="G152" s="72"/>
      <c r="H152" s="72"/>
    </row>
    <row r="153" spans="1:15" x14ac:dyDescent="0.35">
      <c r="F153" s="72"/>
      <c r="G153" s="72"/>
      <c r="H153" s="72"/>
    </row>
    <row r="154" spans="1:15" x14ac:dyDescent="0.35">
      <c r="F154" s="72"/>
      <c r="G154" s="72"/>
      <c r="H154" s="72"/>
    </row>
    <row r="155" spans="1:15" x14ac:dyDescent="0.35">
      <c r="F155" s="72"/>
      <c r="G155" s="72"/>
      <c r="H155" s="72"/>
    </row>
    <row r="156" spans="1:15" x14ac:dyDescent="0.35">
      <c r="F156" s="72"/>
      <c r="G156" s="72"/>
      <c r="H156" s="72"/>
    </row>
    <row r="157" spans="1:15" x14ac:dyDescent="0.35">
      <c r="F157" s="72"/>
      <c r="G157" s="72"/>
      <c r="H157" s="72"/>
    </row>
    <row r="158" spans="1:15" s="6" customFormat="1" x14ac:dyDescent="0.35">
      <c r="A158" s="71"/>
      <c r="B158" s="71"/>
      <c r="C158" s="71"/>
      <c r="D158" s="71"/>
      <c r="E158" s="71"/>
      <c r="F158" s="73"/>
      <c r="G158" s="73"/>
      <c r="H158" s="73"/>
      <c r="I158" s="71"/>
      <c r="J158" s="71"/>
      <c r="K158" s="71"/>
      <c r="L158" s="71"/>
      <c r="M158" s="71"/>
      <c r="N158" s="71"/>
      <c r="O158" s="71"/>
    </row>
    <row r="159" spans="1:15" x14ac:dyDescent="0.35">
      <c r="F159" s="72"/>
      <c r="G159" s="72"/>
      <c r="H159" s="72"/>
    </row>
    <row r="160" spans="1:15" x14ac:dyDescent="0.35">
      <c r="F160" s="72"/>
      <c r="G160" s="72"/>
      <c r="H160" s="72"/>
    </row>
    <row r="161" spans="6:8" x14ac:dyDescent="0.35">
      <c r="F161" s="72"/>
      <c r="G161" s="72"/>
      <c r="H161" s="72"/>
    </row>
    <row r="162" spans="6:8" x14ac:dyDescent="0.35">
      <c r="F162" s="72"/>
      <c r="G162" s="72"/>
      <c r="H162" s="72"/>
    </row>
    <row r="163" spans="6:8" x14ac:dyDescent="0.35">
      <c r="F163" s="72"/>
      <c r="G163" s="72"/>
      <c r="H163" s="72"/>
    </row>
    <row r="164" spans="6:8" x14ac:dyDescent="0.35">
      <c r="F164" s="72"/>
      <c r="G164" s="72"/>
      <c r="H164" s="72"/>
    </row>
    <row r="165" spans="6:8" x14ac:dyDescent="0.35">
      <c r="F165" s="72"/>
      <c r="G165" s="72"/>
      <c r="H165" s="72"/>
    </row>
    <row r="166" spans="6:8" x14ac:dyDescent="0.35">
      <c r="F166" s="72"/>
      <c r="G166" s="72"/>
      <c r="H166" s="72"/>
    </row>
    <row r="167" spans="6:8" x14ac:dyDescent="0.35">
      <c r="F167" s="72"/>
      <c r="G167" s="72"/>
      <c r="H167" s="72"/>
    </row>
    <row r="168" spans="6:8" x14ac:dyDescent="0.35">
      <c r="F168" s="72"/>
      <c r="G168" s="72"/>
      <c r="H168" s="72"/>
    </row>
    <row r="169" spans="6:8" x14ac:dyDescent="0.35">
      <c r="F169" s="72"/>
      <c r="G169" s="72"/>
      <c r="H169" s="72"/>
    </row>
    <row r="170" spans="6:8" x14ac:dyDescent="0.35">
      <c r="F170" s="72"/>
      <c r="G170" s="72"/>
      <c r="H170" s="72"/>
    </row>
    <row r="171" spans="6:8" x14ac:dyDescent="0.35">
      <c r="F171" s="72"/>
      <c r="G171" s="72"/>
      <c r="H171" s="72"/>
    </row>
    <row r="172" spans="6:8" x14ac:dyDescent="0.35">
      <c r="F172" s="72"/>
      <c r="G172" s="72"/>
      <c r="H172" s="72"/>
    </row>
    <row r="173" spans="6:8" x14ac:dyDescent="0.35">
      <c r="F173" s="72"/>
      <c r="G173" s="72"/>
      <c r="H173" s="72"/>
    </row>
    <row r="174" spans="6:8" x14ac:dyDescent="0.35">
      <c r="F174" s="72"/>
      <c r="G174" s="72"/>
      <c r="H174" s="72"/>
    </row>
    <row r="175" spans="6:8" x14ac:dyDescent="0.35">
      <c r="F175" s="72"/>
      <c r="G175" s="72"/>
      <c r="H175" s="72"/>
    </row>
    <row r="176" spans="6:8" x14ac:dyDescent="0.35">
      <c r="F176" s="72"/>
      <c r="G176" s="72"/>
      <c r="H176" s="72"/>
    </row>
    <row r="177" spans="6:8" x14ac:dyDescent="0.35">
      <c r="F177" s="72"/>
      <c r="G177" s="72"/>
      <c r="H177" s="72"/>
    </row>
    <row r="178" spans="6:8" x14ac:dyDescent="0.35">
      <c r="F178" s="72"/>
      <c r="G178" s="72"/>
      <c r="H178" s="72"/>
    </row>
    <row r="179" spans="6:8" x14ac:dyDescent="0.35">
      <c r="F179" s="72"/>
      <c r="G179" s="72"/>
      <c r="H179" s="72"/>
    </row>
    <row r="180" spans="6:8" x14ac:dyDescent="0.35">
      <c r="F180" s="72"/>
      <c r="G180" s="72"/>
      <c r="H180" s="72"/>
    </row>
    <row r="181" spans="6:8" x14ac:dyDescent="0.35">
      <c r="F181" s="72"/>
      <c r="G181" s="72"/>
      <c r="H181" s="72"/>
    </row>
    <row r="182" spans="6:8" x14ac:dyDescent="0.35">
      <c r="F182" s="72"/>
      <c r="G182" s="72"/>
      <c r="H182" s="72"/>
    </row>
    <row r="183" spans="6:8" x14ac:dyDescent="0.35">
      <c r="F183" s="72"/>
      <c r="G183" s="72"/>
      <c r="H183" s="72"/>
    </row>
    <row r="184" spans="6:8" x14ac:dyDescent="0.35">
      <c r="F184" s="72"/>
      <c r="G184" s="72"/>
      <c r="H184" s="72"/>
    </row>
    <row r="185" spans="6:8" x14ac:dyDescent="0.35">
      <c r="F185" s="72"/>
      <c r="G185" s="72"/>
      <c r="H185" s="72"/>
    </row>
    <row r="186" spans="6:8" x14ac:dyDescent="0.35">
      <c r="F186" s="72"/>
      <c r="G186" s="72"/>
      <c r="H186" s="72"/>
    </row>
    <row r="187" spans="6:8" x14ac:dyDescent="0.35">
      <c r="F187" s="72"/>
      <c r="G187" s="72"/>
      <c r="H187" s="72"/>
    </row>
    <row r="188" spans="6:8" x14ac:dyDescent="0.35">
      <c r="F188" s="72"/>
      <c r="G188" s="72"/>
      <c r="H188" s="72"/>
    </row>
    <row r="189" spans="6:8" x14ac:dyDescent="0.35">
      <c r="F189" s="72"/>
      <c r="G189" s="72"/>
      <c r="H189" s="72"/>
    </row>
    <row r="190" spans="6:8" x14ac:dyDescent="0.35">
      <c r="F190" s="72"/>
      <c r="G190" s="72"/>
      <c r="H190" s="72"/>
    </row>
    <row r="191" spans="6:8" x14ac:dyDescent="0.35">
      <c r="F191" s="72"/>
      <c r="G191" s="72"/>
      <c r="H191" s="72"/>
    </row>
    <row r="192" spans="6:8" x14ac:dyDescent="0.35">
      <c r="F192" s="72"/>
      <c r="G192" s="72"/>
      <c r="H192" s="72"/>
    </row>
    <row r="193" spans="6:8" x14ac:dyDescent="0.35">
      <c r="F193" s="72"/>
      <c r="G193" s="72"/>
      <c r="H193" s="72"/>
    </row>
    <row r="194" spans="6:8" x14ac:dyDescent="0.35">
      <c r="F194" s="72"/>
      <c r="G194" s="72"/>
      <c r="H194" s="72"/>
    </row>
    <row r="195" spans="6:8" x14ac:dyDescent="0.35">
      <c r="F195" s="72"/>
      <c r="G195" s="72"/>
      <c r="H195" s="72"/>
    </row>
    <row r="196" spans="6:8" x14ac:dyDescent="0.35">
      <c r="F196" s="72"/>
      <c r="G196" s="72"/>
      <c r="H196" s="72"/>
    </row>
    <row r="197" spans="6:8" x14ac:dyDescent="0.35">
      <c r="F197" s="72"/>
      <c r="G197" s="72"/>
      <c r="H197" s="72"/>
    </row>
    <row r="198" spans="6:8" x14ac:dyDescent="0.35">
      <c r="F198" s="72"/>
      <c r="G198" s="72"/>
      <c r="H198" s="72"/>
    </row>
    <row r="199" spans="6:8" x14ac:dyDescent="0.35">
      <c r="F199" s="72"/>
      <c r="G199" s="72"/>
      <c r="H199" s="72"/>
    </row>
    <row r="200" spans="6:8" x14ac:dyDescent="0.35">
      <c r="F200" s="72"/>
      <c r="G200" s="72"/>
      <c r="H200" s="72"/>
    </row>
    <row r="201" spans="6:8" x14ac:dyDescent="0.35">
      <c r="F201" s="72"/>
      <c r="G201" s="72"/>
      <c r="H201" s="72"/>
    </row>
    <row r="202" spans="6:8" x14ac:dyDescent="0.35">
      <c r="F202" s="72"/>
      <c r="G202" s="72"/>
      <c r="H202" s="72"/>
    </row>
    <row r="203" spans="6:8" x14ac:dyDescent="0.35">
      <c r="F203" s="72"/>
      <c r="G203" s="72"/>
      <c r="H203" s="72"/>
    </row>
    <row r="204" spans="6:8" x14ac:dyDescent="0.35">
      <c r="F204" s="72"/>
      <c r="G204" s="72"/>
      <c r="H204" s="72"/>
    </row>
    <row r="205" spans="6:8" x14ac:dyDescent="0.35">
      <c r="F205" s="72"/>
      <c r="G205" s="72"/>
      <c r="H205" s="72"/>
    </row>
    <row r="206" spans="6:8" x14ac:dyDescent="0.35">
      <c r="F206" s="72"/>
      <c r="G206" s="72"/>
      <c r="H206" s="72"/>
    </row>
    <row r="207" spans="6:8" x14ac:dyDescent="0.35">
      <c r="F207" s="72"/>
      <c r="G207" s="72"/>
      <c r="H207" s="72"/>
    </row>
    <row r="208" spans="6:8" x14ac:dyDescent="0.35">
      <c r="F208" s="72"/>
      <c r="G208" s="72"/>
      <c r="H208" s="72"/>
    </row>
    <row r="209" spans="6:8" x14ac:dyDescent="0.35">
      <c r="F209" s="72"/>
      <c r="G209" s="72"/>
      <c r="H209" s="72"/>
    </row>
    <row r="210" spans="6:8" x14ac:dyDescent="0.35">
      <c r="F210" s="72"/>
      <c r="G210" s="72"/>
      <c r="H210" s="72"/>
    </row>
    <row r="211" spans="6:8" x14ac:dyDescent="0.35">
      <c r="F211" s="72"/>
      <c r="G211" s="72"/>
      <c r="H211" s="72"/>
    </row>
    <row r="212" spans="6:8" x14ac:dyDescent="0.35">
      <c r="F212" s="72"/>
      <c r="G212" s="72"/>
      <c r="H212" s="72"/>
    </row>
    <row r="213" spans="6:8" x14ac:dyDescent="0.35">
      <c r="F213" s="72"/>
      <c r="G213" s="72"/>
      <c r="H213" s="72"/>
    </row>
    <row r="214" spans="6:8" x14ac:dyDescent="0.35">
      <c r="F214" s="72"/>
      <c r="G214" s="72"/>
      <c r="H214" s="72"/>
    </row>
    <row r="215" spans="6:8" x14ac:dyDescent="0.35">
      <c r="F215" s="72"/>
      <c r="G215" s="72"/>
      <c r="H215" s="72"/>
    </row>
    <row r="216" spans="6:8" x14ac:dyDescent="0.35">
      <c r="F216" s="72"/>
      <c r="G216" s="72"/>
      <c r="H216" s="72"/>
    </row>
    <row r="217" spans="6:8" x14ac:dyDescent="0.35">
      <c r="F217" s="72"/>
      <c r="G217" s="72"/>
      <c r="H217" s="72"/>
    </row>
    <row r="218" spans="6:8" x14ac:dyDescent="0.35">
      <c r="F218" s="72"/>
      <c r="G218" s="72"/>
      <c r="H218" s="72"/>
    </row>
    <row r="219" spans="6:8" x14ac:dyDescent="0.35">
      <c r="F219" s="72"/>
      <c r="G219" s="72"/>
      <c r="H219" s="72"/>
    </row>
    <row r="220" spans="6:8" x14ac:dyDescent="0.35">
      <c r="F220" s="72"/>
      <c r="G220" s="72"/>
      <c r="H220" s="72"/>
    </row>
    <row r="221" spans="6:8" x14ac:dyDescent="0.35">
      <c r="F221" s="72"/>
      <c r="G221" s="72"/>
      <c r="H221" s="72"/>
    </row>
    <row r="222" spans="6:8" x14ac:dyDescent="0.35">
      <c r="F222" s="72"/>
      <c r="G222" s="72"/>
      <c r="H222" s="72"/>
    </row>
    <row r="223" spans="6:8" x14ac:dyDescent="0.35">
      <c r="F223" s="72"/>
      <c r="G223" s="72"/>
      <c r="H223" s="72"/>
    </row>
    <row r="224" spans="6:8" x14ac:dyDescent="0.35">
      <c r="F224" s="72"/>
      <c r="G224" s="72"/>
      <c r="H224" s="72"/>
    </row>
    <row r="225" spans="6:8" x14ac:dyDescent="0.35">
      <c r="F225" s="72"/>
      <c r="G225" s="72"/>
      <c r="H225" s="72"/>
    </row>
    <row r="226" spans="6:8" x14ac:dyDescent="0.35">
      <c r="F226" s="72"/>
      <c r="G226" s="72"/>
      <c r="H226" s="72"/>
    </row>
    <row r="227" spans="6:8" x14ac:dyDescent="0.35">
      <c r="F227" s="72"/>
      <c r="G227" s="72"/>
      <c r="H227" s="72"/>
    </row>
    <row r="228" spans="6:8" x14ac:dyDescent="0.35">
      <c r="F228" s="72"/>
      <c r="G228" s="72"/>
      <c r="H228" s="72"/>
    </row>
    <row r="229" spans="6:8" x14ac:dyDescent="0.35">
      <c r="F229" s="72"/>
      <c r="G229" s="72"/>
      <c r="H229" s="72"/>
    </row>
    <row r="230" spans="6:8" x14ac:dyDescent="0.35">
      <c r="F230" s="72"/>
      <c r="G230" s="72"/>
      <c r="H230" s="72"/>
    </row>
    <row r="231" spans="6:8" x14ac:dyDescent="0.35">
      <c r="F231" s="72"/>
      <c r="G231" s="72"/>
      <c r="H231" s="72"/>
    </row>
    <row r="232" spans="6:8" x14ac:dyDescent="0.35">
      <c r="F232" s="72"/>
      <c r="G232" s="72"/>
      <c r="H232" s="72"/>
    </row>
    <row r="233" spans="6:8" x14ac:dyDescent="0.35">
      <c r="F233" s="72"/>
      <c r="G233" s="72"/>
      <c r="H233" s="72"/>
    </row>
    <row r="234" spans="6:8" x14ac:dyDescent="0.35">
      <c r="F234" s="72"/>
      <c r="G234" s="72"/>
      <c r="H234" s="72"/>
    </row>
    <row r="235" spans="6:8" x14ac:dyDescent="0.35">
      <c r="F235" s="72"/>
      <c r="G235" s="72"/>
      <c r="H235" s="72"/>
    </row>
    <row r="236" spans="6:8" x14ac:dyDescent="0.35">
      <c r="F236" s="72"/>
      <c r="G236" s="72"/>
      <c r="H236" s="72"/>
    </row>
    <row r="237" spans="6:8" x14ac:dyDescent="0.35">
      <c r="F237" s="72"/>
      <c r="G237" s="72"/>
      <c r="H237" s="72"/>
    </row>
    <row r="238" spans="6:8" x14ac:dyDescent="0.35">
      <c r="F238" s="72"/>
      <c r="G238" s="72"/>
      <c r="H238" s="72"/>
    </row>
    <row r="239" spans="6:8" x14ac:dyDescent="0.35">
      <c r="F239" s="72"/>
      <c r="G239" s="72"/>
      <c r="H239" s="72"/>
    </row>
    <row r="240" spans="6:8" x14ac:dyDescent="0.35">
      <c r="F240" s="72"/>
      <c r="G240" s="72"/>
      <c r="H240" s="72"/>
    </row>
    <row r="241" spans="6:8" x14ac:dyDescent="0.35">
      <c r="F241" s="72"/>
      <c r="G241" s="72"/>
      <c r="H241" s="72"/>
    </row>
    <row r="242" spans="6:8" x14ac:dyDescent="0.35">
      <c r="F242" s="72"/>
      <c r="G242" s="72"/>
      <c r="H242" s="72"/>
    </row>
    <row r="243" spans="6:8" x14ac:dyDescent="0.35">
      <c r="F243" s="72"/>
      <c r="G243" s="72"/>
      <c r="H243" s="72"/>
    </row>
    <row r="244" spans="6:8" x14ac:dyDescent="0.35">
      <c r="F244" s="72"/>
      <c r="G244" s="72"/>
      <c r="H244" s="72"/>
    </row>
    <row r="245" spans="6:8" x14ac:dyDescent="0.35">
      <c r="F245" s="72"/>
      <c r="G245" s="72"/>
      <c r="H245" s="72"/>
    </row>
    <row r="246" spans="6:8" x14ac:dyDescent="0.35">
      <c r="F246" s="72"/>
      <c r="G246" s="72"/>
      <c r="H246" s="72"/>
    </row>
    <row r="247" spans="6:8" x14ac:dyDescent="0.35">
      <c r="F247" s="72"/>
      <c r="G247" s="72"/>
      <c r="H247" s="72"/>
    </row>
    <row r="248" spans="6:8" x14ac:dyDescent="0.35">
      <c r="F248" s="72"/>
      <c r="G248" s="72"/>
      <c r="H248" s="72"/>
    </row>
    <row r="249" spans="6:8" x14ac:dyDescent="0.35">
      <c r="F249" s="72"/>
      <c r="G249" s="72"/>
      <c r="H249" s="72"/>
    </row>
    <row r="250" spans="6:8" x14ac:dyDescent="0.35">
      <c r="F250" s="72"/>
      <c r="G250" s="72"/>
      <c r="H250" s="72"/>
    </row>
    <row r="251" spans="6:8" x14ac:dyDescent="0.35">
      <c r="F251" s="72"/>
      <c r="G251" s="72"/>
      <c r="H251" s="72"/>
    </row>
    <row r="252" spans="6:8" x14ac:dyDescent="0.35">
      <c r="F252" s="72"/>
      <c r="G252" s="72"/>
      <c r="H252" s="72"/>
    </row>
    <row r="253" spans="6:8" x14ac:dyDescent="0.35">
      <c r="F253" s="72"/>
      <c r="G253" s="72"/>
      <c r="H253" s="72"/>
    </row>
    <row r="254" spans="6:8" x14ac:dyDescent="0.35">
      <c r="F254" s="72"/>
      <c r="G254" s="72"/>
      <c r="H254" s="72"/>
    </row>
    <row r="255" spans="6:8" x14ac:dyDescent="0.35">
      <c r="F255" s="72"/>
      <c r="G255" s="72"/>
      <c r="H255" s="72"/>
    </row>
    <row r="256" spans="6:8" x14ac:dyDescent="0.35">
      <c r="F256" s="72"/>
      <c r="G256" s="72"/>
      <c r="H256" s="72"/>
    </row>
    <row r="257" spans="6:8" x14ac:dyDescent="0.35">
      <c r="F257" s="72"/>
      <c r="G257" s="72"/>
      <c r="H257" s="72"/>
    </row>
    <row r="258" spans="6:8" x14ac:dyDescent="0.35">
      <c r="F258" s="72"/>
      <c r="G258" s="72"/>
      <c r="H258" s="72"/>
    </row>
    <row r="259" spans="6:8" x14ac:dyDescent="0.35">
      <c r="F259" s="72"/>
      <c r="G259" s="72"/>
      <c r="H259" s="72"/>
    </row>
    <row r="260" spans="6:8" x14ac:dyDescent="0.35">
      <c r="F260" s="72"/>
      <c r="G260" s="72"/>
      <c r="H260" s="72"/>
    </row>
    <row r="261" spans="6:8" x14ac:dyDescent="0.35">
      <c r="F261" s="72"/>
      <c r="G261" s="72"/>
      <c r="H261" s="72"/>
    </row>
    <row r="262" spans="6:8" x14ac:dyDescent="0.35">
      <c r="F262" s="72"/>
      <c r="G262" s="72"/>
      <c r="H262" s="72"/>
    </row>
    <row r="263" spans="6:8" x14ac:dyDescent="0.35">
      <c r="F263" s="72"/>
      <c r="G263" s="72"/>
      <c r="H263" s="72"/>
    </row>
    <row r="264" spans="6:8" x14ac:dyDescent="0.35">
      <c r="F264" s="72"/>
      <c r="G264" s="72"/>
      <c r="H264" s="72"/>
    </row>
    <row r="265" spans="6:8" x14ac:dyDescent="0.35">
      <c r="F265" s="72"/>
      <c r="G265" s="72"/>
      <c r="H265" s="72"/>
    </row>
    <row r="266" spans="6:8" x14ac:dyDescent="0.35">
      <c r="F266" s="72"/>
      <c r="G266" s="72"/>
      <c r="H266" s="72"/>
    </row>
    <row r="267" spans="6:8" x14ac:dyDescent="0.35">
      <c r="F267" s="72"/>
      <c r="G267" s="72"/>
      <c r="H267" s="72"/>
    </row>
    <row r="268" spans="6:8" x14ac:dyDescent="0.35">
      <c r="F268" s="72"/>
      <c r="G268" s="72"/>
      <c r="H268" s="72"/>
    </row>
    <row r="269" spans="6:8" x14ac:dyDescent="0.35">
      <c r="F269" s="72"/>
      <c r="G269" s="72"/>
      <c r="H269" s="72"/>
    </row>
    <row r="270" spans="6:8" x14ac:dyDescent="0.35">
      <c r="F270" s="72"/>
      <c r="G270" s="72"/>
      <c r="H270" s="72"/>
    </row>
    <row r="271" spans="6:8" x14ac:dyDescent="0.35">
      <c r="F271" s="72"/>
      <c r="G271" s="72"/>
      <c r="H271" s="72"/>
    </row>
    <row r="272" spans="6:8" x14ac:dyDescent="0.35">
      <c r="F272" s="72"/>
      <c r="G272" s="72"/>
      <c r="H272" s="72"/>
    </row>
    <row r="273" spans="6:8" x14ac:dyDescent="0.35">
      <c r="F273" s="72"/>
      <c r="G273" s="72"/>
      <c r="H273" s="72"/>
    </row>
    <row r="274" spans="6:8" x14ac:dyDescent="0.35">
      <c r="F274" s="72"/>
      <c r="G274" s="72"/>
      <c r="H274" s="72"/>
    </row>
    <row r="275" spans="6:8" x14ac:dyDescent="0.35">
      <c r="F275" s="72"/>
      <c r="G275" s="72"/>
      <c r="H275" s="72"/>
    </row>
    <row r="276" spans="6:8" x14ac:dyDescent="0.35">
      <c r="F276" s="72"/>
      <c r="G276" s="72"/>
      <c r="H276" s="72"/>
    </row>
    <row r="277" spans="6:8" x14ac:dyDescent="0.35">
      <c r="F277" s="72"/>
      <c r="G277" s="72"/>
      <c r="H277" s="72"/>
    </row>
    <row r="278" spans="6:8" x14ac:dyDescent="0.35">
      <c r="F278" s="72"/>
      <c r="G278" s="72"/>
      <c r="H278" s="72"/>
    </row>
    <row r="279" spans="6:8" x14ac:dyDescent="0.35">
      <c r="F279" s="72"/>
      <c r="G279" s="72"/>
      <c r="H279" s="72"/>
    </row>
    <row r="280" spans="6:8" x14ac:dyDescent="0.35">
      <c r="F280" s="72"/>
      <c r="G280" s="72"/>
      <c r="H280" s="72"/>
    </row>
    <row r="281" spans="6:8" x14ac:dyDescent="0.35">
      <c r="F281" s="72"/>
      <c r="G281" s="72"/>
      <c r="H281" s="72"/>
    </row>
    <row r="282" spans="6:8" x14ac:dyDescent="0.35">
      <c r="F282" s="72"/>
      <c r="G282" s="72"/>
      <c r="H282" s="72"/>
    </row>
    <row r="283" spans="6:8" x14ac:dyDescent="0.35">
      <c r="F283" s="72"/>
      <c r="G283" s="72"/>
      <c r="H283" s="72"/>
    </row>
    <row r="284" spans="6:8" x14ac:dyDescent="0.35">
      <c r="F284" s="72"/>
      <c r="G284" s="72"/>
      <c r="H284" s="72"/>
    </row>
    <row r="285" spans="6:8" x14ac:dyDescent="0.35">
      <c r="F285" s="72"/>
      <c r="G285" s="72"/>
      <c r="H285" s="72"/>
    </row>
    <row r="286" spans="6:8" x14ac:dyDescent="0.35">
      <c r="F286" s="72"/>
      <c r="G286" s="72"/>
      <c r="H286" s="72"/>
    </row>
    <row r="287" spans="6:8" x14ac:dyDescent="0.35">
      <c r="F287" s="72"/>
      <c r="G287" s="72"/>
      <c r="H287" s="72"/>
    </row>
    <row r="288" spans="6:8" x14ac:dyDescent="0.35">
      <c r="F288" s="72"/>
      <c r="G288" s="72"/>
      <c r="H288" s="72"/>
    </row>
    <row r="289" spans="6:8" x14ac:dyDescent="0.35">
      <c r="F289" s="72"/>
      <c r="G289" s="72"/>
      <c r="H289" s="72"/>
    </row>
    <row r="290" spans="6:8" x14ac:dyDescent="0.35">
      <c r="F290" s="72"/>
      <c r="G290" s="72"/>
      <c r="H290" s="72"/>
    </row>
    <row r="291" spans="6:8" x14ac:dyDescent="0.35">
      <c r="F291" s="72"/>
      <c r="G291" s="72"/>
      <c r="H291" s="72"/>
    </row>
    <row r="292" spans="6:8" x14ac:dyDescent="0.35">
      <c r="F292" s="72"/>
      <c r="G292" s="72"/>
      <c r="H292" s="72"/>
    </row>
    <row r="293" spans="6:8" x14ac:dyDescent="0.35">
      <c r="F293" s="72"/>
      <c r="G293" s="72"/>
      <c r="H293" s="72"/>
    </row>
    <row r="294" spans="6:8" x14ac:dyDescent="0.35">
      <c r="F294" s="72"/>
      <c r="G294" s="72"/>
      <c r="H294" s="72"/>
    </row>
    <row r="295" spans="6:8" x14ac:dyDescent="0.35">
      <c r="F295" s="72"/>
      <c r="G295" s="72"/>
      <c r="H295" s="72"/>
    </row>
    <row r="296" spans="6:8" x14ac:dyDescent="0.35">
      <c r="F296" s="72"/>
      <c r="G296" s="72"/>
      <c r="H296" s="72"/>
    </row>
    <row r="297" spans="6:8" x14ac:dyDescent="0.35">
      <c r="F297" s="72"/>
      <c r="G297" s="72"/>
      <c r="H297" s="72"/>
    </row>
    <row r="298" spans="6:8" x14ac:dyDescent="0.35">
      <c r="F298" s="72"/>
      <c r="G298" s="72"/>
      <c r="H298" s="72"/>
    </row>
    <row r="299" spans="6:8" x14ac:dyDescent="0.35">
      <c r="F299" s="72"/>
      <c r="G299" s="72"/>
      <c r="H299" s="72"/>
    </row>
    <row r="300" spans="6:8" x14ac:dyDescent="0.35">
      <c r="F300" s="72"/>
      <c r="G300" s="72"/>
      <c r="H300" s="72"/>
    </row>
    <row r="301" spans="6:8" x14ac:dyDescent="0.35">
      <c r="F301" s="72"/>
      <c r="G301" s="72"/>
      <c r="H301" s="72"/>
    </row>
    <row r="302" spans="6:8" x14ac:dyDescent="0.35">
      <c r="F302" s="72"/>
      <c r="G302" s="72"/>
      <c r="H302" s="72"/>
    </row>
    <row r="303" spans="6:8" x14ac:dyDescent="0.35">
      <c r="F303" s="72"/>
      <c r="G303" s="72"/>
      <c r="H303" s="72"/>
    </row>
    <row r="304" spans="6:8" x14ac:dyDescent="0.35">
      <c r="F304" s="72"/>
      <c r="G304" s="72"/>
      <c r="H304" s="72"/>
    </row>
    <row r="305" spans="6:8" x14ac:dyDescent="0.35">
      <c r="F305" s="72"/>
      <c r="G305" s="72"/>
      <c r="H305" s="72"/>
    </row>
    <row r="306" spans="6:8" x14ac:dyDescent="0.35">
      <c r="F306" s="72"/>
      <c r="G306" s="72"/>
      <c r="H306" s="72"/>
    </row>
    <row r="307" spans="6:8" x14ac:dyDescent="0.35">
      <c r="F307" s="72"/>
      <c r="G307" s="72"/>
      <c r="H307" s="72"/>
    </row>
    <row r="308" spans="6:8" x14ac:dyDescent="0.35">
      <c r="F308" s="72"/>
      <c r="G308" s="72"/>
      <c r="H308" s="72"/>
    </row>
    <row r="309" spans="6:8" x14ac:dyDescent="0.35">
      <c r="F309" s="72"/>
      <c r="G309" s="72"/>
      <c r="H309" s="72"/>
    </row>
    <row r="310" spans="6:8" x14ac:dyDescent="0.35">
      <c r="F310" s="72"/>
      <c r="G310" s="72"/>
      <c r="H310" s="72"/>
    </row>
    <row r="311" spans="6:8" x14ac:dyDescent="0.35">
      <c r="F311" s="72"/>
      <c r="G311" s="72"/>
      <c r="H311" s="72"/>
    </row>
    <row r="312" spans="6:8" x14ac:dyDescent="0.35">
      <c r="F312" s="72"/>
      <c r="G312" s="72"/>
      <c r="H312" s="72"/>
    </row>
    <row r="313" spans="6:8" x14ac:dyDescent="0.35">
      <c r="F313" s="72"/>
      <c r="G313" s="72"/>
      <c r="H313" s="72"/>
    </row>
    <row r="314" spans="6:8" x14ac:dyDescent="0.35">
      <c r="F314" s="72"/>
      <c r="G314" s="72"/>
      <c r="H314" s="72"/>
    </row>
    <row r="315" spans="6:8" x14ac:dyDescent="0.35">
      <c r="F315" s="72"/>
      <c r="G315" s="72"/>
      <c r="H315" s="72"/>
    </row>
    <row r="316" spans="6:8" x14ac:dyDescent="0.35">
      <c r="F316" s="72"/>
      <c r="G316" s="72"/>
      <c r="H316" s="72"/>
    </row>
    <row r="317" spans="6:8" x14ac:dyDescent="0.35">
      <c r="F317" s="72"/>
      <c r="G317" s="72"/>
      <c r="H317" s="72"/>
    </row>
    <row r="318" spans="6:8" x14ac:dyDescent="0.35">
      <c r="F318" s="72"/>
      <c r="G318" s="72"/>
      <c r="H318" s="72"/>
    </row>
    <row r="319" spans="6:8" x14ac:dyDescent="0.35">
      <c r="F319" s="72"/>
      <c r="G319" s="72"/>
      <c r="H319" s="72"/>
    </row>
    <row r="320" spans="6:8" x14ac:dyDescent="0.35">
      <c r="F320" s="72"/>
      <c r="G320" s="72"/>
      <c r="H320" s="72"/>
    </row>
    <row r="321" spans="6:8" x14ac:dyDescent="0.35">
      <c r="F321" s="72"/>
      <c r="G321" s="72"/>
      <c r="H321" s="72"/>
    </row>
    <row r="322" spans="6:8" x14ac:dyDescent="0.35">
      <c r="F322" s="72"/>
      <c r="G322" s="72"/>
      <c r="H322" s="72"/>
    </row>
    <row r="323" spans="6:8" x14ac:dyDescent="0.35">
      <c r="F323" s="72"/>
      <c r="G323" s="72"/>
      <c r="H323" s="72"/>
    </row>
    <row r="324" spans="6:8" x14ac:dyDescent="0.35">
      <c r="F324" s="72"/>
      <c r="G324" s="72"/>
      <c r="H324" s="72"/>
    </row>
    <row r="325" spans="6:8" x14ac:dyDescent="0.35">
      <c r="F325" s="72"/>
      <c r="G325" s="72"/>
      <c r="H325" s="72"/>
    </row>
    <row r="326" spans="6:8" x14ac:dyDescent="0.35">
      <c r="F326" s="72"/>
      <c r="G326" s="72"/>
      <c r="H326" s="72"/>
    </row>
    <row r="327" spans="6:8" x14ac:dyDescent="0.35">
      <c r="F327" s="72"/>
      <c r="G327" s="72"/>
      <c r="H327" s="72"/>
    </row>
    <row r="328" spans="6:8" x14ac:dyDescent="0.35">
      <c r="F328" s="72"/>
      <c r="G328" s="72"/>
      <c r="H328" s="72"/>
    </row>
    <row r="329" spans="6:8" x14ac:dyDescent="0.35">
      <c r="F329" s="72"/>
      <c r="G329" s="72"/>
      <c r="H329" s="72"/>
    </row>
    <row r="330" spans="6:8" x14ac:dyDescent="0.35">
      <c r="F330" s="72"/>
      <c r="G330" s="72"/>
      <c r="H330" s="72"/>
    </row>
    <row r="331" spans="6:8" x14ac:dyDescent="0.35">
      <c r="F331" s="72"/>
      <c r="G331" s="72"/>
      <c r="H331" s="72"/>
    </row>
    <row r="332" spans="6:8" x14ac:dyDescent="0.35">
      <c r="F332" s="72"/>
      <c r="G332" s="72"/>
      <c r="H332" s="72"/>
    </row>
    <row r="333" spans="6:8" x14ac:dyDescent="0.35">
      <c r="F333" s="72"/>
      <c r="G333" s="72"/>
      <c r="H333" s="72"/>
    </row>
    <row r="334" spans="6:8" x14ac:dyDescent="0.35">
      <c r="F334" s="72"/>
      <c r="G334" s="72"/>
      <c r="H334" s="72"/>
    </row>
    <row r="335" spans="6:8" x14ac:dyDescent="0.35">
      <c r="F335" s="72"/>
      <c r="G335" s="72"/>
      <c r="H335" s="72"/>
    </row>
    <row r="336" spans="6:8" x14ac:dyDescent="0.35">
      <c r="F336" s="72"/>
      <c r="G336" s="72"/>
      <c r="H336" s="72"/>
    </row>
    <row r="337" spans="6:8" x14ac:dyDescent="0.35">
      <c r="F337" s="72"/>
      <c r="G337" s="72"/>
      <c r="H337" s="72"/>
    </row>
    <row r="338" spans="6:8" x14ac:dyDescent="0.35">
      <c r="F338" s="72"/>
      <c r="G338" s="72"/>
      <c r="H338" s="72"/>
    </row>
    <row r="339" spans="6:8" x14ac:dyDescent="0.35">
      <c r="F339" s="72"/>
      <c r="G339" s="72"/>
      <c r="H339" s="72"/>
    </row>
    <row r="340" spans="6:8" x14ac:dyDescent="0.35">
      <c r="F340" s="72"/>
      <c r="G340" s="72"/>
      <c r="H340" s="72"/>
    </row>
    <row r="341" spans="6:8" x14ac:dyDescent="0.35">
      <c r="F341" s="72"/>
      <c r="G341" s="72"/>
      <c r="H341" s="72"/>
    </row>
    <row r="342" spans="6:8" x14ac:dyDescent="0.35">
      <c r="F342" s="72"/>
      <c r="G342" s="72"/>
      <c r="H342" s="72"/>
    </row>
    <row r="343" spans="6:8" x14ac:dyDescent="0.35">
      <c r="F343" s="72"/>
      <c r="G343" s="72"/>
      <c r="H343" s="72"/>
    </row>
    <row r="344" spans="6:8" x14ac:dyDescent="0.35">
      <c r="F344" s="72"/>
      <c r="G344" s="72"/>
      <c r="H344" s="72"/>
    </row>
    <row r="345" spans="6:8" x14ac:dyDescent="0.35">
      <c r="F345" s="72"/>
      <c r="G345" s="72"/>
      <c r="H345" s="72"/>
    </row>
    <row r="346" spans="6:8" x14ac:dyDescent="0.35">
      <c r="F346" s="72"/>
      <c r="G346" s="72"/>
      <c r="H346" s="72"/>
    </row>
    <row r="347" spans="6:8" x14ac:dyDescent="0.35">
      <c r="F347" s="72"/>
      <c r="G347" s="72"/>
      <c r="H347" s="72"/>
    </row>
    <row r="348" spans="6:8" x14ac:dyDescent="0.35">
      <c r="F348" s="72"/>
      <c r="G348" s="72"/>
      <c r="H348" s="72"/>
    </row>
    <row r="349" spans="6:8" x14ac:dyDescent="0.35">
      <c r="F349" s="72"/>
      <c r="G349" s="72"/>
      <c r="H349" s="72"/>
    </row>
    <row r="350" spans="6:8" x14ac:dyDescent="0.35">
      <c r="F350" s="72"/>
      <c r="G350" s="72"/>
      <c r="H350" s="72"/>
    </row>
    <row r="351" spans="6:8" x14ac:dyDescent="0.35">
      <c r="F351" s="72"/>
      <c r="G351" s="72"/>
      <c r="H351" s="72"/>
    </row>
    <row r="352" spans="6:8" x14ac:dyDescent="0.35">
      <c r="F352" s="72"/>
      <c r="G352" s="72"/>
      <c r="H352" s="72"/>
    </row>
    <row r="353" spans="6:8" x14ac:dyDescent="0.35">
      <c r="F353" s="72"/>
      <c r="G353" s="72"/>
      <c r="H353" s="72"/>
    </row>
    <row r="354" spans="6:8" x14ac:dyDescent="0.35">
      <c r="F354" s="72"/>
      <c r="G354" s="72"/>
      <c r="H354" s="72"/>
    </row>
    <row r="355" spans="6:8" x14ac:dyDescent="0.35">
      <c r="F355" s="72"/>
      <c r="G355" s="72"/>
      <c r="H355" s="72"/>
    </row>
    <row r="356" spans="6:8" x14ac:dyDescent="0.35">
      <c r="F356" s="72"/>
      <c r="G356" s="72"/>
      <c r="H356" s="72"/>
    </row>
    <row r="357" spans="6:8" x14ac:dyDescent="0.35">
      <c r="F357" s="72"/>
      <c r="G357" s="72"/>
      <c r="H357" s="72"/>
    </row>
    <row r="358" spans="6:8" x14ac:dyDescent="0.35">
      <c r="F358" s="72"/>
      <c r="G358" s="72"/>
      <c r="H358" s="72"/>
    </row>
    <row r="359" spans="6:8" x14ac:dyDescent="0.35">
      <c r="F359" s="72"/>
      <c r="G359" s="72"/>
      <c r="H359" s="72"/>
    </row>
    <row r="360" spans="6:8" x14ac:dyDescent="0.35">
      <c r="F360" s="72"/>
      <c r="G360" s="72"/>
      <c r="H360" s="72"/>
    </row>
    <row r="361" spans="6:8" x14ac:dyDescent="0.35">
      <c r="F361" s="72"/>
      <c r="G361" s="72"/>
      <c r="H361" s="72"/>
    </row>
    <row r="362" spans="6:8" x14ac:dyDescent="0.35">
      <c r="F362" s="72"/>
      <c r="G362" s="72"/>
      <c r="H362" s="72"/>
    </row>
    <row r="363" spans="6:8" x14ac:dyDescent="0.35">
      <c r="F363" s="72"/>
      <c r="G363" s="72"/>
      <c r="H363" s="72"/>
    </row>
    <row r="364" spans="6:8" x14ac:dyDescent="0.35">
      <c r="F364" s="72"/>
      <c r="G364" s="72"/>
      <c r="H364" s="72"/>
    </row>
    <row r="365" spans="6:8" x14ac:dyDescent="0.35">
      <c r="F365" s="72"/>
      <c r="G365" s="72"/>
      <c r="H365" s="72"/>
    </row>
    <row r="366" spans="6:8" x14ac:dyDescent="0.35">
      <c r="F366" s="72"/>
      <c r="G366" s="72"/>
      <c r="H366" s="72"/>
    </row>
    <row r="367" spans="6:8" x14ac:dyDescent="0.35">
      <c r="F367" s="72"/>
      <c r="G367" s="72"/>
      <c r="H367" s="72"/>
    </row>
    <row r="368" spans="6:8" x14ac:dyDescent="0.35">
      <c r="F368" s="72"/>
      <c r="G368" s="72"/>
      <c r="H368" s="72"/>
    </row>
    <row r="369" spans="6:8" x14ac:dyDescent="0.35">
      <c r="F369" s="72"/>
      <c r="G369" s="72"/>
      <c r="H369" s="72"/>
    </row>
    <row r="370" spans="6:8" x14ac:dyDescent="0.35">
      <c r="F370" s="72"/>
      <c r="G370" s="72"/>
      <c r="H370" s="72"/>
    </row>
    <row r="371" spans="6:8" x14ac:dyDescent="0.35">
      <c r="F371" s="72"/>
      <c r="G371" s="72"/>
      <c r="H371" s="72"/>
    </row>
    <row r="372" spans="6:8" x14ac:dyDescent="0.35">
      <c r="F372" s="72"/>
      <c r="G372" s="72"/>
      <c r="H372" s="72"/>
    </row>
    <row r="373" spans="6:8" x14ac:dyDescent="0.35">
      <c r="F373" s="72"/>
      <c r="G373" s="72"/>
      <c r="H373" s="72"/>
    </row>
    <row r="374" spans="6:8" x14ac:dyDescent="0.35">
      <c r="F374" s="72"/>
      <c r="G374" s="72"/>
      <c r="H374" s="72"/>
    </row>
    <row r="375" spans="6:8" x14ac:dyDescent="0.35">
      <c r="F375" s="72"/>
      <c r="G375" s="72"/>
      <c r="H375" s="72"/>
    </row>
    <row r="376" spans="6:8" x14ac:dyDescent="0.35">
      <c r="F376" s="72"/>
      <c r="G376" s="72"/>
      <c r="H376" s="72"/>
    </row>
    <row r="377" spans="6:8" x14ac:dyDescent="0.35">
      <c r="F377" s="72"/>
      <c r="G377" s="72"/>
      <c r="H377" s="72"/>
    </row>
    <row r="378" spans="6:8" x14ac:dyDescent="0.35">
      <c r="F378" s="72"/>
      <c r="G378" s="72"/>
      <c r="H378" s="72"/>
    </row>
    <row r="379" spans="6:8" x14ac:dyDescent="0.35">
      <c r="F379" s="72"/>
      <c r="G379" s="72"/>
      <c r="H379" s="72"/>
    </row>
    <row r="380" spans="6:8" x14ac:dyDescent="0.35">
      <c r="F380" s="72"/>
      <c r="G380" s="72"/>
      <c r="H380" s="72"/>
    </row>
    <row r="381" spans="6:8" x14ac:dyDescent="0.35">
      <c r="F381" s="72"/>
      <c r="G381" s="72"/>
      <c r="H381" s="72"/>
    </row>
    <row r="382" spans="6:8" x14ac:dyDescent="0.35">
      <c r="F382" s="72"/>
      <c r="G382" s="72"/>
      <c r="H382" s="72"/>
    </row>
    <row r="383" spans="6:8" x14ac:dyDescent="0.35">
      <c r="F383" s="72"/>
      <c r="G383" s="72"/>
      <c r="H383" s="72"/>
    </row>
    <row r="384" spans="6:8" x14ac:dyDescent="0.35">
      <c r="F384" s="72"/>
      <c r="G384" s="72"/>
      <c r="H384" s="72"/>
    </row>
    <row r="385" spans="6:8" x14ac:dyDescent="0.35">
      <c r="F385" s="72"/>
      <c r="G385" s="72"/>
      <c r="H385" s="72"/>
    </row>
    <row r="386" spans="6:8" x14ac:dyDescent="0.35">
      <c r="F386" s="72"/>
      <c r="G386" s="72"/>
      <c r="H386" s="72"/>
    </row>
    <row r="387" spans="6:8" x14ac:dyDescent="0.35">
      <c r="F387" s="72"/>
      <c r="G387" s="72"/>
      <c r="H387" s="72"/>
    </row>
    <row r="388" spans="6:8" x14ac:dyDescent="0.35">
      <c r="F388" s="72"/>
      <c r="G388" s="72"/>
      <c r="H388" s="72"/>
    </row>
    <row r="389" spans="6:8" x14ac:dyDescent="0.35">
      <c r="F389" s="72"/>
      <c r="G389" s="72"/>
      <c r="H389" s="72"/>
    </row>
    <row r="390" spans="6:8" x14ac:dyDescent="0.35">
      <c r="F390" s="72"/>
      <c r="G390" s="72"/>
      <c r="H390" s="72"/>
    </row>
    <row r="391" spans="6:8" x14ac:dyDescent="0.35">
      <c r="F391" s="72"/>
      <c r="G391" s="72"/>
      <c r="H391" s="72"/>
    </row>
    <row r="392" spans="6:8" x14ac:dyDescent="0.35">
      <c r="F392" s="72"/>
      <c r="G392" s="72"/>
      <c r="H392" s="72"/>
    </row>
    <row r="393" spans="6:8" x14ac:dyDescent="0.35">
      <c r="F393" s="72"/>
      <c r="G393" s="72"/>
      <c r="H393" s="72"/>
    </row>
    <row r="394" spans="6:8" x14ac:dyDescent="0.35">
      <c r="F394" s="72"/>
      <c r="G394" s="72"/>
      <c r="H394" s="72"/>
    </row>
    <row r="395" spans="6:8" x14ac:dyDescent="0.35">
      <c r="F395" s="72"/>
      <c r="G395" s="72"/>
      <c r="H395" s="72"/>
    </row>
    <row r="396" spans="6:8" x14ac:dyDescent="0.35">
      <c r="F396" s="72"/>
      <c r="G396" s="72"/>
      <c r="H396" s="72"/>
    </row>
    <row r="397" spans="6:8" x14ac:dyDescent="0.35">
      <c r="F397" s="72"/>
      <c r="G397" s="72"/>
      <c r="H397" s="72"/>
    </row>
    <row r="398" spans="6:8" x14ac:dyDescent="0.35">
      <c r="F398" s="72"/>
      <c r="G398" s="72"/>
      <c r="H398" s="72"/>
    </row>
    <row r="399" spans="6:8" x14ac:dyDescent="0.35">
      <c r="F399" s="72"/>
      <c r="G399" s="72"/>
      <c r="H399" s="72"/>
    </row>
    <row r="400" spans="6:8" x14ac:dyDescent="0.35">
      <c r="F400" s="72"/>
      <c r="G400" s="72"/>
      <c r="H400" s="72"/>
    </row>
    <row r="401" spans="6:8" x14ac:dyDescent="0.35">
      <c r="F401" s="72"/>
      <c r="G401" s="72"/>
      <c r="H401" s="72"/>
    </row>
    <row r="402" spans="6:8" x14ac:dyDescent="0.35">
      <c r="F402" s="72"/>
      <c r="G402" s="72"/>
      <c r="H402" s="72"/>
    </row>
    <row r="403" spans="6:8" x14ac:dyDescent="0.35">
      <c r="F403" s="72"/>
      <c r="G403" s="72"/>
      <c r="H403" s="72"/>
    </row>
    <row r="404" spans="6:8" x14ac:dyDescent="0.35">
      <c r="F404" s="72"/>
      <c r="G404" s="72"/>
      <c r="H404" s="72"/>
    </row>
    <row r="405" spans="6:8" x14ac:dyDescent="0.35">
      <c r="F405" s="72"/>
      <c r="G405" s="72"/>
      <c r="H405" s="72"/>
    </row>
    <row r="406" spans="6:8" x14ac:dyDescent="0.35">
      <c r="F406" s="72"/>
      <c r="G406" s="72"/>
      <c r="H406" s="72"/>
    </row>
    <row r="407" spans="6:8" x14ac:dyDescent="0.35">
      <c r="F407" s="72"/>
      <c r="G407" s="72"/>
      <c r="H407" s="72"/>
    </row>
    <row r="408" spans="6:8" x14ac:dyDescent="0.35">
      <c r="F408" s="72"/>
      <c r="G408" s="72"/>
      <c r="H408" s="72"/>
    </row>
    <row r="409" spans="6:8" x14ac:dyDescent="0.35">
      <c r="F409" s="72"/>
      <c r="G409" s="72"/>
      <c r="H409" s="72"/>
    </row>
    <row r="410" spans="6:8" x14ac:dyDescent="0.35">
      <c r="F410" s="72"/>
      <c r="G410" s="72"/>
      <c r="H410" s="72"/>
    </row>
    <row r="411" spans="6:8" x14ac:dyDescent="0.35">
      <c r="F411" s="72"/>
      <c r="G411" s="72"/>
      <c r="H411" s="72"/>
    </row>
    <row r="412" spans="6:8" x14ac:dyDescent="0.35">
      <c r="F412" s="72"/>
      <c r="G412" s="72"/>
      <c r="H412" s="72"/>
    </row>
    <row r="413" spans="6:8" x14ac:dyDescent="0.35">
      <c r="F413" s="72"/>
      <c r="G413" s="72"/>
      <c r="H413" s="72"/>
    </row>
    <row r="414" spans="6:8" x14ac:dyDescent="0.35">
      <c r="F414" s="72"/>
      <c r="G414" s="72"/>
      <c r="H414" s="72"/>
    </row>
    <row r="415" spans="6:8" x14ac:dyDescent="0.35">
      <c r="F415" s="72"/>
      <c r="G415" s="72"/>
      <c r="H415" s="72"/>
    </row>
    <row r="416" spans="6:8" x14ac:dyDescent="0.35">
      <c r="F416" s="72"/>
      <c r="G416" s="72"/>
      <c r="H416" s="72"/>
    </row>
    <row r="417" spans="6:8" x14ac:dyDescent="0.35">
      <c r="F417" s="72"/>
      <c r="G417" s="72"/>
      <c r="H417" s="72"/>
    </row>
    <row r="418" spans="6:8" x14ac:dyDescent="0.35">
      <c r="F418" s="72"/>
      <c r="G418" s="72"/>
      <c r="H418" s="72"/>
    </row>
    <row r="419" spans="6:8" x14ac:dyDescent="0.35">
      <c r="F419" s="72"/>
      <c r="G419" s="72"/>
      <c r="H419" s="72"/>
    </row>
    <row r="420" spans="6:8" x14ac:dyDescent="0.35">
      <c r="F420" s="72"/>
      <c r="G420" s="72"/>
      <c r="H420" s="72"/>
    </row>
    <row r="421" spans="6:8" x14ac:dyDescent="0.35">
      <c r="F421" s="72"/>
      <c r="G421" s="72"/>
      <c r="H421" s="72"/>
    </row>
    <row r="422" spans="6:8" x14ac:dyDescent="0.35">
      <c r="F422" s="72"/>
      <c r="G422" s="72"/>
      <c r="H422" s="72"/>
    </row>
    <row r="423" spans="6:8" x14ac:dyDescent="0.35">
      <c r="F423" s="72"/>
      <c r="G423" s="72"/>
      <c r="H423" s="72"/>
    </row>
    <row r="424" spans="6:8" x14ac:dyDescent="0.35">
      <c r="F424" s="72"/>
      <c r="G424" s="72"/>
      <c r="H424" s="72"/>
    </row>
    <row r="425" spans="6:8" x14ac:dyDescent="0.35">
      <c r="F425" s="72"/>
      <c r="G425" s="72"/>
      <c r="H425" s="72"/>
    </row>
    <row r="426" spans="6:8" x14ac:dyDescent="0.35">
      <c r="F426" s="72"/>
      <c r="G426" s="72"/>
      <c r="H426" s="72"/>
    </row>
    <row r="427" spans="6:8" x14ac:dyDescent="0.35">
      <c r="F427" s="72"/>
      <c r="G427" s="72"/>
      <c r="H427" s="72"/>
    </row>
    <row r="428" spans="6:8" x14ac:dyDescent="0.35">
      <c r="F428" s="72"/>
      <c r="G428" s="72"/>
      <c r="H428" s="72"/>
    </row>
    <row r="429" spans="6:8" x14ac:dyDescent="0.35">
      <c r="F429" s="72"/>
      <c r="G429" s="72"/>
      <c r="H429" s="72"/>
    </row>
    <row r="430" spans="6:8" x14ac:dyDescent="0.35">
      <c r="F430" s="72"/>
      <c r="G430" s="72"/>
      <c r="H430" s="72"/>
    </row>
    <row r="431" spans="6:8" x14ac:dyDescent="0.35">
      <c r="F431" s="72"/>
      <c r="G431" s="72"/>
      <c r="H431" s="72"/>
    </row>
    <row r="432" spans="6:8" x14ac:dyDescent="0.35">
      <c r="F432" s="72"/>
      <c r="G432" s="72"/>
      <c r="H432" s="72"/>
    </row>
    <row r="433" spans="6:8" x14ac:dyDescent="0.35">
      <c r="F433" s="72"/>
      <c r="G433" s="72"/>
      <c r="H433" s="72"/>
    </row>
    <row r="434" spans="6:8" x14ac:dyDescent="0.35">
      <c r="F434" s="72"/>
      <c r="G434" s="72"/>
      <c r="H434" s="72"/>
    </row>
    <row r="435" spans="6:8" x14ac:dyDescent="0.35">
      <c r="F435" s="72"/>
      <c r="G435" s="72"/>
      <c r="H435" s="72"/>
    </row>
    <row r="436" spans="6:8" x14ac:dyDescent="0.35">
      <c r="F436" s="72"/>
      <c r="G436" s="72"/>
      <c r="H436" s="72"/>
    </row>
    <row r="437" spans="6:8" x14ac:dyDescent="0.35">
      <c r="F437" s="72"/>
      <c r="G437" s="72"/>
      <c r="H437" s="72"/>
    </row>
    <row r="438" spans="6:8" x14ac:dyDescent="0.35">
      <c r="F438" s="72"/>
      <c r="G438" s="72"/>
      <c r="H438" s="72"/>
    </row>
    <row r="439" spans="6:8" x14ac:dyDescent="0.35">
      <c r="F439" s="72"/>
      <c r="G439" s="72"/>
      <c r="H439" s="72"/>
    </row>
    <row r="440" spans="6:8" x14ac:dyDescent="0.35">
      <c r="F440" s="72"/>
      <c r="G440" s="72"/>
      <c r="H440" s="72"/>
    </row>
    <row r="441" spans="6:8" x14ac:dyDescent="0.35">
      <c r="F441" s="72"/>
      <c r="G441" s="72"/>
      <c r="H441" s="72"/>
    </row>
    <row r="442" spans="6:8" x14ac:dyDescent="0.35">
      <c r="F442" s="72"/>
      <c r="G442" s="72"/>
      <c r="H442" s="72"/>
    </row>
    <row r="443" spans="6:8" x14ac:dyDescent="0.35">
      <c r="F443" s="72"/>
      <c r="G443" s="72"/>
      <c r="H443" s="72"/>
    </row>
    <row r="444" spans="6:8" x14ac:dyDescent="0.35">
      <c r="F444" s="72"/>
      <c r="G444" s="72"/>
      <c r="H444" s="72"/>
    </row>
    <row r="445" spans="6:8" x14ac:dyDescent="0.35">
      <c r="F445" s="72"/>
      <c r="G445" s="72"/>
      <c r="H445" s="72"/>
    </row>
    <row r="446" spans="6:8" x14ac:dyDescent="0.35">
      <c r="F446" s="72"/>
      <c r="G446" s="72"/>
      <c r="H446" s="72"/>
    </row>
    <row r="447" spans="6:8" x14ac:dyDescent="0.35">
      <c r="F447" s="72"/>
      <c r="G447" s="72"/>
      <c r="H447" s="72"/>
    </row>
    <row r="448" spans="6:8" x14ac:dyDescent="0.35">
      <c r="F448" s="72"/>
      <c r="G448" s="72"/>
      <c r="H448" s="72"/>
    </row>
    <row r="449" spans="6:8" x14ac:dyDescent="0.35">
      <c r="F449" s="72"/>
      <c r="G449" s="72"/>
      <c r="H449" s="72"/>
    </row>
    <row r="450" spans="6:8" x14ac:dyDescent="0.35">
      <c r="F450" s="72"/>
      <c r="G450" s="72"/>
      <c r="H450" s="72"/>
    </row>
    <row r="451" spans="6:8" x14ac:dyDescent="0.35">
      <c r="F451" s="72"/>
      <c r="G451" s="72"/>
      <c r="H451" s="72"/>
    </row>
    <row r="452" spans="6:8" x14ac:dyDescent="0.35">
      <c r="F452" s="72"/>
      <c r="G452" s="72"/>
      <c r="H452" s="72"/>
    </row>
    <row r="453" spans="6:8" x14ac:dyDescent="0.35">
      <c r="F453" s="72"/>
      <c r="G453" s="72"/>
      <c r="H453" s="72"/>
    </row>
    <row r="454" spans="6:8" x14ac:dyDescent="0.35">
      <c r="F454" s="72"/>
      <c r="G454" s="72"/>
      <c r="H454" s="72"/>
    </row>
    <row r="455" spans="6:8" x14ac:dyDescent="0.35">
      <c r="F455" s="72"/>
      <c r="G455" s="72"/>
      <c r="H455" s="72"/>
    </row>
    <row r="456" spans="6:8" x14ac:dyDescent="0.35">
      <c r="F456" s="72"/>
      <c r="G456" s="72"/>
      <c r="H456" s="72"/>
    </row>
    <row r="457" spans="6:8" x14ac:dyDescent="0.35">
      <c r="F457" s="72"/>
      <c r="G457" s="72"/>
      <c r="H457" s="72"/>
    </row>
    <row r="458" spans="6:8" x14ac:dyDescent="0.35">
      <c r="F458" s="72"/>
      <c r="G458" s="72"/>
      <c r="H458" s="72"/>
    </row>
    <row r="459" spans="6:8" x14ac:dyDescent="0.35">
      <c r="F459" s="72"/>
      <c r="G459" s="72"/>
      <c r="H459" s="72"/>
    </row>
    <row r="460" spans="6:8" x14ac:dyDescent="0.35">
      <c r="F460" s="72"/>
      <c r="G460" s="72"/>
      <c r="H460" s="72"/>
    </row>
    <row r="461" spans="6:8" x14ac:dyDescent="0.35">
      <c r="F461" s="72"/>
      <c r="G461" s="72"/>
      <c r="H461" s="72"/>
    </row>
    <row r="462" spans="6:8" x14ac:dyDescent="0.35">
      <c r="F462" s="72"/>
      <c r="G462" s="72"/>
      <c r="H462" s="72"/>
    </row>
    <row r="463" spans="6:8" x14ac:dyDescent="0.35">
      <c r="F463" s="72"/>
      <c r="G463" s="72"/>
      <c r="H463" s="72"/>
    </row>
    <row r="464" spans="6:8" x14ac:dyDescent="0.35">
      <c r="F464" s="72"/>
      <c r="G464" s="72"/>
      <c r="H464" s="72"/>
    </row>
    <row r="465" spans="6:8" x14ac:dyDescent="0.35">
      <c r="F465" s="72"/>
      <c r="G465" s="72"/>
      <c r="H465" s="72"/>
    </row>
    <row r="466" spans="6:8" x14ac:dyDescent="0.35">
      <c r="F466" s="72"/>
      <c r="G466" s="72"/>
      <c r="H466" s="72"/>
    </row>
    <row r="467" spans="6:8" x14ac:dyDescent="0.35">
      <c r="F467" s="72"/>
      <c r="G467" s="72"/>
      <c r="H467" s="72"/>
    </row>
    <row r="468" spans="6:8" x14ac:dyDescent="0.35">
      <c r="F468" s="72"/>
      <c r="G468" s="72"/>
      <c r="H468" s="72"/>
    </row>
    <row r="469" spans="6:8" x14ac:dyDescent="0.35">
      <c r="F469" s="72"/>
      <c r="G469" s="72"/>
      <c r="H469" s="72"/>
    </row>
    <row r="470" spans="6:8" x14ac:dyDescent="0.35">
      <c r="F470" s="72"/>
      <c r="G470" s="72"/>
      <c r="H470" s="72"/>
    </row>
    <row r="471" spans="6:8" x14ac:dyDescent="0.35">
      <c r="F471" s="72"/>
      <c r="G471" s="72"/>
      <c r="H471" s="72"/>
    </row>
    <row r="472" spans="6:8" x14ac:dyDescent="0.35">
      <c r="F472" s="72"/>
      <c r="G472" s="72"/>
      <c r="H472" s="72"/>
    </row>
    <row r="473" spans="6:8" x14ac:dyDescent="0.35">
      <c r="F473" s="72"/>
      <c r="G473" s="72"/>
      <c r="H473" s="72"/>
    </row>
    <row r="474" spans="6:8" x14ac:dyDescent="0.35">
      <c r="F474" s="72"/>
      <c r="G474" s="72"/>
      <c r="H474" s="72"/>
    </row>
    <row r="475" spans="6:8" x14ac:dyDescent="0.35">
      <c r="F475" s="72"/>
      <c r="G475" s="72"/>
      <c r="H475" s="72"/>
    </row>
    <row r="476" spans="6:8" x14ac:dyDescent="0.35">
      <c r="F476" s="72"/>
      <c r="G476" s="72"/>
      <c r="H476" s="72"/>
    </row>
    <row r="477" spans="6:8" x14ac:dyDescent="0.35">
      <c r="F477" s="72"/>
      <c r="G477" s="72"/>
      <c r="H477" s="72"/>
    </row>
    <row r="478" spans="6:8" x14ac:dyDescent="0.35">
      <c r="F478" s="72"/>
      <c r="G478" s="72"/>
      <c r="H478" s="72"/>
    </row>
    <row r="479" spans="6:8" x14ac:dyDescent="0.35">
      <c r="F479" s="72"/>
      <c r="G479" s="72"/>
      <c r="H479" s="72"/>
    </row>
    <row r="480" spans="6:8" x14ac:dyDescent="0.35">
      <c r="F480" s="72"/>
      <c r="G480" s="72"/>
      <c r="H480" s="72"/>
    </row>
    <row r="481" spans="6:8" x14ac:dyDescent="0.35">
      <c r="F481" s="72"/>
      <c r="G481" s="72"/>
      <c r="H481" s="72"/>
    </row>
    <row r="482" spans="6:8" x14ac:dyDescent="0.35">
      <c r="F482" s="72"/>
      <c r="G482" s="72"/>
      <c r="H482" s="72"/>
    </row>
    <row r="483" spans="6:8" x14ac:dyDescent="0.35">
      <c r="F483" s="72"/>
      <c r="G483" s="72"/>
      <c r="H483" s="72"/>
    </row>
    <row r="484" spans="6:8" x14ac:dyDescent="0.35">
      <c r="F484" s="72"/>
      <c r="G484" s="72"/>
      <c r="H484" s="72"/>
    </row>
    <row r="485" spans="6:8" x14ac:dyDescent="0.35">
      <c r="F485" s="72"/>
      <c r="G485" s="72"/>
      <c r="H485" s="72"/>
    </row>
    <row r="486" spans="6:8" x14ac:dyDescent="0.35">
      <c r="F486" s="72"/>
      <c r="G486" s="72"/>
      <c r="H486" s="72"/>
    </row>
    <row r="487" spans="6:8" x14ac:dyDescent="0.35">
      <c r="F487" s="72"/>
      <c r="G487" s="72"/>
      <c r="H487" s="72"/>
    </row>
    <row r="488" spans="6:8" x14ac:dyDescent="0.35">
      <c r="F488" s="72"/>
      <c r="G488" s="72"/>
      <c r="H488" s="72"/>
    </row>
    <row r="489" spans="6:8" x14ac:dyDescent="0.35">
      <c r="F489" s="72"/>
      <c r="G489" s="72"/>
      <c r="H489" s="72"/>
    </row>
    <row r="490" spans="6:8" x14ac:dyDescent="0.35">
      <c r="F490" s="72"/>
      <c r="G490" s="72"/>
      <c r="H490" s="72"/>
    </row>
    <row r="491" spans="6:8" x14ac:dyDescent="0.35">
      <c r="F491" s="72"/>
      <c r="G491" s="72"/>
      <c r="H491" s="72"/>
    </row>
    <row r="492" spans="6:8" x14ac:dyDescent="0.35">
      <c r="F492" s="72"/>
      <c r="G492" s="72"/>
      <c r="H492" s="72"/>
    </row>
    <row r="493" spans="6:8" x14ac:dyDescent="0.35">
      <c r="F493" s="72"/>
      <c r="G493" s="72"/>
      <c r="H493" s="72"/>
    </row>
    <row r="494" spans="6:8" x14ac:dyDescent="0.35">
      <c r="F494" s="72"/>
      <c r="G494" s="72"/>
      <c r="H494" s="72"/>
    </row>
    <row r="495" spans="6:8" x14ac:dyDescent="0.35">
      <c r="F495" s="72"/>
      <c r="G495" s="72"/>
      <c r="H495" s="72"/>
    </row>
    <row r="496" spans="6:8" x14ac:dyDescent="0.35">
      <c r="F496" s="72"/>
      <c r="G496" s="72"/>
      <c r="H496" s="72"/>
    </row>
    <row r="497" spans="6:8" x14ac:dyDescent="0.35">
      <c r="F497" s="72"/>
      <c r="G497" s="72"/>
      <c r="H497" s="72"/>
    </row>
    <row r="498" spans="6:8" x14ac:dyDescent="0.35">
      <c r="F498" s="72"/>
      <c r="G498" s="72"/>
      <c r="H498" s="72"/>
    </row>
    <row r="499" spans="6:8" x14ac:dyDescent="0.35">
      <c r="F499" s="72"/>
      <c r="G499" s="72"/>
      <c r="H499" s="72"/>
    </row>
    <row r="500" spans="6:8" x14ac:dyDescent="0.35">
      <c r="F500" s="72"/>
      <c r="G500" s="72"/>
      <c r="H500" s="72"/>
    </row>
    <row r="501" spans="6:8" x14ac:dyDescent="0.35">
      <c r="F501" s="72"/>
      <c r="G501" s="72"/>
      <c r="H501" s="72"/>
    </row>
    <row r="502" spans="6:8" x14ac:dyDescent="0.35">
      <c r="F502" s="72"/>
      <c r="G502" s="72"/>
      <c r="H502" s="72"/>
    </row>
    <row r="503" spans="6:8" x14ac:dyDescent="0.35">
      <c r="F503" s="72"/>
      <c r="G503" s="72"/>
      <c r="H503" s="72"/>
    </row>
    <row r="504" spans="6:8" x14ac:dyDescent="0.35">
      <c r="F504" s="72"/>
      <c r="G504" s="72"/>
      <c r="H504" s="72"/>
    </row>
    <row r="505" spans="6:8" x14ac:dyDescent="0.35">
      <c r="F505" s="72"/>
      <c r="G505" s="72"/>
      <c r="H505" s="72"/>
    </row>
    <row r="506" spans="6:8" x14ac:dyDescent="0.35">
      <c r="F506" s="72"/>
      <c r="G506" s="72"/>
      <c r="H506" s="72"/>
    </row>
    <row r="507" spans="6:8" x14ac:dyDescent="0.35">
      <c r="F507" s="72"/>
      <c r="G507" s="72"/>
      <c r="H507" s="72"/>
    </row>
    <row r="508" spans="6:8" x14ac:dyDescent="0.35">
      <c r="F508" s="72"/>
      <c r="G508" s="72"/>
      <c r="H508" s="72"/>
    </row>
    <row r="509" spans="6:8" x14ac:dyDescent="0.35">
      <c r="F509" s="72"/>
      <c r="G509" s="72"/>
      <c r="H509" s="72"/>
    </row>
    <row r="510" spans="6:8" x14ac:dyDescent="0.35">
      <c r="F510" s="72"/>
      <c r="G510" s="72"/>
      <c r="H510" s="72"/>
    </row>
    <row r="511" spans="6:8" x14ac:dyDescent="0.35">
      <c r="F511" s="72"/>
      <c r="G511" s="72"/>
      <c r="H511" s="72"/>
    </row>
    <row r="512" spans="6:8" x14ac:dyDescent="0.35">
      <c r="F512" s="72"/>
      <c r="G512" s="72"/>
      <c r="H512" s="72"/>
    </row>
    <row r="513" spans="6:8" x14ac:dyDescent="0.35">
      <c r="F513" s="72"/>
      <c r="G513" s="72"/>
      <c r="H513" s="72"/>
    </row>
    <row r="514" spans="6:8" x14ac:dyDescent="0.35">
      <c r="F514" s="72"/>
      <c r="G514" s="72"/>
      <c r="H514" s="72"/>
    </row>
    <row r="515" spans="6:8" x14ac:dyDescent="0.35">
      <c r="F515" s="72"/>
      <c r="G515" s="72"/>
      <c r="H515" s="72"/>
    </row>
    <row r="516" spans="6:8" x14ac:dyDescent="0.35">
      <c r="F516" s="72"/>
      <c r="G516" s="72"/>
      <c r="H516" s="72"/>
    </row>
    <row r="517" spans="6:8" x14ac:dyDescent="0.35">
      <c r="F517" s="72"/>
      <c r="G517" s="72"/>
      <c r="H517" s="72"/>
    </row>
    <row r="518" spans="6:8" x14ac:dyDescent="0.35">
      <c r="F518" s="72"/>
      <c r="G518" s="72"/>
      <c r="H518" s="72"/>
    </row>
    <row r="519" spans="6:8" x14ac:dyDescent="0.35">
      <c r="F519" s="72"/>
      <c r="G519" s="72"/>
      <c r="H519" s="72"/>
    </row>
    <row r="520" spans="6:8" x14ac:dyDescent="0.35">
      <c r="F520" s="72"/>
      <c r="G520" s="72"/>
      <c r="H520" s="72"/>
    </row>
    <row r="521" spans="6:8" x14ac:dyDescent="0.35">
      <c r="F521" s="72"/>
      <c r="G521" s="72"/>
      <c r="H521" s="72"/>
    </row>
    <row r="522" spans="6:8" x14ac:dyDescent="0.35">
      <c r="F522" s="72"/>
      <c r="G522" s="72"/>
      <c r="H522" s="72"/>
    </row>
    <row r="523" spans="6:8" x14ac:dyDescent="0.35">
      <c r="F523" s="72"/>
      <c r="G523" s="72"/>
      <c r="H523" s="72"/>
    </row>
    <row r="524" spans="6:8" x14ac:dyDescent="0.35">
      <c r="F524" s="72"/>
      <c r="G524" s="72"/>
      <c r="H524" s="72"/>
    </row>
    <row r="525" spans="6:8" x14ac:dyDescent="0.35">
      <c r="F525" s="72"/>
      <c r="G525" s="72"/>
      <c r="H525" s="72"/>
    </row>
    <row r="526" spans="6:8" x14ac:dyDescent="0.35">
      <c r="F526" s="72"/>
      <c r="G526" s="72"/>
      <c r="H526" s="72"/>
    </row>
    <row r="527" spans="6:8" x14ac:dyDescent="0.35">
      <c r="F527" s="72"/>
      <c r="G527" s="72"/>
      <c r="H527" s="72"/>
    </row>
    <row r="528" spans="6:8" x14ac:dyDescent="0.35">
      <c r="F528" s="72"/>
      <c r="G528" s="72"/>
      <c r="H528" s="72"/>
    </row>
    <row r="529" spans="6:8" x14ac:dyDescent="0.35">
      <c r="F529" s="72"/>
      <c r="G529" s="72"/>
      <c r="H529" s="72"/>
    </row>
    <row r="530" spans="6:8" x14ac:dyDescent="0.35">
      <c r="F530" s="72"/>
      <c r="G530" s="72"/>
      <c r="H530" s="72"/>
    </row>
    <row r="531" spans="6:8" x14ac:dyDescent="0.35">
      <c r="F531" s="72"/>
      <c r="G531" s="72"/>
      <c r="H531" s="72"/>
    </row>
    <row r="532" spans="6:8" x14ac:dyDescent="0.35">
      <c r="F532" s="72"/>
      <c r="G532" s="72"/>
      <c r="H532" s="72"/>
    </row>
    <row r="533" spans="6:8" x14ac:dyDescent="0.35">
      <c r="F533" s="72"/>
      <c r="G533" s="72"/>
      <c r="H533" s="72"/>
    </row>
    <row r="534" spans="6:8" x14ac:dyDescent="0.35">
      <c r="F534" s="72"/>
      <c r="G534" s="72"/>
      <c r="H534" s="72"/>
    </row>
    <row r="535" spans="6:8" x14ac:dyDescent="0.35">
      <c r="F535" s="72"/>
      <c r="G535" s="72"/>
      <c r="H535" s="72"/>
    </row>
    <row r="536" spans="6:8" x14ac:dyDescent="0.35">
      <c r="F536" s="72"/>
      <c r="G536" s="72"/>
      <c r="H536" s="72"/>
    </row>
    <row r="537" spans="6:8" x14ac:dyDescent="0.35">
      <c r="F537" s="72"/>
      <c r="G537" s="72"/>
      <c r="H537" s="72"/>
    </row>
    <row r="538" spans="6:8" x14ac:dyDescent="0.35">
      <c r="F538" s="72"/>
      <c r="G538" s="72"/>
      <c r="H538" s="72"/>
    </row>
    <row r="539" spans="6:8" x14ac:dyDescent="0.35">
      <c r="F539" s="72"/>
      <c r="G539" s="72"/>
      <c r="H539" s="72"/>
    </row>
    <row r="540" spans="6:8" x14ac:dyDescent="0.35">
      <c r="F540" s="72"/>
      <c r="G540" s="72"/>
      <c r="H540" s="72"/>
    </row>
    <row r="541" spans="6:8" x14ac:dyDescent="0.35">
      <c r="F541" s="72"/>
      <c r="G541" s="72"/>
      <c r="H541" s="72"/>
    </row>
    <row r="542" spans="6:8" x14ac:dyDescent="0.35">
      <c r="F542" s="72"/>
      <c r="G542" s="72"/>
      <c r="H542" s="72"/>
    </row>
    <row r="543" spans="6:8" x14ac:dyDescent="0.35">
      <c r="F543" s="72"/>
      <c r="G543" s="72"/>
      <c r="H543" s="72"/>
    </row>
    <row r="544" spans="6:8" x14ac:dyDescent="0.35">
      <c r="F544" s="72"/>
      <c r="G544" s="72"/>
      <c r="H544" s="72"/>
    </row>
    <row r="545" spans="6:8" x14ac:dyDescent="0.35">
      <c r="F545" s="72"/>
      <c r="G545" s="72"/>
      <c r="H545" s="72"/>
    </row>
    <row r="546" spans="6:8" x14ac:dyDescent="0.35">
      <c r="F546" s="72"/>
      <c r="G546" s="72"/>
      <c r="H546" s="72"/>
    </row>
    <row r="547" spans="6:8" x14ac:dyDescent="0.35">
      <c r="F547" s="72"/>
      <c r="G547" s="72"/>
      <c r="H547" s="72"/>
    </row>
    <row r="548" spans="6:8" x14ac:dyDescent="0.35">
      <c r="F548" s="72"/>
      <c r="G548" s="72"/>
      <c r="H548" s="72"/>
    </row>
    <row r="549" spans="6:8" x14ac:dyDescent="0.35">
      <c r="F549" s="72"/>
      <c r="G549" s="72"/>
      <c r="H549" s="72"/>
    </row>
    <row r="550" spans="6:8" x14ac:dyDescent="0.35">
      <c r="F550" s="72"/>
      <c r="G550" s="72"/>
      <c r="H550" s="72"/>
    </row>
    <row r="551" spans="6:8" x14ac:dyDescent="0.35">
      <c r="F551" s="72"/>
      <c r="G551" s="72"/>
      <c r="H551" s="72"/>
    </row>
    <row r="552" spans="6:8" x14ac:dyDescent="0.35">
      <c r="F552" s="72"/>
      <c r="G552" s="72"/>
      <c r="H552" s="72"/>
    </row>
    <row r="553" spans="6:8" x14ac:dyDescent="0.35">
      <c r="F553" s="72"/>
      <c r="G553" s="72"/>
      <c r="H553" s="72"/>
    </row>
    <row r="554" spans="6:8" x14ac:dyDescent="0.35">
      <c r="F554" s="72"/>
      <c r="G554" s="72"/>
      <c r="H554" s="72"/>
    </row>
    <row r="555" spans="6:8" x14ac:dyDescent="0.35">
      <c r="F555" s="72"/>
      <c r="G555" s="72"/>
      <c r="H555" s="72"/>
    </row>
    <row r="556" spans="6:8" x14ac:dyDescent="0.35">
      <c r="F556" s="72"/>
      <c r="G556" s="72"/>
      <c r="H556" s="72"/>
    </row>
    <row r="557" spans="6:8" x14ac:dyDescent="0.35">
      <c r="F557" s="72"/>
      <c r="G557" s="72"/>
      <c r="H557" s="72"/>
    </row>
    <row r="558" spans="6:8" x14ac:dyDescent="0.35">
      <c r="F558" s="72"/>
      <c r="G558" s="72"/>
      <c r="H558" s="72"/>
    </row>
    <row r="559" spans="6:8" x14ac:dyDescent="0.35">
      <c r="F559" s="72"/>
      <c r="G559" s="72"/>
      <c r="H559" s="72"/>
    </row>
    <row r="560" spans="6:8" x14ac:dyDescent="0.35">
      <c r="F560" s="72"/>
      <c r="G560" s="72"/>
      <c r="H560" s="72"/>
    </row>
    <row r="561" spans="6:8" x14ac:dyDescent="0.35">
      <c r="F561" s="72"/>
      <c r="G561" s="72"/>
      <c r="H561" s="72"/>
    </row>
    <row r="562" spans="6:8" x14ac:dyDescent="0.35">
      <c r="F562" s="72"/>
      <c r="G562" s="72"/>
      <c r="H562" s="72"/>
    </row>
    <row r="563" spans="6:8" x14ac:dyDescent="0.35">
      <c r="F563" s="72"/>
      <c r="G563" s="72"/>
      <c r="H563" s="72"/>
    </row>
    <row r="564" spans="6:8" x14ac:dyDescent="0.35">
      <c r="F564" s="72"/>
      <c r="G564" s="72"/>
      <c r="H564" s="72"/>
    </row>
    <row r="565" spans="6:8" x14ac:dyDescent="0.35">
      <c r="F565" s="72"/>
      <c r="G565" s="72"/>
      <c r="H565" s="72"/>
    </row>
    <row r="566" spans="6:8" x14ac:dyDescent="0.35">
      <c r="F566" s="72"/>
      <c r="G566" s="72"/>
      <c r="H566" s="72"/>
    </row>
    <row r="567" spans="6:8" x14ac:dyDescent="0.35">
      <c r="F567" s="72"/>
      <c r="G567" s="72"/>
      <c r="H567" s="72"/>
    </row>
    <row r="568" spans="6:8" x14ac:dyDescent="0.35">
      <c r="F568" s="72"/>
      <c r="G568" s="72"/>
      <c r="H568" s="72"/>
    </row>
    <row r="569" spans="6:8" x14ac:dyDescent="0.35">
      <c r="F569" s="72"/>
      <c r="G569" s="72"/>
      <c r="H569" s="72"/>
    </row>
    <row r="570" spans="6:8" x14ac:dyDescent="0.35">
      <c r="F570" s="72"/>
      <c r="G570" s="72"/>
      <c r="H570" s="72"/>
    </row>
    <row r="571" spans="6:8" x14ac:dyDescent="0.35">
      <c r="F571" s="72"/>
      <c r="G571" s="72"/>
      <c r="H571" s="72"/>
    </row>
    <row r="572" spans="6:8" x14ac:dyDescent="0.35">
      <c r="F572" s="72"/>
      <c r="G572" s="72"/>
      <c r="H572" s="72"/>
    </row>
    <row r="573" spans="6:8" x14ac:dyDescent="0.35">
      <c r="F573" s="72"/>
      <c r="G573" s="72"/>
      <c r="H573" s="72"/>
    </row>
    <row r="574" spans="6:8" x14ac:dyDescent="0.35">
      <c r="F574" s="72"/>
      <c r="G574" s="72"/>
      <c r="H574" s="72"/>
    </row>
    <row r="575" spans="6:8" x14ac:dyDescent="0.35">
      <c r="F575" s="72"/>
      <c r="G575" s="72"/>
      <c r="H575" s="72"/>
    </row>
    <row r="576" spans="6:8" x14ac:dyDescent="0.35">
      <c r="F576" s="72"/>
      <c r="G576" s="72"/>
      <c r="H576" s="72"/>
    </row>
    <row r="577" spans="6:8" x14ac:dyDescent="0.35">
      <c r="F577" s="72"/>
      <c r="G577" s="72"/>
      <c r="H577" s="72"/>
    </row>
    <row r="578" spans="6:8" x14ac:dyDescent="0.35">
      <c r="F578" s="72"/>
      <c r="G578" s="72"/>
      <c r="H578" s="72"/>
    </row>
    <row r="579" spans="6:8" x14ac:dyDescent="0.35">
      <c r="F579" s="72"/>
      <c r="G579" s="72"/>
      <c r="H579" s="72"/>
    </row>
    <row r="580" spans="6:8" x14ac:dyDescent="0.35">
      <c r="F580" s="72"/>
      <c r="G580" s="72"/>
      <c r="H580" s="72"/>
    </row>
    <row r="581" spans="6:8" x14ac:dyDescent="0.35">
      <c r="F581" s="72"/>
      <c r="G581" s="72"/>
      <c r="H581" s="72"/>
    </row>
    <row r="582" spans="6:8" x14ac:dyDescent="0.35">
      <c r="F582" s="72"/>
      <c r="G582" s="72"/>
      <c r="H582" s="72"/>
    </row>
    <row r="583" spans="6:8" x14ac:dyDescent="0.35">
      <c r="F583" s="72"/>
      <c r="G583" s="72"/>
      <c r="H583" s="72"/>
    </row>
    <row r="584" spans="6:8" x14ac:dyDescent="0.35">
      <c r="F584" s="72"/>
      <c r="G584" s="72"/>
      <c r="H584" s="72"/>
    </row>
    <row r="585" spans="6:8" x14ac:dyDescent="0.35">
      <c r="F585" s="72"/>
      <c r="G585" s="72"/>
      <c r="H585" s="72"/>
    </row>
    <row r="586" spans="6:8" x14ac:dyDescent="0.35">
      <c r="F586" s="72"/>
      <c r="G586" s="72"/>
      <c r="H586" s="72"/>
    </row>
    <row r="587" spans="6:8" x14ac:dyDescent="0.35">
      <c r="F587" s="72"/>
      <c r="G587" s="72"/>
      <c r="H587" s="72"/>
    </row>
    <row r="588" spans="6:8" x14ac:dyDescent="0.35">
      <c r="F588" s="72"/>
      <c r="G588" s="72"/>
      <c r="H588" s="72"/>
    </row>
    <row r="589" spans="6:8" x14ac:dyDescent="0.35">
      <c r="F589" s="72"/>
      <c r="G589" s="72"/>
      <c r="H589" s="72"/>
    </row>
    <row r="590" spans="6:8" x14ac:dyDescent="0.35">
      <c r="F590" s="72"/>
      <c r="G590" s="72"/>
      <c r="H590" s="72"/>
    </row>
    <row r="591" spans="6:8" x14ac:dyDescent="0.35">
      <c r="F591" s="72"/>
      <c r="G591" s="72"/>
      <c r="H591" s="72"/>
    </row>
    <row r="592" spans="6:8" x14ac:dyDescent="0.35">
      <c r="F592" s="72"/>
      <c r="G592" s="72"/>
      <c r="H592" s="72"/>
    </row>
    <row r="593" spans="6:8" x14ac:dyDescent="0.35">
      <c r="F593" s="72"/>
      <c r="G593" s="72"/>
      <c r="H593" s="72"/>
    </row>
    <row r="594" spans="6:8" x14ac:dyDescent="0.35">
      <c r="F594" s="72"/>
      <c r="G594" s="72"/>
      <c r="H594" s="72"/>
    </row>
    <row r="595" spans="6:8" x14ac:dyDescent="0.35">
      <c r="F595" s="72"/>
      <c r="G595" s="72"/>
      <c r="H595" s="72"/>
    </row>
    <row r="596" spans="6:8" x14ac:dyDescent="0.35">
      <c r="F596" s="72"/>
      <c r="G596" s="72"/>
      <c r="H596" s="72"/>
    </row>
    <row r="597" spans="6:8" x14ac:dyDescent="0.35">
      <c r="F597" s="72"/>
      <c r="G597" s="72"/>
      <c r="H597" s="72"/>
    </row>
    <row r="598" spans="6:8" x14ac:dyDescent="0.35">
      <c r="F598" s="72"/>
      <c r="G598" s="72"/>
      <c r="H598" s="72"/>
    </row>
    <row r="599" spans="6:8" x14ac:dyDescent="0.35">
      <c r="F599" s="72"/>
      <c r="G599" s="72"/>
      <c r="H599" s="72"/>
    </row>
    <row r="600" spans="6:8" x14ac:dyDescent="0.35">
      <c r="F600" s="72"/>
      <c r="G600" s="72"/>
      <c r="H600" s="72"/>
    </row>
    <row r="601" spans="6:8" x14ac:dyDescent="0.35">
      <c r="F601" s="72"/>
      <c r="G601" s="72"/>
      <c r="H601" s="72"/>
    </row>
    <row r="602" spans="6:8" x14ac:dyDescent="0.35">
      <c r="F602" s="72"/>
      <c r="G602" s="72"/>
      <c r="H602" s="72"/>
    </row>
    <row r="603" spans="6:8" x14ac:dyDescent="0.35">
      <c r="F603" s="72"/>
      <c r="G603" s="72"/>
      <c r="H603" s="72"/>
    </row>
    <row r="604" spans="6:8" x14ac:dyDescent="0.35">
      <c r="F604" s="72"/>
      <c r="G604" s="72"/>
      <c r="H604" s="72"/>
    </row>
    <row r="605" spans="6:8" x14ac:dyDescent="0.35">
      <c r="F605" s="72"/>
      <c r="G605" s="72"/>
      <c r="H605" s="72"/>
    </row>
    <row r="606" spans="6:8" x14ac:dyDescent="0.35">
      <c r="F606" s="72"/>
      <c r="G606" s="72"/>
      <c r="H606" s="72"/>
    </row>
    <row r="607" spans="6:8" x14ac:dyDescent="0.35">
      <c r="F607" s="72"/>
      <c r="G607" s="72"/>
      <c r="H607" s="72"/>
    </row>
    <row r="608" spans="6:8" x14ac:dyDescent="0.35">
      <c r="F608" s="72"/>
      <c r="G608" s="72"/>
      <c r="H608" s="72"/>
    </row>
    <row r="609" spans="6:8" x14ac:dyDescent="0.35">
      <c r="F609" s="72"/>
      <c r="G609" s="72"/>
      <c r="H609" s="72"/>
    </row>
    <row r="610" spans="6:8" x14ac:dyDescent="0.35">
      <c r="F610" s="72"/>
      <c r="G610" s="72"/>
      <c r="H610" s="72"/>
    </row>
    <row r="611" spans="6:8" x14ac:dyDescent="0.35">
      <c r="F611" s="72"/>
      <c r="G611" s="72"/>
      <c r="H611" s="72"/>
    </row>
    <row r="612" spans="6:8" x14ac:dyDescent="0.35">
      <c r="F612" s="72"/>
      <c r="G612" s="72"/>
      <c r="H612" s="72"/>
    </row>
    <row r="613" spans="6:8" x14ac:dyDescent="0.35">
      <c r="F613" s="72"/>
      <c r="G613" s="72"/>
      <c r="H613" s="72"/>
    </row>
    <row r="614" spans="6:8" x14ac:dyDescent="0.35">
      <c r="F614" s="72"/>
      <c r="G614" s="72"/>
      <c r="H614" s="72"/>
    </row>
    <row r="615" spans="6:8" x14ac:dyDescent="0.35">
      <c r="F615" s="72"/>
      <c r="G615" s="72"/>
      <c r="H615" s="72"/>
    </row>
    <row r="616" spans="6:8" x14ac:dyDescent="0.35">
      <c r="F616" s="72"/>
      <c r="G616" s="72"/>
      <c r="H616" s="72"/>
    </row>
    <row r="617" spans="6:8" x14ac:dyDescent="0.35">
      <c r="F617" s="72"/>
      <c r="G617" s="72"/>
      <c r="H617" s="72"/>
    </row>
    <row r="618" spans="6:8" x14ac:dyDescent="0.35">
      <c r="F618" s="72"/>
      <c r="G618" s="72"/>
      <c r="H618" s="72"/>
    </row>
    <row r="619" spans="6:8" x14ac:dyDescent="0.35">
      <c r="F619" s="72"/>
      <c r="G619" s="72"/>
      <c r="H619" s="72"/>
    </row>
    <row r="620" spans="6:8" x14ac:dyDescent="0.35">
      <c r="F620" s="72"/>
      <c r="G620" s="72"/>
      <c r="H620" s="72"/>
    </row>
    <row r="621" spans="6:8" x14ac:dyDescent="0.35">
      <c r="F621" s="72"/>
      <c r="G621" s="72"/>
      <c r="H621" s="72"/>
    </row>
    <row r="622" spans="6:8" x14ac:dyDescent="0.35">
      <c r="F622" s="72"/>
      <c r="G622" s="72"/>
      <c r="H622" s="72"/>
    </row>
    <row r="623" spans="6:8" x14ac:dyDescent="0.35">
      <c r="F623" s="72"/>
      <c r="G623" s="72"/>
      <c r="H623" s="72"/>
    </row>
    <row r="624" spans="6:8" x14ac:dyDescent="0.35">
      <c r="F624" s="72"/>
      <c r="G624" s="72"/>
      <c r="H624" s="72"/>
    </row>
    <row r="625" spans="6:8" x14ac:dyDescent="0.35">
      <c r="F625" s="72"/>
      <c r="G625" s="72"/>
      <c r="H625" s="72"/>
    </row>
    <row r="626" spans="6:8" x14ac:dyDescent="0.35">
      <c r="F626" s="72"/>
      <c r="G626" s="72"/>
      <c r="H626" s="72"/>
    </row>
    <row r="627" spans="6:8" x14ac:dyDescent="0.35">
      <c r="F627" s="72"/>
      <c r="G627" s="72"/>
      <c r="H627" s="72"/>
    </row>
    <row r="628" spans="6:8" x14ac:dyDescent="0.35">
      <c r="F628" s="72"/>
      <c r="G628" s="72"/>
      <c r="H628" s="72"/>
    </row>
    <row r="629" spans="6:8" x14ac:dyDescent="0.35">
      <c r="F629" s="72"/>
      <c r="G629" s="72"/>
      <c r="H629" s="72"/>
    </row>
    <row r="630" spans="6:8" x14ac:dyDescent="0.35">
      <c r="F630" s="72"/>
      <c r="G630" s="72"/>
      <c r="H630" s="72"/>
    </row>
    <row r="631" spans="6:8" x14ac:dyDescent="0.35">
      <c r="F631" s="72"/>
      <c r="G631" s="72"/>
      <c r="H631" s="72"/>
    </row>
    <row r="632" spans="6:8" x14ac:dyDescent="0.35">
      <c r="F632" s="72"/>
      <c r="G632" s="72"/>
      <c r="H632" s="72"/>
    </row>
    <row r="633" spans="6:8" x14ac:dyDescent="0.35">
      <c r="F633" s="72"/>
      <c r="G633" s="72"/>
      <c r="H633" s="72"/>
    </row>
    <row r="634" spans="6:8" x14ac:dyDescent="0.35">
      <c r="F634" s="72"/>
      <c r="G634" s="72"/>
      <c r="H634" s="72"/>
    </row>
    <row r="635" spans="6:8" x14ac:dyDescent="0.35">
      <c r="F635" s="72"/>
      <c r="G635" s="72"/>
      <c r="H635" s="72"/>
    </row>
    <row r="636" spans="6:8" x14ac:dyDescent="0.35">
      <c r="F636" s="72"/>
      <c r="G636" s="72"/>
      <c r="H636" s="72"/>
    </row>
    <row r="637" spans="6:8" x14ac:dyDescent="0.35">
      <c r="F637" s="72"/>
      <c r="G637" s="72"/>
      <c r="H637" s="72"/>
    </row>
    <row r="638" spans="6:8" x14ac:dyDescent="0.35">
      <c r="F638" s="72"/>
      <c r="G638" s="72"/>
      <c r="H638" s="72"/>
    </row>
    <row r="639" spans="6:8" x14ac:dyDescent="0.35">
      <c r="F639" s="72"/>
      <c r="G639" s="72"/>
      <c r="H639" s="72"/>
    </row>
    <row r="640" spans="6:8" x14ac:dyDescent="0.35">
      <c r="F640" s="72"/>
      <c r="G640" s="72"/>
      <c r="H640" s="72"/>
    </row>
    <row r="641" spans="6:8" x14ac:dyDescent="0.35">
      <c r="F641" s="72"/>
      <c r="G641" s="72"/>
      <c r="H641" s="72"/>
    </row>
    <row r="642" spans="6:8" x14ac:dyDescent="0.35">
      <c r="F642" s="72"/>
      <c r="G642" s="72"/>
      <c r="H642" s="72"/>
    </row>
    <row r="643" spans="6:8" x14ac:dyDescent="0.35">
      <c r="F643" s="72"/>
      <c r="G643" s="72"/>
      <c r="H643" s="72"/>
    </row>
    <row r="644" spans="6:8" x14ac:dyDescent="0.35">
      <c r="F644" s="72"/>
      <c r="G644" s="72"/>
      <c r="H644" s="72"/>
    </row>
    <row r="645" spans="6:8" x14ac:dyDescent="0.35">
      <c r="F645" s="72"/>
      <c r="G645" s="72"/>
      <c r="H645" s="72"/>
    </row>
    <row r="646" spans="6:8" x14ac:dyDescent="0.35">
      <c r="F646" s="72"/>
      <c r="G646" s="72"/>
      <c r="H646" s="72"/>
    </row>
    <row r="647" spans="6:8" x14ac:dyDescent="0.35">
      <c r="F647" s="72"/>
      <c r="G647" s="72"/>
      <c r="H647" s="72"/>
    </row>
    <row r="648" spans="6:8" x14ac:dyDescent="0.35">
      <c r="F648" s="72"/>
      <c r="G648" s="72"/>
      <c r="H648" s="72"/>
    </row>
    <row r="649" spans="6:8" x14ac:dyDescent="0.35">
      <c r="F649" s="72"/>
      <c r="G649" s="72"/>
      <c r="H649" s="72"/>
    </row>
    <row r="650" spans="6:8" x14ac:dyDescent="0.35">
      <c r="F650" s="72"/>
      <c r="G650" s="72"/>
      <c r="H650" s="72"/>
    </row>
    <row r="651" spans="6:8" x14ac:dyDescent="0.35">
      <c r="F651" s="72"/>
      <c r="G651" s="72"/>
      <c r="H651" s="72"/>
    </row>
    <row r="652" spans="6:8" x14ac:dyDescent="0.35">
      <c r="F652" s="72"/>
      <c r="G652" s="72"/>
      <c r="H652" s="72"/>
    </row>
    <row r="653" spans="6:8" x14ac:dyDescent="0.35">
      <c r="F653" s="72"/>
      <c r="G653" s="72"/>
      <c r="H653" s="72"/>
    </row>
    <row r="654" spans="6:8" x14ac:dyDescent="0.35">
      <c r="F654" s="72"/>
      <c r="G654" s="72"/>
      <c r="H654" s="72"/>
    </row>
    <row r="655" spans="6:8" x14ac:dyDescent="0.35">
      <c r="F655" s="72"/>
      <c r="G655" s="72"/>
      <c r="H655" s="72"/>
    </row>
    <row r="656" spans="6:8" x14ac:dyDescent="0.35">
      <c r="F656" s="72"/>
      <c r="G656" s="72"/>
      <c r="H656" s="72"/>
    </row>
    <row r="657" spans="6:8" x14ac:dyDescent="0.35">
      <c r="F657" s="72"/>
      <c r="G657" s="72"/>
      <c r="H657" s="72"/>
    </row>
    <row r="658" spans="6:8" x14ac:dyDescent="0.35">
      <c r="F658" s="72"/>
      <c r="G658" s="72"/>
      <c r="H658" s="72"/>
    </row>
    <row r="659" spans="6:8" x14ac:dyDescent="0.35">
      <c r="F659" s="72"/>
      <c r="G659" s="72"/>
      <c r="H659" s="72"/>
    </row>
    <row r="660" spans="6:8" x14ac:dyDescent="0.35">
      <c r="F660" s="72"/>
      <c r="G660" s="72"/>
      <c r="H660" s="72"/>
    </row>
    <row r="661" spans="6:8" x14ac:dyDescent="0.35">
      <c r="F661" s="72"/>
      <c r="G661" s="72"/>
      <c r="H661" s="72"/>
    </row>
    <row r="662" spans="6:8" x14ac:dyDescent="0.35">
      <c r="F662" s="72"/>
      <c r="G662" s="72"/>
      <c r="H662" s="72"/>
    </row>
    <row r="663" spans="6:8" x14ac:dyDescent="0.35">
      <c r="F663" s="72"/>
      <c r="G663" s="72"/>
      <c r="H663" s="72"/>
    </row>
    <row r="664" spans="6:8" x14ac:dyDescent="0.35">
      <c r="F664" s="72"/>
      <c r="G664" s="72"/>
      <c r="H664" s="72"/>
    </row>
    <row r="665" spans="6:8" x14ac:dyDescent="0.35">
      <c r="F665" s="72"/>
      <c r="G665" s="72"/>
      <c r="H665" s="72"/>
    </row>
    <row r="666" spans="6:8" x14ac:dyDescent="0.35">
      <c r="F666" s="72"/>
      <c r="G666" s="72"/>
      <c r="H666" s="72"/>
    </row>
    <row r="667" spans="6:8" x14ac:dyDescent="0.35">
      <c r="F667" s="72"/>
      <c r="G667" s="72"/>
      <c r="H667" s="72"/>
    </row>
    <row r="668" spans="6:8" x14ac:dyDescent="0.35">
      <c r="F668" s="72"/>
      <c r="G668" s="72"/>
      <c r="H668" s="72"/>
    </row>
    <row r="669" spans="6:8" x14ac:dyDescent="0.35">
      <c r="F669" s="72"/>
      <c r="G669" s="72"/>
      <c r="H669" s="72"/>
    </row>
    <row r="670" spans="6:8" x14ac:dyDescent="0.35">
      <c r="F670" s="72"/>
      <c r="G670" s="72"/>
      <c r="H670" s="72"/>
    </row>
    <row r="671" spans="6:8" x14ac:dyDescent="0.35">
      <c r="F671" s="72"/>
      <c r="G671" s="72"/>
      <c r="H671" s="72"/>
    </row>
    <row r="672" spans="6:8" x14ac:dyDescent="0.35">
      <c r="F672" s="72"/>
      <c r="G672" s="72"/>
      <c r="H672" s="72"/>
    </row>
    <row r="673" spans="6:8" x14ac:dyDescent="0.35">
      <c r="F673" s="72"/>
      <c r="G673" s="72"/>
      <c r="H673" s="72"/>
    </row>
    <row r="674" spans="6:8" x14ac:dyDescent="0.35">
      <c r="F674" s="72"/>
      <c r="G674" s="72"/>
      <c r="H674" s="72"/>
    </row>
    <row r="675" spans="6:8" x14ac:dyDescent="0.35">
      <c r="F675" s="72"/>
      <c r="G675" s="72"/>
      <c r="H675" s="72"/>
    </row>
    <row r="676" spans="6:8" x14ac:dyDescent="0.35">
      <c r="F676" s="72"/>
      <c r="G676" s="72"/>
      <c r="H676" s="72"/>
    </row>
    <row r="677" spans="6:8" x14ac:dyDescent="0.35">
      <c r="F677" s="72"/>
      <c r="G677" s="72"/>
      <c r="H677" s="72"/>
    </row>
    <row r="678" spans="6:8" x14ac:dyDescent="0.35">
      <c r="F678" s="72"/>
      <c r="G678" s="72"/>
      <c r="H678" s="72"/>
    </row>
    <row r="679" spans="6:8" x14ac:dyDescent="0.35">
      <c r="F679" s="72"/>
      <c r="G679" s="72"/>
      <c r="H679" s="72"/>
    </row>
    <row r="680" spans="6:8" x14ac:dyDescent="0.35">
      <c r="F680" s="72"/>
      <c r="G680" s="72"/>
      <c r="H680" s="72"/>
    </row>
    <row r="681" spans="6:8" x14ac:dyDescent="0.35">
      <c r="F681" s="72"/>
      <c r="G681" s="72"/>
      <c r="H681" s="72"/>
    </row>
    <row r="682" spans="6:8" x14ac:dyDescent="0.35">
      <c r="F682" s="72"/>
      <c r="G682" s="72"/>
      <c r="H682" s="72"/>
    </row>
    <row r="683" spans="6:8" x14ac:dyDescent="0.35">
      <c r="F683" s="72"/>
      <c r="G683" s="72"/>
      <c r="H683" s="72"/>
    </row>
    <row r="684" spans="6:8" x14ac:dyDescent="0.35">
      <c r="F684" s="72"/>
      <c r="G684" s="72"/>
      <c r="H684" s="72"/>
    </row>
    <row r="685" spans="6:8" x14ac:dyDescent="0.35">
      <c r="F685" s="72"/>
      <c r="G685" s="72"/>
      <c r="H685" s="72"/>
    </row>
    <row r="686" spans="6:8" x14ac:dyDescent="0.35">
      <c r="F686" s="72"/>
      <c r="G686" s="72"/>
      <c r="H686" s="72"/>
    </row>
    <row r="687" spans="6:8" x14ac:dyDescent="0.35">
      <c r="F687" s="72"/>
      <c r="G687" s="72"/>
      <c r="H687" s="72"/>
    </row>
    <row r="688" spans="6:8" x14ac:dyDescent="0.35">
      <c r="F688" s="72"/>
      <c r="G688" s="72"/>
      <c r="H688" s="72"/>
    </row>
    <row r="689" spans="6:8" x14ac:dyDescent="0.35">
      <c r="F689" s="72"/>
      <c r="G689" s="72"/>
      <c r="H689" s="72"/>
    </row>
    <row r="690" spans="6:8" x14ac:dyDescent="0.35">
      <c r="F690" s="72"/>
      <c r="G690" s="72"/>
      <c r="H690" s="72"/>
    </row>
    <row r="691" spans="6:8" x14ac:dyDescent="0.35">
      <c r="F691" s="72"/>
      <c r="G691" s="72"/>
      <c r="H691" s="72"/>
    </row>
    <row r="692" spans="6:8" x14ac:dyDescent="0.35">
      <c r="F692" s="72"/>
      <c r="G692" s="72"/>
      <c r="H692" s="72"/>
    </row>
    <row r="693" spans="6:8" x14ac:dyDescent="0.35">
      <c r="F693" s="72"/>
      <c r="G693" s="72"/>
      <c r="H693" s="72"/>
    </row>
    <row r="694" spans="6:8" x14ac:dyDescent="0.35">
      <c r="F694" s="72"/>
      <c r="G694" s="72"/>
      <c r="H694" s="72"/>
    </row>
    <row r="695" spans="6:8" x14ac:dyDescent="0.35">
      <c r="F695" s="72"/>
      <c r="G695" s="72"/>
      <c r="H695" s="72"/>
    </row>
    <row r="696" spans="6:8" x14ac:dyDescent="0.35">
      <c r="F696" s="72"/>
      <c r="G696" s="72"/>
      <c r="H696" s="72"/>
    </row>
    <row r="697" spans="6:8" x14ac:dyDescent="0.35">
      <c r="F697" s="72"/>
      <c r="G697" s="72"/>
      <c r="H697" s="72"/>
    </row>
    <row r="698" spans="6:8" x14ac:dyDescent="0.35">
      <c r="F698" s="72"/>
      <c r="G698" s="72"/>
      <c r="H698" s="72"/>
    </row>
    <row r="699" spans="6:8" x14ac:dyDescent="0.35">
      <c r="F699" s="72"/>
      <c r="G699" s="72"/>
      <c r="H699" s="72"/>
    </row>
    <row r="700" spans="6:8" x14ac:dyDescent="0.35">
      <c r="F700" s="72"/>
      <c r="G700" s="72"/>
      <c r="H700" s="72"/>
    </row>
    <row r="701" spans="6:8" x14ac:dyDescent="0.35">
      <c r="F701" s="72"/>
      <c r="G701" s="72"/>
      <c r="H701" s="72"/>
    </row>
    <row r="702" spans="6:8" x14ac:dyDescent="0.35">
      <c r="F702" s="72"/>
      <c r="G702" s="72"/>
      <c r="H702" s="72"/>
    </row>
    <row r="703" spans="6:8" x14ac:dyDescent="0.35">
      <c r="F703" s="72"/>
      <c r="G703" s="72"/>
      <c r="H703" s="72"/>
    </row>
    <row r="704" spans="6:8" x14ac:dyDescent="0.35">
      <c r="F704" s="72"/>
      <c r="G704" s="72"/>
      <c r="H704" s="72"/>
    </row>
    <row r="705" spans="6:8" x14ac:dyDescent="0.35">
      <c r="F705" s="72"/>
      <c r="G705" s="72"/>
      <c r="H705" s="72"/>
    </row>
    <row r="706" spans="6:8" x14ac:dyDescent="0.35">
      <c r="F706" s="72"/>
      <c r="G706" s="72"/>
      <c r="H706" s="72"/>
    </row>
    <row r="707" spans="6:8" x14ac:dyDescent="0.35">
      <c r="F707" s="72"/>
      <c r="G707" s="72"/>
      <c r="H707" s="72"/>
    </row>
    <row r="708" spans="6:8" x14ac:dyDescent="0.35">
      <c r="F708" s="72"/>
      <c r="G708" s="72"/>
      <c r="H708" s="72"/>
    </row>
    <row r="709" spans="6:8" x14ac:dyDescent="0.35">
      <c r="F709" s="72"/>
      <c r="G709" s="72"/>
      <c r="H709" s="72"/>
    </row>
    <row r="710" spans="6:8" x14ac:dyDescent="0.35">
      <c r="F710" s="72"/>
      <c r="G710" s="72"/>
      <c r="H710" s="72"/>
    </row>
    <row r="711" spans="6:8" x14ac:dyDescent="0.35">
      <c r="F711" s="72"/>
      <c r="G711" s="72"/>
      <c r="H711" s="72"/>
    </row>
    <row r="712" spans="6:8" x14ac:dyDescent="0.35">
      <c r="F712" s="72"/>
      <c r="G712" s="72"/>
      <c r="H712" s="72"/>
    </row>
    <row r="713" spans="6:8" x14ac:dyDescent="0.35">
      <c r="F713" s="72"/>
      <c r="G713" s="72"/>
      <c r="H713" s="72"/>
    </row>
    <row r="714" spans="6:8" x14ac:dyDescent="0.35">
      <c r="F714" s="72"/>
      <c r="G714" s="72"/>
      <c r="H714" s="72"/>
    </row>
    <row r="715" spans="6:8" x14ac:dyDescent="0.35">
      <c r="F715" s="72"/>
      <c r="G715" s="72"/>
      <c r="H715" s="72"/>
    </row>
    <row r="716" spans="6:8" x14ac:dyDescent="0.35">
      <c r="F716" s="72"/>
      <c r="G716" s="72"/>
      <c r="H716" s="72"/>
    </row>
    <row r="717" spans="6:8" x14ac:dyDescent="0.35">
      <c r="F717" s="72"/>
      <c r="G717" s="72"/>
      <c r="H717" s="72"/>
    </row>
    <row r="718" spans="6:8" x14ac:dyDescent="0.35">
      <c r="F718" s="72"/>
      <c r="G718" s="72"/>
      <c r="H718" s="72"/>
    </row>
    <row r="719" spans="6:8" x14ac:dyDescent="0.35">
      <c r="F719" s="72"/>
      <c r="G719" s="72"/>
      <c r="H719" s="72"/>
    </row>
    <row r="720" spans="6:8" x14ac:dyDescent="0.35">
      <c r="F720" s="72"/>
      <c r="G720" s="72"/>
      <c r="H720" s="72"/>
    </row>
    <row r="721" spans="6:8" x14ac:dyDescent="0.35">
      <c r="F721" s="72"/>
      <c r="G721" s="72"/>
      <c r="H721" s="72"/>
    </row>
    <row r="722" spans="6:8" x14ac:dyDescent="0.35">
      <c r="F722" s="72"/>
      <c r="G722" s="72"/>
      <c r="H722" s="72"/>
    </row>
    <row r="723" spans="6:8" x14ac:dyDescent="0.35">
      <c r="F723" s="72"/>
      <c r="G723" s="72"/>
      <c r="H723" s="72"/>
    </row>
    <row r="724" spans="6:8" x14ac:dyDescent="0.35">
      <c r="F724" s="72"/>
      <c r="G724" s="72"/>
      <c r="H724" s="72"/>
    </row>
    <row r="725" spans="6:8" x14ac:dyDescent="0.35">
      <c r="F725" s="72"/>
      <c r="G725" s="72"/>
      <c r="H725" s="72"/>
    </row>
    <row r="726" spans="6:8" x14ac:dyDescent="0.35">
      <c r="F726" s="72"/>
      <c r="G726" s="72"/>
      <c r="H726" s="72"/>
    </row>
    <row r="727" spans="6:8" x14ac:dyDescent="0.35">
      <c r="F727" s="72"/>
      <c r="G727" s="72"/>
      <c r="H727" s="72"/>
    </row>
    <row r="728" spans="6:8" x14ac:dyDescent="0.35">
      <c r="F728" s="72"/>
      <c r="G728" s="72"/>
      <c r="H728" s="72"/>
    </row>
    <row r="729" spans="6:8" x14ac:dyDescent="0.35">
      <c r="F729" s="72"/>
      <c r="G729" s="72"/>
      <c r="H729" s="72"/>
    </row>
    <row r="730" spans="6:8" x14ac:dyDescent="0.35">
      <c r="F730" s="72"/>
      <c r="G730" s="72"/>
      <c r="H730" s="72"/>
    </row>
    <row r="731" spans="6:8" x14ac:dyDescent="0.35">
      <c r="F731" s="72"/>
      <c r="G731" s="72"/>
      <c r="H731" s="72"/>
    </row>
    <row r="732" spans="6:8" x14ac:dyDescent="0.35">
      <c r="F732" s="72"/>
      <c r="G732" s="72"/>
      <c r="H732" s="72"/>
    </row>
    <row r="733" spans="6:8" x14ac:dyDescent="0.35">
      <c r="F733" s="72"/>
      <c r="G733" s="72"/>
      <c r="H733" s="72"/>
    </row>
    <row r="734" spans="6:8" x14ac:dyDescent="0.35">
      <c r="F734" s="72"/>
      <c r="G734" s="72"/>
      <c r="H734" s="72"/>
    </row>
    <row r="735" spans="6:8" x14ac:dyDescent="0.35">
      <c r="F735" s="72"/>
      <c r="G735" s="72"/>
      <c r="H735" s="72"/>
    </row>
    <row r="736" spans="6:8" x14ac:dyDescent="0.35">
      <c r="F736" s="72"/>
      <c r="G736" s="72"/>
      <c r="H736" s="72"/>
    </row>
    <row r="737" spans="6:8" x14ac:dyDescent="0.35">
      <c r="F737" s="72"/>
      <c r="G737" s="72"/>
      <c r="H737" s="72"/>
    </row>
    <row r="738" spans="6:8" x14ac:dyDescent="0.35">
      <c r="F738" s="72"/>
      <c r="G738" s="72"/>
      <c r="H738" s="72"/>
    </row>
    <row r="739" spans="6:8" x14ac:dyDescent="0.35">
      <c r="F739" s="72"/>
      <c r="G739" s="72"/>
      <c r="H739" s="72"/>
    </row>
    <row r="740" spans="6:8" x14ac:dyDescent="0.35">
      <c r="F740" s="72"/>
      <c r="G740" s="72"/>
      <c r="H740" s="72"/>
    </row>
    <row r="741" spans="6:8" x14ac:dyDescent="0.35">
      <c r="F741" s="72"/>
      <c r="G741" s="72"/>
      <c r="H741" s="72"/>
    </row>
    <row r="742" spans="6:8" x14ac:dyDescent="0.35">
      <c r="F742" s="72"/>
      <c r="G742" s="72"/>
      <c r="H742" s="72"/>
    </row>
    <row r="743" spans="6:8" x14ac:dyDescent="0.35">
      <c r="F743" s="72"/>
      <c r="G743" s="72"/>
      <c r="H743" s="72"/>
    </row>
    <row r="744" spans="6:8" x14ac:dyDescent="0.35">
      <c r="F744" s="72"/>
      <c r="G744" s="72"/>
      <c r="H744" s="72"/>
    </row>
    <row r="745" spans="6:8" x14ac:dyDescent="0.35">
      <c r="F745" s="72"/>
      <c r="G745" s="72"/>
      <c r="H745" s="72"/>
    </row>
    <row r="746" spans="6:8" x14ac:dyDescent="0.35">
      <c r="F746" s="72"/>
      <c r="G746" s="72"/>
      <c r="H746" s="72"/>
    </row>
    <row r="747" spans="6:8" x14ac:dyDescent="0.35">
      <c r="F747" s="72"/>
      <c r="G747" s="72"/>
      <c r="H747" s="72"/>
    </row>
    <row r="748" spans="6:8" x14ac:dyDescent="0.35">
      <c r="F748" s="72"/>
      <c r="G748" s="72"/>
      <c r="H748" s="72"/>
    </row>
    <row r="749" spans="6:8" x14ac:dyDescent="0.35">
      <c r="F749" s="72"/>
      <c r="G749" s="72"/>
      <c r="H749" s="72"/>
    </row>
    <row r="750" spans="6:8" x14ac:dyDescent="0.35">
      <c r="F750" s="72"/>
      <c r="G750" s="72"/>
      <c r="H750" s="72"/>
    </row>
    <row r="751" spans="6:8" x14ac:dyDescent="0.35">
      <c r="F751" s="72"/>
      <c r="G751" s="72"/>
      <c r="H751" s="72"/>
    </row>
    <row r="752" spans="6:8" x14ac:dyDescent="0.35">
      <c r="F752" s="72"/>
      <c r="G752" s="72"/>
      <c r="H752" s="72"/>
    </row>
    <row r="753" spans="6:8" x14ac:dyDescent="0.35">
      <c r="F753" s="72"/>
      <c r="G753" s="72"/>
      <c r="H753" s="72"/>
    </row>
    <row r="754" spans="6:8" x14ac:dyDescent="0.35">
      <c r="F754" s="72"/>
      <c r="G754" s="72"/>
      <c r="H754" s="72"/>
    </row>
    <row r="755" spans="6:8" x14ac:dyDescent="0.35">
      <c r="F755" s="72"/>
      <c r="G755" s="72"/>
      <c r="H755" s="72"/>
    </row>
    <row r="756" spans="6:8" x14ac:dyDescent="0.35">
      <c r="F756" s="72"/>
      <c r="G756" s="72"/>
      <c r="H756" s="72"/>
    </row>
    <row r="757" spans="6:8" x14ac:dyDescent="0.35">
      <c r="F757" s="72"/>
      <c r="G757" s="72"/>
      <c r="H757" s="72"/>
    </row>
    <row r="758" spans="6:8" x14ac:dyDescent="0.35">
      <c r="F758" s="72"/>
      <c r="G758" s="72"/>
      <c r="H758" s="72"/>
    </row>
    <row r="759" spans="6:8" x14ac:dyDescent="0.35">
      <c r="F759" s="72"/>
      <c r="G759" s="72"/>
      <c r="H759" s="72"/>
    </row>
    <row r="760" spans="6:8" x14ac:dyDescent="0.35">
      <c r="F760" s="72"/>
      <c r="G760" s="72"/>
      <c r="H760" s="72"/>
    </row>
    <row r="761" spans="6:8" x14ac:dyDescent="0.35">
      <c r="F761" s="72"/>
      <c r="G761" s="72"/>
      <c r="H761" s="72"/>
    </row>
    <row r="762" spans="6:8" x14ac:dyDescent="0.35">
      <c r="F762" s="72"/>
      <c r="G762" s="72"/>
      <c r="H762" s="72"/>
    </row>
    <row r="763" spans="6:8" x14ac:dyDescent="0.35">
      <c r="F763" s="72"/>
      <c r="G763" s="72"/>
      <c r="H763" s="72"/>
    </row>
    <row r="764" spans="6:8" x14ac:dyDescent="0.35">
      <c r="F764" s="72"/>
      <c r="G764" s="72"/>
      <c r="H764" s="72"/>
    </row>
    <row r="765" spans="6:8" x14ac:dyDescent="0.35">
      <c r="F765" s="72"/>
      <c r="G765" s="72"/>
      <c r="H765" s="72"/>
    </row>
    <row r="766" spans="6:8" x14ac:dyDescent="0.35">
      <c r="F766" s="72"/>
      <c r="G766" s="72"/>
      <c r="H766" s="72"/>
    </row>
    <row r="767" spans="6:8" x14ac:dyDescent="0.35">
      <c r="F767" s="72"/>
      <c r="G767" s="72"/>
      <c r="H767" s="72"/>
    </row>
    <row r="768" spans="6:8" x14ac:dyDescent="0.35">
      <c r="F768" s="72"/>
      <c r="G768" s="72"/>
      <c r="H768" s="72"/>
    </row>
    <row r="769" spans="6:8" x14ac:dyDescent="0.35">
      <c r="F769" s="72"/>
      <c r="G769" s="72"/>
      <c r="H769" s="72"/>
    </row>
    <row r="770" spans="6:8" x14ac:dyDescent="0.35">
      <c r="F770" s="72"/>
      <c r="G770" s="72"/>
      <c r="H770" s="72"/>
    </row>
    <row r="771" spans="6:8" x14ac:dyDescent="0.35">
      <c r="F771" s="72"/>
      <c r="G771" s="72"/>
      <c r="H771" s="72"/>
    </row>
    <row r="772" spans="6:8" x14ac:dyDescent="0.35">
      <c r="F772" s="72"/>
      <c r="G772" s="72"/>
      <c r="H772" s="72"/>
    </row>
    <row r="773" spans="6:8" x14ac:dyDescent="0.35">
      <c r="F773" s="72"/>
      <c r="G773" s="72"/>
      <c r="H773" s="72"/>
    </row>
    <row r="774" spans="6:8" x14ac:dyDescent="0.35">
      <c r="F774" s="72"/>
      <c r="G774" s="72"/>
      <c r="H774" s="72"/>
    </row>
    <row r="775" spans="6:8" x14ac:dyDescent="0.35">
      <c r="F775" s="72"/>
      <c r="G775" s="72"/>
      <c r="H775" s="72"/>
    </row>
    <row r="776" spans="6:8" x14ac:dyDescent="0.35">
      <c r="F776" s="72"/>
      <c r="G776" s="72"/>
      <c r="H776" s="72"/>
    </row>
    <row r="777" spans="6:8" x14ac:dyDescent="0.35">
      <c r="F777" s="72"/>
      <c r="G777" s="72"/>
      <c r="H777" s="72"/>
    </row>
    <row r="778" spans="6:8" x14ac:dyDescent="0.35">
      <c r="F778" s="72"/>
      <c r="G778" s="72"/>
      <c r="H778" s="72"/>
    </row>
    <row r="779" spans="6:8" x14ac:dyDescent="0.35">
      <c r="F779" s="72"/>
      <c r="G779" s="72"/>
      <c r="H779" s="72"/>
    </row>
    <row r="780" spans="6:8" x14ac:dyDescent="0.35">
      <c r="F780" s="72"/>
      <c r="G780" s="72"/>
      <c r="H780" s="72"/>
    </row>
    <row r="781" spans="6:8" x14ac:dyDescent="0.35">
      <c r="F781" s="72"/>
      <c r="G781" s="72"/>
      <c r="H781" s="72"/>
    </row>
    <row r="782" spans="6:8" x14ac:dyDescent="0.35">
      <c r="F782" s="72"/>
      <c r="G782" s="72"/>
      <c r="H782" s="72"/>
    </row>
    <row r="783" spans="6:8" x14ac:dyDescent="0.35">
      <c r="F783" s="72"/>
      <c r="G783" s="72"/>
      <c r="H783" s="72"/>
    </row>
    <row r="784" spans="6:8" x14ac:dyDescent="0.35">
      <c r="F784" s="72"/>
      <c r="G784" s="72"/>
      <c r="H784" s="72"/>
    </row>
    <row r="785" spans="6:8" x14ac:dyDescent="0.35">
      <c r="F785" s="72"/>
      <c r="G785" s="72"/>
      <c r="H785" s="72"/>
    </row>
    <row r="786" spans="6:8" x14ac:dyDescent="0.35">
      <c r="F786" s="72"/>
      <c r="G786" s="72"/>
      <c r="H786" s="72"/>
    </row>
    <row r="787" spans="6:8" x14ac:dyDescent="0.35">
      <c r="F787" s="72"/>
      <c r="G787" s="72"/>
      <c r="H787" s="72"/>
    </row>
    <row r="788" spans="6:8" x14ac:dyDescent="0.35">
      <c r="F788" s="72"/>
      <c r="G788" s="72"/>
      <c r="H788" s="72"/>
    </row>
    <row r="789" spans="6:8" x14ac:dyDescent="0.35">
      <c r="F789" s="72"/>
      <c r="G789" s="72"/>
      <c r="H789" s="72"/>
    </row>
    <row r="790" spans="6:8" x14ac:dyDescent="0.35">
      <c r="F790" s="72"/>
      <c r="G790" s="72"/>
      <c r="H790" s="72"/>
    </row>
    <row r="791" spans="6:8" x14ac:dyDescent="0.35">
      <c r="F791" s="72"/>
      <c r="G791" s="72"/>
      <c r="H791" s="72"/>
    </row>
    <row r="792" spans="6:8" x14ac:dyDescent="0.35">
      <c r="F792" s="72"/>
      <c r="G792" s="72"/>
      <c r="H792" s="72"/>
    </row>
    <row r="793" spans="6:8" x14ac:dyDescent="0.35">
      <c r="F793" s="72"/>
      <c r="G793" s="72"/>
      <c r="H793" s="72"/>
    </row>
    <row r="794" spans="6:8" x14ac:dyDescent="0.35">
      <c r="F794" s="72"/>
      <c r="G794" s="72"/>
      <c r="H794" s="72"/>
    </row>
    <row r="795" spans="6:8" x14ac:dyDescent="0.35">
      <c r="F795" s="72"/>
      <c r="G795" s="72"/>
      <c r="H795" s="72"/>
    </row>
    <row r="796" spans="6:8" x14ac:dyDescent="0.35">
      <c r="F796" s="72"/>
      <c r="G796" s="72"/>
      <c r="H796" s="72"/>
    </row>
    <row r="797" spans="6:8" x14ac:dyDescent="0.35">
      <c r="F797" s="72"/>
      <c r="G797" s="72"/>
      <c r="H797" s="72"/>
    </row>
    <row r="798" spans="6:8" x14ac:dyDescent="0.35">
      <c r="F798" s="72"/>
      <c r="G798" s="72"/>
      <c r="H798" s="72"/>
    </row>
    <row r="799" spans="6:8" x14ac:dyDescent="0.35">
      <c r="F799" s="72"/>
      <c r="G799" s="72"/>
      <c r="H799" s="72"/>
    </row>
    <row r="800" spans="6:8" x14ac:dyDescent="0.35">
      <c r="F800" s="72"/>
      <c r="G800" s="72"/>
      <c r="H800" s="72"/>
    </row>
    <row r="801" spans="6:8" x14ac:dyDescent="0.35">
      <c r="F801" s="72"/>
      <c r="G801" s="72"/>
      <c r="H801" s="72"/>
    </row>
    <row r="802" spans="6:8" x14ac:dyDescent="0.35">
      <c r="F802" s="72"/>
      <c r="G802" s="72"/>
      <c r="H802" s="72"/>
    </row>
    <row r="803" spans="6:8" x14ac:dyDescent="0.35">
      <c r="F803" s="72"/>
      <c r="G803" s="72"/>
      <c r="H803" s="72"/>
    </row>
    <row r="804" spans="6:8" x14ac:dyDescent="0.35">
      <c r="F804" s="72"/>
      <c r="G804" s="72"/>
      <c r="H804" s="72"/>
    </row>
    <row r="805" spans="6:8" x14ac:dyDescent="0.35">
      <c r="F805" s="72"/>
      <c r="G805" s="72"/>
      <c r="H805" s="72"/>
    </row>
    <row r="806" spans="6:8" x14ac:dyDescent="0.35">
      <c r="F806" s="72"/>
      <c r="G806" s="72"/>
      <c r="H806" s="72"/>
    </row>
    <row r="807" spans="6:8" x14ac:dyDescent="0.35">
      <c r="F807" s="72"/>
      <c r="G807" s="72"/>
      <c r="H807" s="72"/>
    </row>
    <row r="808" spans="6:8" x14ac:dyDescent="0.35">
      <c r="F808" s="72"/>
      <c r="G808" s="72"/>
      <c r="H808" s="72"/>
    </row>
    <row r="809" spans="6:8" x14ac:dyDescent="0.35">
      <c r="F809" s="72"/>
      <c r="G809" s="72"/>
      <c r="H809" s="72"/>
    </row>
    <row r="810" spans="6:8" x14ac:dyDescent="0.35">
      <c r="F810" s="72"/>
      <c r="G810" s="72"/>
      <c r="H810" s="72"/>
    </row>
    <row r="811" spans="6:8" x14ac:dyDescent="0.35">
      <c r="F811" s="72"/>
      <c r="G811" s="72"/>
      <c r="H811" s="72"/>
    </row>
    <row r="812" spans="6:8" x14ac:dyDescent="0.35">
      <c r="F812" s="72"/>
      <c r="G812" s="72"/>
      <c r="H812" s="72"/>
    </row>
    <row r="813" spans="6:8" x14ac:dyDescent="0.35">
      <c r="F813" s="72"/>
      <c r="G813" s="72"/>
      <c r="H813" s="72"/>
    </row>
    <row r="814" spans="6:8" x14ac:dyDescent="0.35">
      <c r="F814" s="72"/>
      <c r="G814" s="72"/>
      <c r="H814" s="72"/>
    </row>
    <row r="815" spans="6:8" x14ac:dyDescent="0.35">
      <c r="F815" s="72"/>
      <c r="G815" s="72"/>
      <c r="H815" s="72"/>
    </row>
    <row r="816" spans="6:8" x14ac:dyDescent="0.35">
      <c r="F816" s="72"/>
      <c r="G816" s="72"/>
      <c r="H816" s="72"/>
    </row>
    <row r="817" spans="6:8" x14ac:dyDescent="0.35">
      <c r="F817" s="72"/>
      <c r="G817" s="72"/>
      <c r="H817" s="72"/>
    </row>
    <row r="818" spans="6:8" x14ac:dyDescent="0.35">
      <c r="F818" s="72"/>
      <c r="G818" s="72"/>
      <c r="H818" s="72"/>
    </row>
    <row r="819" spans="6:8" x14ac:dyDescent="0.35">
      <c r="F819" s="72"/>
      <c r="G819" s="72"/>
      <c r="H819" s="72"/>
    </row>
    <row r="820" spans="6:8" x14ac:dyDescent="0.35">
      <c r="F820" s="72"/>
      <c r="G820" s="72"/>
      <c r="H820" s="72"/>
    </row>
    <row r="821" spans="6:8" x14ac:dyDescent="0.35">
      <c r="F821" s="72"/>
      <c r="G821" s="72"/>
      <c r="H821" s="72"/>
    </row>
    <row r="822" spans="6:8" x14ac:dyDescent="0.35">
      <c r="F822" s="72"/>
      <c r="G822" s="72"/>
      <c r="H822" s="72"/>
    </row>
    <row r="823" spans="6:8" x14ac:dyDescent="0.35">
      <c r="F823" s="72"/>
      <c r="G823" s="72"/>
      <c r="H823" s="72"/>
    </row>
    <row r="824" spans="6:8" x14ac:dyDescent="0.35">
      <c r="F824" s="72"/>
      <c r="G824" s="72"/>
      <c r="H824" s="72"/>
    </row>
    <row r="825" spans="6:8" x14ac:dyDescent="0.35">
      <c r="F825" s="72"/>
      <c r="G825" s="72"/>
      <c r="H825" s="72"/>
    </row>
    <row r="826" spans="6:8" x14ac:dyDescent="0.35">
      <c r="F826" s="72"/>
      <c r="G826" s="72"/>
      <c r="H826" s="72"/>
    </row>
    <row r="827" spans="6:8" x14ac:dyDescent="0.35">
      <c r="F827" s="72"/>
      <c r="G827" s="72"/>
      <c r="H827" s="72"/>
    </row>
    <row r="828" spans="6:8" x14ac:dyDescent="0.35">
      <c r="F828" s="72"/>
      <c r="G828" s="72"/>
      <c r="H828" s="72"/>
    </row>
    <row r="829" spans="6:8" x14ac:dyDescent="0.35">
      <c r="F829" s="72"/>
      <c r="G829" s="72"/>
      <c r="H829" s="72"/>
    </row>
    <row r="830" spans="6:8" x14ac:dyDescent="0.35">
      <c r="F830" s="72"/>
      <c r="G830" s="72"/>
      <c r="H830" s="72"/>
    </row>
    <row r="831" spans="6:8" x14ac:dyDescent="0.35">
      <c r="F831" s="72"/>
      <c r="G831" s="72"/>
      <c r="H831" s="72"/>
    </row>
    <row r="832" spans="6:8" x14ac:dyDescent="0.35">
      <c r="F832" s="72"/>
      <c r="G832" s="72"/>
      <c r="H832" s="72"/>
    </row>
    <row r="833" spans="6:8" x14ac:dyDescent="0.35">
      <c r="F833" s="72"/>
      <c r="G833" s="72"/>
      <c r="H833" s="72"/>
    </row>
    <row r="834" spans="6:8" x14ac:dyDescent="0.35">
      <c r="F834" s="72"/>
      <c r="G834" s="72"/>
      <c r="H834" s="72"/>
    </row>
    <row r="835" spans="6:8" x14ac:dyDescent="0.35">
      <c r="F835" s="72"/>
      <c r="G835" s="72"/>
      <c r="H835" s="72"/>
    </row>
    <row r="836" spans="6:8" x14ac:dyDescent="0.35">
      <c r="F836" s="72"/>
      <c r="G836" s="72"/>
      <c r="H836" s="72"/>
    </row>
    <row r="837" spans="6:8" x14ac:dyDescent="0.35">
      <c r="F837" s="72"/>
      <c r="G837" s="72"/>
      <c r="H837" s="72"/>
    </row>
    <row r="838" spans="6:8" x14ac:dyDescent="0.35">
      <c r="F838" s="72"/>
      <c r="G838" s="72"/>
      <c r="H838" s="72"/>
    </row>
    <row r="839" spans="6:8" x14ac:dyDescent="0.35">
      <c r="F839" s="72"/>
      <c r="G839" s="72"/>
      <c r="H839" s="72"/>
    </row>
    <row r="840" spans="6:8" x14ac:dyDescent="0.35">
      <c r="F840" s="72"/>
      <c r="G840" s="72"/>
      <c r="H840" s="72"/>
    </row>
    <row r="841" spans="6:8" x14ac:dyDescent="0.35">
      <c r="F841" s="72"/>
      <c r="G841" s="72"/>
      <c r="H841" s="72"/>
    </row>
    <row r="842" spans="6:8" x14ac:dyDescent="0.35">
      <c r="F842" s="72"/>
      <c r="G842" s="72"/>
      <c r="H842" s="72"/>
    </row>
    <row r="843" spans="6:8" x14ac:dyDescent="0.35">
      <c r="F843" s="72"/>
      <c r="G843" s="72"/>
      <c r="H843" s="72"/>
    </row>
    <row r="844" spans="6:8" x14ac:dyDescent="0.35">
      <c r="F844" s="72"/>
      <c r="G844" s="72"/>
      <c r="H844" s="72"/>
    </row>
    <row r="845" spans="6:8" x14ac:dyDescent="0.35">
      <c r="F845" s="72"/>
      <c r="G845" s="72"/>
      <c r="H845" s="72"/>
    </row>
    <row r="846" spans="6:8" x14ac:dyDescent="0.35">
      <c r="F846" s="72"/>
      <c r="G846" s="72"/>
      <c r="H846" s="72"/>
    </row>
    <row r="847" spans="6:8" x14ac:dyDescent="0.35">
      <c r="F847" s="72"/>
      <c r="G847" s="72"/>
      <c r="H847" s="72"/>
    </row>
    <row r="848" spans="6:8" x14ac:dyDescent="0.35">
      <c r="F848" s="72"/>
      <c r="G848" s="72"/>
      <c r="H848" s="72"/>
    </row>
    <row r="849" spans="6:8" x14ac:dyDescent="0.35">
      <c r="F849" s="72"/>
      <c r="G849" s="72"/>
      <c r="H849" s="72"/>
    </row>
    <row r="850" spans="6:8" x14ac:dyDescent="0.35">
      <c r="F850" s="72"/>
      <c r="G850" s="72"/>
      <c r="H850" s="72"/>
    </row>
    <row r="851" spans="6:8" x14ac:dyDescent="0.35">
      <c r="F851" s="72"/>
      <c r="G851" s="72"/>
      <c r="H851" s="72"/>
    </row>
    <row r="852" spans="6:8" x14ac:dyDescent="0.35">
      <c r="F852" s="72"/>
      <c r="G852" s="72"/>
      <c r="H852" s="72"/>
    </row>
    <row r="853" spans="6:8" x14ac:dyDescent="0.35">
      <c r="F853" s="72"/>
      <c r="G853" s="72"/>
      <c r="H853" s="72"/>
    </row>
    <row r="854" spans="6:8" x14ac:dyDescent="0.35">
      <c r="F854" s="72"/>
      <c r="G854" s="72"/>
      <c r="H854" s="72"/>
    </row>
    <row r="855" spans="6:8" x14ac:dyDescent="0.35">
      <c r="F855" s="72"/>
      <c r="G855" s="72"/>
      <c r="H855" s="72"/>
    </row>
    <row r="856" spans="6:8" x14ac:dyDescent="0.35">
      <c r="F856" s="72"/>
      <c r="G856" s="72"/>
      <c r="H856" s="72"/>
    </row>
    <row r="857" spans="6:8" x14ac:dyDescent="0.35">
      <c r="F857" s="72"/>
      <c r="G857" s="72"/>
      <c r="H857" s="72"/>
    </row>
    <row r="858" spans="6:8" x14ac:dyDescent="0.35">
      <c r="F858" s="72"/>
      <c r="G858" s="72"/>
      <c r="H858" s="72"/>
    </row>
    <row r="859" spans="6:8" x14ac:dyDescent="0.35">
      <c r="F859" s="72"/>
      <c r="G859" s="72"/>
      <c r="H859" s="72"/>
    </row>
    <row r="860" spans="6:8" x14ac:dyDescent="0.35">
      <c r="F860" s="72"/>
      <c r="G860" s="72"/>
      <c r="H860" s="72"/>
    </row>
    <row r="861" spans="6:8" x14ac:dyDescent="0.35">
      <c r="F861" s="72"/>
      <c r="G861" s="72"/>
      <c r="H861" s="72"/>
    </row>
    <row r="862" spans="6:8" x14ac:dyDescent="0.35">
      <c r="F862" s="72"/>
      <c r="G862" s="72"/>
      <c r="H862" s="72"/>
    </row>
    <row r="863" spans="6:8" x14ac:dyDescent="0.35">
      <c r="F863" s="72"/>
      <c r="G863" s="72"/>
      <c r="H863" s="72"/>
    </row>
    <row r="864" spans="6:8" x14ac:dyDescent="0.35">
      <c r="F864" s="72"/>
      <c r="G864" s="72"/>
      <c r="H864" s="72"/>
    </row>
    <row r="865" spans="6:8" x14ac:dyDescent="0.35">
      <c r="F865" s="72"/>
      <c r="G865" s="72"/>
      <c r="H865" s="72"/>
    </row>
    <row r="866" spans="6:8" x14ac:dyDescent="0.35">
      <c r="F866" s="72"/>
      <c r="G866" s="72"/>
      <c r="H866" s="72"/>
    </row>
    <row r="867" spans="6:8" x14ac:dyDescent="0.35">
      <c r="F867" s="72"/>
      <c r="G867" s="72"/>
      <c r="H867" s="72"/>
    </row>
    <row r="868" spans="6:8" x14ac:dyDescent="0.35">
      <c r="F868" s="72"/>
      <c r="G868" s="72"/>
      <c r="H868" s="72"/>
    </row>
    <row r="869" spans="6:8" x14ac:dyDescent="0.35">
      <c r="F869" s="72"/>
      <c r="G869" s="72"/>
      <c r="H869" s="72"/>
    </row>
    <row r="870" spans="6:8" x14ac:dyDescent="0.35">
      <c r="F870" s="72"/>
      <c r="G870" s="72"/>
      <c r="H870" s="72"/>
    </row>
    <row r="871" spans="6:8" x14ac:dyDescent="0.35">
      <c r="F871" s="72"/>
      <c r="G871" s="72"/>
      <c r="H871" s="72"/>
    </row>
    <row r="872" spans="6:8" x14ac:dyDescent="0.35">
      <c r="F872" s="72"/>
      <c r="G872" s="72"/>
      <c r="H872" s="72"/>
    </row>
    <row r="873" spans="6:8" x14ac:dyDescent="0.35">
      <c r="F873" s="72"/>
      <c r="G873" s="72"/>
      <c r="H873" s="72"/>
    </row>
    <row r="874" spans="6:8" x14ac:dyDescent="0.35">
      <c r="F874" s="72"/>
      <c r="G874" s="72"/>
      <c r="H874" s="72"/>
    </row>
    <row r="875" spans="6:8" x14ac:dyDescent="0.35">
      <c r="F875" s="72"/>
      <c r="G875" s="72"/>
      <c r="H875" s="72"/>
    </row>
    <row r="876" spans="6:8" x14ac:dyDescent="0.35">
      <c r="F876" s="72"/>
      <c r="G876" s="72"/>
      <c r="H876" s="72"/>
    </row>
    <row r="877" spans="6:8" x14ac:dyDescent="0.35">
      <c r="F877" s="72"/>
      <c r="G877" s="72"/>
      <c r="H877" s="72"/>
    </row>
    <row r="878" spans="6:8" x14ac:dyDescent="0.35">
      <c r="F878" s="72"/>
      <c r="G878" s="72"/>
      <c r="H878" s="72"/>
    </row>
    <row r="879" spans="6:8" x14ac:dyDescent="0.35">
      <c r="F879" s="72"/>
      <c r="G879" s="72"/>
      <c r="H879" s="72"/>
    </row>
    <row r="880" spans="6:8" x14ac:dyDescent="0.35">
      <c r="F880" s="72"/>
      <c r="G880" s="72"/>
      <c r="H880" s="72"/>
    </row>
    <row r="881" spans="6:8" x14ac:dyDescent="0.35">
      <c r="F881" s="72"/>
      <c r="G881" s="72"/>
      <c r="H881" s="72"/>
    </row>
    <row r="882" spans="6:8" x14ac:dyDescent="0.35">
      <c r="F882" s="72"/>
      <c r="G882" s="72"/>
      <c r="H882" s="72"/>
    </row>
    <row r="883" spans="6:8" x14ac:dyDescent="0.35">
      <c r="F883" s="72"/>
      <c r="G883" s="72"/>
      <c r="H883" s="72"/>
    </row>
    <row r="884" spans="6:8" x14ac:dyDescent="0.35">
      <c r="F884" s="72"/>
      <c r="G884" s="72"/>
      <c r="H884" s="72"/>
    </row>
    <row r="885" spans="6:8" x14ac:dyDescent="0.35">
      <c r="F885" s="72"/>
      <c r="G885" s="72"/>
      <c r="H885" s="72"/>
    </row>
    <row r="886" spans="6:8" x14ac:dyDescent="0.35">
      <c r="F886" s="72"/>
      <c r="G886" s="72"/>
      <c r="H886" s="72"/>
    </row>
    <row r="887" spans="6:8" x14ac:dyDescent="0.35">
      <c r="F887" s="72"/>
      <c r="G887" s="72"/>
      <c r="H887" s="72"/>
    </row>
    <row r="888" spans="6:8" x14ac:dyDescent="0.35">
      <c r="F888" s="72"/>
      <c r="G888" s="72"/>
      <c r="H888" s="72"/>
    </row>
    <row r="889" spans="6:8" x14ac:dyDescent="0.35">
      <c r="F889" s="72"/>
      <c r="G889" s="72"/>
      <c r="H889" s="72"/>
    </row>
    <row r="890" spans="6:8" x14ac:dyDescent="0.35">
      <c r="F890" s="72"/>
      <c r="G890" s="72"/>
      <c r="H890" s="72"/>
    </row>
    <row r="891" spans="6:8" x14ac:dyDescent="0.35">
      <c r="F891" s="72"/>
      <c r="G891" s="72"/>
      <c r="H891" s="72"/>
    </row>
    <row r="892" spans="6:8" x14ac:dyDescent="0.35">
      <c r="F892" s="72"/>
      <c r="G892" s="72"/>
      <c r="H892" s="72"/>
    </row>
    <row r="893" spans="6:8" x14ac:dyDescent="0.35">
      <c r="F893" s="72"/>
      <c r="G893" s="72"/>
      <c r="H893" s="72"/>
    </row>
    <row r="894" spans="6:8" x14ac:dyDescent="0.35">
      <c r="F894" s="72"/>
      <c r="G894" s="72"/>
      <c r="H894" s="72"/>
    </row>
    <row r="895" spans="6:8" x14ac:dyDescent="0.35">
      <c r="F895" s="72"/>
      <c r="G895" s="72"/>
      <c r="H895" s="72"/>
    </row>
    <row r="896" spans="6:8" x14ac:dyDescent="0.35">
      <c r="F896" s="72"/>
      <c r="G896" s="72"/>
      <c r="H896" s="72"/>
    </row>
    <row r="897" spans="6:8" x14ac:dyDescent="0.35">
      <c r="F897" s="72"/>
      <c r="G897" s="72"/>
      <c r="H897" s="72"/>
    </row>
    <row r="898" spans="6:8" x14ac:dyDescent="0.35">
      <c r="F898" s="72"/>
      <c r="G898" s="72"/>
      <c r="H898" s="72"/>
    </row>
    <row r="899" spans="6:8" x14ac:dyDescent="0.35">
      <c r="F899" s="72"/>
      <c r="G899" s="72"/>
      <c r="H899" s="72"/>
    </row>
    <row r="900" spans="6:8" x14ac:dyDescent="0.35">
      <c r="F900" s="72"/>
      <c r="G900" s="72"/>
      <c r="H900" s="72"/>
    </row>
    <row r="901" spans="6:8" x14ac:dyDescent="0.35">
      <c r="F901" s="72"/>
      <c r="G901" s="72"/>
      <c r="H901" s="72"/>
    </row>
    <row r="902" spans="6:8" x14ac:dyDescent="0.35">
      <c r="F902" s="72"/>
      <c r="G902" s="72"/>
      <c r="H902" s="72"/>
    </row>
    <row r="903" spans="6:8" x14ac:dyDescent="0.35">
      <c r="F903" s="72"/>
      <c r="G903" s="72"/>
      <c r="H903" s="72"/>
    </row>
    <row r="904" spans="6:8" x14ac:dyDescent="0.35">
      <c r="F904" s="72"/>
      <c r="G904" s="72"/>
      <c r="H904" s="72"/>
    </row>
    <row r="905" spans="6:8" x14ac:dyDescent="0.35">
      <c r="F905" s="72"/>
      <c r="G905" s="72"/>
      <c r="H905" s="72"/>
    </row>
    <row r="906" spans="6:8" x14ac:dyDescent="0.35">
      <c r="F906" s="72"/>
      <c r="G906" s="72"/>
      <c r="H906" s="72"/>
    </row>
    <row r="907" spans="6:8" x14ac:dyDescent="0.35">
      <c r="F907" s="72"/>
      <c r="G907" s="72"/>
      <c r="H907" s="72"/>
    </row>
    <row r="908" spans="6:8" x14ac:dyDescent="0.35">
      <c r="F908" s="72"/>
      <c r="G908" s="72"/>
      <c r="H908" s="72"/>
    </row>
    <row r="909" spans="6:8" x14ac:dyDescent="0.35">
      <c r="F909" s="72"/>
      <c r="G909" s="72"/>
      <c r="H909" s="72"/>
    </row>
    <row r="910" spans="6:8" x14ac:dyDescent="0.35">
      <c r="F910" s="72"/>
      <c r="G910" s="72"/>
      <c r="H910" s="72"/>
    </row>
    <row r="911" spans="6:8" x14ac:dyDescent="0.35">
      <c r="F911" s="72"/>
      <c r="G911" s="72"/>
      <c r="H911" s="72"/>
    </row>
    <row r="912" spans="6:8" x14ac:dyDescent="0.35">
      <c r="F912" s="72"/>
      <c r="G912" s="72"/>
      <c r="H912" s="72"/>
    </row>
    <row r="913" spans="6:8" x14ac:dyDescent="0.35">
      <c r="F913" s="72"/>
      <c r="G913" s="72"/>
      <c r="H913" s="72"/>
    </row>
    <row r="914" spans="6:8" x14ac:dyDescent="0.35">
      <c r="F914" s="72"/>
      <c r="G914" s="72"/>
      <c r="H914" s="72"/>
    </row>
    <row r="915" spans="6:8" x14ac:dyDescent="0.35">
      <c r="F915" s="72"/>
      <c r="G915" s="72"/>
      <c r="H915" s="72"/>
    </row>
    <row r="916" spans="6:8" x14ac:dyDescent="0.35">
      <c r="F916" s="72"/>
      <c r="G916" s="72"/>
      <c r="H916" s="72"/>
    </row>
    <row r="917" spans="6:8" x14ac:dyDescent="0.35">
      <c r="F917" s="72"/>
      <c r="G917" s="72"/>
      <c r="H917" s="72"/>
    </row>
    <row r="918" spans="6:8" x14ac:dyDescent="0.35">
      <c r="F918" s="72"/>
      <c r="G918" s="72"/>
      <c r="H918" s="72"/>
    </row>
    <row r="919" spans="6:8" x14ac:dyDescent="0.35">
      <c r="F919" s="72"/>
      <c r="G919" s="72"/>
      <c r="H919" s="72"/>
    </row>
    <row r="920" spans="6:8" x14ac:dyDescent="0.35">
      <c r="F920" s="72"/>
      <c r="G920" s="72"/>
      <c r="H920" s="72"/>
    </row>
    <row r="921" spans="6:8" x14ac:dyDescent="0.35">
      <c r="F921" s="72"/>
      <c r="G921" s="72"/>
      <c r="H921" s="72"/>
    </row>
    <row r="922" spans="6:8" x14ac:dyDescent="0.35">
      <c r="F922" s="72"/>
      <c r="G922" s="72"/>
      <c r="H922" s="72"/>
    </row>
    <row r="923" spans="6:8" x14ac:dyDescent="0.35">
      <c r="F923" s="72"/>
      <c r="G923" s="72"/>
      <c r="H923" s="72"/>
    </row>
    <row r="924" spans="6:8" x14ac:dyDescent="0.35">
      <c r="F924" s="72"/>
      <c r="G924" s="72"/>
      <c r="H924" s="72"/>
    </row>
    <row r="925" spans="6:8" x14ac:dyDescent="0.35">
      <c r="F925" s="72"/>
      <c r="G925" s="72"/>
      <c r="H925" s="72"/>
    </row>
    <row r="926" spans="6:8" x14ac:dyDescent="0.35">
      <c r="F926" s="72"/>
      <c r="G926" s="72"/>
      <c r="H926" s="72"/>
    </row>
    <row r="927" spans="6:8" x14ac:dyDescent="0.35">
      <c r="F927" s="72"/>
      <c r="G927" s="72"/>
      <c r="H927" s="72"/>
    </row>
    <row r="928" spans="6:8" x14ac:dyDescent="0.35">
      <c r="F928" s="72"/>
      <c r="G928" s="72"/>
      <c r="H928" s="72"/>
    </row>
    <row r="929" spans="6:8" x14ac:dyDescent="0.35">
      <c r="F929" s="72"/>
      <c r="G929" s="72"/>
      <c r="H929" s="72"/>
    </row>
    <row r="930" spans="6:8" x14ac:dyDescent="0.35">
      <c r="F930" s="72"/>
      <c r="G930" s="72"/>
      <c r="H930" s="72"/>
    </row>
    <row r="931" spans="6:8" x14ac:dyDescent="0.35">
      <c r="F931" s="72"/>
      <c r="G931" s="72"/>
      <c r="H931" s="72"/>
    </row>
    <row r="932" spans="6:8" x14ac:dyDescent="0.35">
      <c r="F932" s="72"/>
      <c r="G932" s="72"/>
      <c r="H932" s="72"/>
    </row>
    <row r="933" spans="6:8" x14ac:dyDescent="0.35">
      <c r="F933" s="72"/>
      <c r="G933" s="72"/>
      <c r="H933" s="72"/>
    </row>
    <row r="934" spans="6:8" x14ac:dyDescent="0.35">
      <c r="F934" s="72"/>
      <c r="G934" s="72"/>
      <c r="H934" s="72"/>
    </row>
    <row r="935" spans="6:8" x14ac:dyDescent="0.35">
      <c r="F935" s="72"/>
      <c r="G935" s="72"/>
      <c r="H935" s="72"/>
    </row>
    <row r="936" spans="6:8" x14ac:dyDescent="0.35">
      <c r="F936" s="72"/>
      <c r="G936" s="72"/>
      <c r="H936" s="72"/>
    </row>
    <row r="937" spans="6:8" x14ac:dyDescent="0.35">
      <c r="F937" s="72"/>
      <c r="G937" s="72"/>
      <c r="H937" s="72"/>
    </row>
    <row r="938" spans="6:8" x14ac:dyDescent="0.35">
      <c r="F938" s="72"/>
      <c r="G938" s="72"/>
      <c r="H938" s="72"/>
    </row>
    <row r="939" spans="6:8" x14ac:dyDescent="0.35">
      <c r="F939" s="72"/>
      <c r="G939" s="72"/>
      <c r="H939" s="72"/>
    </row>
    <row r="940" spans="6:8" x14ac:dyDescent="0.35">
      <c r="F940" s="72"/>
      <c r="G940" s="72"/>
      <c r="H940" s="72"/>
    </row>
    <row r="941" spans="6:8" x14ac:dyDescent="0.35">
      <c r="F941" s="72"/>
      <c r="G941" s="72"/>
      <c r="H941" s="72"/>
    </row>
    <row r="942" spans="6:8" x14ac:dyDescent="0.35">
      <c r="F942" s="72"/>
      <c r="G942" s="72"/>
      <c r="H942" s="72"/>
    </row>
    <row r="943" spans="6:8" x14ac:dyDescent="0.35">
      <c r="F943" s="72"/>
      <c r="G943" s="72"/>
      <c r="H943" s="72"/>
    </row>
    <row r="944" spans="6:8" x14ac:dyDescent="0.35">
      <c r="F944" s="72"/>
      <c r="G944" s="72"/>
      <c r="H944" s="72"/>
    </row>
    <row r="945" spans="6:8" x14ac:dyDescent="0.35">
      <c r="F945" s="72"/>
      <c r="G945" s="72"/>
      <c r="H945" s="72"/>
    </row>
    <row r="946" spans="6:8" x14ac:dyDescent="0.35">
      <c r="F946" s="72"/>
      <c r="G946" s="72"/>
      <c r="H946" s="72"/>
    </row>
    <row r="947" spans="6:8" x14ac:dyDescent="0.35">
      <c r="F947" s="72"/>
      <c r="G947" s="72"/>
      <c r="H947" s="72"/>
    </row>
    <row r="948" spans="6:8" x14ac:dyDescent="0.35">
      <c r="F948" s="72"/>
      <c r="G948" s="72"/>
      <c r="H948" s="72"/>
    </row>
    <row r="949" spans="6:8" x14ac:dyDescent="0.35">
      <c r="F949" s="72"/>
      <c r="G949" s="72"/>
      <c r="H949" s="72"/>
    </row>
    <row r="950" spans="6:8" x14ac:dyDescent="0.35">
      <c r="F950" s="72"/>
      <c r="G950" s="72"/>
      <c r="H950" s="72"/>
    </row>
    <row r="951" spans="6:8" x14ac:dyDescent="0.35">
      <c r="F951" s="72"/>
      <c r="G951" s="72"/>
      <c r="H951" s="72"/>
    </row>
    <row r="952" spans="6:8" x14ac:dyDescent="0.35">
      <c r="F952" s="72"/>
      <c r="G952" s="72"/>
      <c r="H952" s="72"/>
    </row>
    <row r="953" spans="6:8" x14ac:dyDescent="0.35">
      <c r="F953" s="72"/>
      <c r="G953" s="72"/>
      <c r="H953" s="72"/>
    </row>
    <row r="954" spans="6:8" x14ac:dyDescent="0.35">
      <c r="F954" s="72"/>
      <c r="G954" s="72"/>
      <c r="H954" s="72"/>
    </row>
    <row r="955" spans="6:8" x14ac:dyDescent="0.35">
      <c r="F955" s="72"/>
      <c r="G955" s="72"/>
      <c r="H955" s="72"/>
    </row>
    <row r="956" spans="6:8" x14ac:dyDescent="0.35">
      <c r="F956" s="72"/>
      <c r="G956" s="72"/>
      <c r="H956" s="72"/>
    </row>
    <row r="957" spans="6:8" x14ac:dyDescent="0.35">
      <c r="F957" s="72"/>
      <c r="G957" s="72"/>
      <c r="H957" s="72"/>
    </row>
    <row r="958" spans="6:8" x14ac:dyDescent="0.35">
      <c r="F958" s="72"/>
      <c r="G958" s="72"/>
      <c r="H958" s="72"/>
    </row>
    <row r="959" spans="6:8" x14ac:dyDescent="0.35">
      <c r="F959" s="72"/>
      <c r="G959" s="72"/>
      <c r="H959" s="72"/>
    </row>
    <row r="960" spans="6:8" x14ac:dyDescent="0.35">
      <c r="F960" s="72"/>
      <c r="G960" s="72"/>
      <c r="H960" s="72"/>
    </row>
    <row r="961" spans="6:8" x14ac:dyDescent="0.35">
      <c r="F961" s="72"/>
      <c r="G961" s="72"/>
      <c r="H961" s="72"/>
    </row>
    <row r="962" spans="6:8" x14ac:dyDescent="0.35">
      <c r="F962" s="72"/>
      <c r="G962" s="72"/>
      <c r="H962" s="72"/>
    </row>
    <row r="963" spans="6:8" x14ac:dyDescent="0.35">
      <c r="F963" s="72"/>
      <c r="G963" s="72"/>
      <c r="H963" s="72"/>
    </row>
    <row r="964" spans="6:8" x14ac:dyDescent="0.35">
      <c r="F964" s="72"/>
      <c r="G964" s="72"/>
      <c r="H964" s="72"/>
    </row>
    <row r="965" spans="6:8" x14ac:dyDescent="0.35">
      <c r="F965" s="72"/>
      <c r="G965" s="72"/>
      <c r="H965" s="72"/>
    </row>
    <row r="966" spans="6:8" x14ac:dyDescent="0.35">
      <c r="F966" s="72"/>
      <c r="G966" s="72"/>
      <c r="H966" s="72"/>
    </row>
    <row r="967" spans="6:8" x14ac:dyDescent="0.35">
      <c r="F967" s="72"/>
      <c r="G967" s="72"/>
      <c r="H967" s="72"/>
    </row>
    <row r="968" spans="6:8" x14ac:dyDescent="0.35">
      <c r="F968" s="72"/>
      <c r="G968" s="72"/>
      <c r="H968" s="72"/>
    </row>
    <row r="969" spans="6:8" x14ac:dyDescent="0.35">
      <c r="F969" s="72"/>
      <c r="G969" s="72"/>
      <c r="H969" s="72"/>
    </row>
    <row r="970" spans="6:8" x14ac:dyDescent="0.35">
      <c r="F970" s="72"/>
      <c r="G970" s="72"/>
      <c r="H970" s="72"/>
    </row>
    <row r="971" spans="6:8" x14ac:dyDescent="0.35">
      <c r="F971" s="72"/>
      <c r="G971" s="72"/>
      <c r="H971" s="72"/>
    </row>
    <row r="972" spans="6:8" x14ac:dyDescent="0.35">
      <c r="F972" s="72"/>
      <c r="G972" s="72"/>
      <c r="H972" s="72"/>
    </row>
    <row r="973" spans="6:8" x14ac:dyDescent="0.35">
      <c r="F973" s="72"/>
      <c r="G973" s="72"/>
      <c r="H973" s="72"/>
    </row>
    <row r="974" spans="6:8" x14ac:dyDescent="0.35">
      <c r="F974" s="72"/>
      <c r="G974" s="72"/>
      <c r="H974" s="72"/>
    </row>
    <row r="975" spans="6:8" x14ac:dyDescent="0.35">
      <c r="F975" s="72"/>
      <c r="G975" s="72"/>
      <c r="H975" s="72"/>
    </row>
    <row r="976" spans="6:8" x14ac:dyDescent="0.35">
      <c r="F976" s="72"/>
      <c r="G976" s="72"/>
      <c r="H976" s="72"/>
    </row>
    <row r="977" spans="6:8" x14ac:dyDescent="0.35">
      <c r="F977" s="72"/>
      <c r="G977" s="72"/>
      <c r="H977" s="72"/>
    </row>
    <row r="978" spans="6:8" x14ac:dyDescent="0.35">
      <c r="F978" s="72"/>
      <c r="G978" s="72"/>
      <c r="H978" s="72"/>
    </row>
    <row r="979" spans="6:8" x14ac:dyDescent="0.35">
      <c r="F979" s="72"/>
      <c r="G979" s="72"/>
      <c r="H979" s="72"/>
    </row>
    <row r="980" spans="6:8" x14ac:dyDescent="0.35">
      <c r="F980" s="72"/>
      <c r="G980" s="72"/>
      <c r="H980" s="72"/>
    </row>
    <row r="981" spans="6:8" x14ac:dyDescent="0.35">
      <c r="F981" s="72"/>
      <c r="G981" s="72"/>
      <c r="H981" s="72"/>
    </row>
    <row r="982" spans="6:8" x14ac:dyDescent="0.35">
      <c r="F982" s="72"/>
      <c r="G982" s="72"/>
      <c r="H982" s="72"/>
    </row>
    <row r="983" spans="6:8" x14ac:dyDescent="0.35">
      <c r="F983" s="72"/>
      <c r="G983" s="72"/>
      <c r="H983" s="72"/>
    </row>
    <row r="984" spans="6:8" x14ac:dyDescent="0.35">
      <c r="F984" s="72"/>
      <c r="G984" s="72"/>
      <c r="H984" s="72"/>
    </row>
    <row r="985" spans="6:8" x14ac:dyDescent="0.35">
      <c r="F985" s="72"/>
      <c r="G985" s="72"/>
      <c r="H985" s="72"/>
    </row>
    <row r="986" spans="6:8" x14ac:dyDescent="0.35">
      <c r="F986" s="72"/>
      <c r="G986" s="72"/>
      <c r="H986" s="72"/>
    </row>
    <row r="987" spans="6:8" x14ac:dyDescent="0.35">
      <c r="F987" s="72"/>
      <c r="G987" s="72"/>
      <c r="H987" s="72"/>
    </row>
    <row r="988" spans="6:8" x14ac:dyDescent="0.35">
      <c r="F988" s="72"/>
      <c r="G988" s="72"/>
      <c r="H988" s="72"/>
    </row>
    <row r="989" spans="6:8" x14ac:dyDescent="0.35">
      <c r="F989" s="72"/>
      <c r="G989" s="72"/>
      <c r="H989" s="72"/>
    </row>
    <row r="990" spans="6:8" x14ac:dyDescent="0.35">
      <c r="F990" s="72"/>
      <c r="G990" s="72"/>
      <c r="H990" s="72"/>
    </row>
    <row r="991" spans="6:8" x14ac:dyDescent="0.35">
      <c r="F991" s="72"/>
      <c r="G991" s="72"/>
      <c r="H991" s="72"/>
    </row>
    <row r="992" spans="6:8" x14ac:dyDescent="0.35">
      <c r="F992" s="72"/>
      <c r="G992" s="72"/>
      <c r="H992" s="72"/>
    </row>
    <row r="993" spans="6:8" x14ac:dyDescent="0.35">
      <c r="F993" s="72"/>
      <c r="G993" s="72"/>
      <c r="H993" s="72"/>
    </row>
    <row r="994" spans="6:8" x14ac:dyDescent="0.35">
      <c r="F994" s="72"/>
      <c r="G994" s="72"/>
      <c r="H994" s="72"/>
    </row>
    <row r="995" spans="6:8" x14ac:dyDescent="0.35">
      <c r="F995" s="72"/>
      <c r="G995" s="72"/>
      <c r="H995" s="72"/>
    </row>
    <row r="996" spans="6:8" x14ac:dyDescent="0.35">
      <c r="F996" s="72"/>
      <c r="G996" s="72"/>
      <c r="H996" s="72"/>
    </row>
    <row r="997" spans="6:8" x14ac:dyDescent="0.35">
      <c r="F997" s="72"/>
      <c r="G997" s="72"/>
      <c r="H997" s="72"/>
    </row>
    <row r="998" spans="6:8" x14ac:dyDescent="0.35">
      <c r="F998" s="72"/>
      <c r="G998" s="72"/>
      <c r="H998" s="72"/>
    </row>
    <row r="999" spans="6:8" x14ac:dyDescent="0.35">
      <c r="F999" s="72"/>
      <c r="G999" s="72"/>
      <c r="H999" s="72"/>
    </row>
    <row r="1000" spans="6:8" x14ac:dyDescent="0.35">
      <c r="F1000" s="72"/>
      <c r="G1000" s="72"/>
      <c r="H1000" s="72"/>
    </row>
    <row r="1001" spans="6:8" x14ac:dyDescent="0.35">
      <c r="F1001" s="72"/>
      <c r="G1001" s="72"/>
      <c r="H1001" s="72"/>
    </row>
    <row r="1002" spans="6:8" x14ac:dyDescent="0.35">
      <c r="F1002" s="72"/>
      <c r="G1002" s="72"/>
      <c r="H1002" s="72"/>
    </row>
    <row r="1003" spans="6:8" x14ac:dyDescent="0.35">
      <c r="F1003" s="72"/>
      <c r="G1003" s="72"/>
      <c r="H1003" s="72"/>
    </row>
    <row r="1004" spans="6:8" x14ac:dyDescent="0.35">
      <c r="F1004" s="72"/>
      <c r="G1004" s="72"/>
      <c r="H1004" s="72"/>
    </row>
    <row r="1005" spans="6:8" x14ac:dyDescent="0.35">
      <c r="F1005" s="72"/>
      <c r="G1005" s="72"/>
      <c r="H1005" s="72"/>
    </row>
    <row r="1006" spans="6:8" x14ac:dyDescent="0.35">
      <c r="F1006" s="72"/>
      <c r="G1006" s="72"/>
      <c r="H1006" s="72"/>
    </row>
    <row r="1007" spans="6:8" x14ac:dyDescent="0.35">
      <c r="F1007" s="72"/>
      <c r="G1007" s="72"/>
      <c r="H1007" s="72"/>
    </row>
    <row r="1008" spans="6:8" x14ac:dyDescent="0.35">
      <c r="F1008" s="72"/>
      <c r="G1008" s="72"/>
      <c r="H1008" s="72"/>
    </row>
    <row r="1009" spans="6:8" x14ac:dyDescent="0.35">
      <c r="F1009" s="72"/>
      <c r="G1009" s="72"/>
      <c r="H1009" s="72"/>
    </row>
    <row r="1010" spans="6:8" x14ac:dyDescent="0.35">
      <c r="F1010" s="72"/>
      <c r="G1010" s="72"/>
      <c r="H1010" s="72"/>
    </row>
    <row r="1011" spans="6:8" x14ac:dyDescent="0.35">
      <c r="F1011" s="72"/>
      <c r="G1011" s="72"/>
      <c r="H1011" s="72"/>
    </row>
    <row r="1012" spans="6:8" x14ac:dyDescent="0.35">
      <c r="F1012" s="72"/>
      <c r="G1012" s="72"/>
      <c r="H1012" s="72"/>
    </row>
    <row r="1013" spans="6:8" x14ac:dyDescent="0.35">
      <c r="F1013" s="72"/>
      <c r="G1013" s="72"/>
      <c r="H1013" s="72"/>
    </row>
    <row r="1014" spans="6:8" x14ac:dyDescent="0.35">
      <c r="F1014" s="72"/>
      <c r="G1014" s="72"/>
      <c r="H1014" s="72"/>
    </row>
    <row r="1015" spans="6:8" x14ac:dyDescent="0.35">
      <c r="F1015" s="72"/>
      <c r="G1015" s="72"/>
      <c r="H1015" s="72"/>
    </row>
    <row r="1016" spans="6:8" x14ac:dyDescent="0.35">
      <c r="F1016" s="72"/>
      <c r="G1016" s="72"/>
      <c r="H1016" s="72"/>
    </row>
    <row r="1017" spans="6:8" x14ac:dyDescent="0.35">
      <c r="F1017" s="72"/>
      <c r="G1017" s="72"/>
      <c r="H1017" s="72"/>
    </row>
    <row r="1018" spans="6:8" x14ac:dyDescent="0.35">
      <c r="F1018" s="72"/>
      <c r="G1018" s="72"/>
      <c r="H1018" s="72"/>
    </row>
    <row r="1019" spans="6:8" x14ac:dyDescent="0.35">
      <c r="F1019" s="72"/>
      <c r="G1019" s="72"/>
      <c r="H1019" s="72"/>
    </row>
    <row r="1020" spans="6:8" x14ac:dyDescent="0.35">
      <c r="F1020" s="72"/>
      <c r="G1020" s="72"/>
      <c r="H1020" s="72"/>
    </row>
    <row r="1021" spans="6:8" x14ac:dyDescent="0.35">
      <c r="F1021" s="72"/>
      <c r="G1021" s="72"/>
      <c r="H1021" s="72"/>
    </row>
    <row r="1022" spans="6:8" x14ac:dyDescent="0.35">
      <c r="F1022" s="72"/>
      <c r="G1022" s="72"/>
      <c r="H1022" s="72"/>
    </row>
    <row r="1023" spans="6:8" x14ac:dyDescent="0.35">
      <c r="F1023" s="72"/>
      <c r="G1023" s="72"/>
      <c r="H1023" s="72"/>
    </row>
    <row r="1024" spans="6:8" x14ac:dyDescent="0.35">
      <c r="F1024" s="72"/>
      <c r="G1024" s="72"/>
      <c r="H1024" s="72"/>
    </row>
    <row r="1025" spans="6:8" x14ac:dyDescent="0.35">
      <c r="F1025" s="72"/>
      <c r="G1025" s="72"/>
      <c r="H1025" s="72"/>
    </row>
    <row r="1026" spans="6:8" x14ac:dyDescent="0.35">
      <c r="F1026" s="72"/>
      <c r="G1026" s="72"/>
      <c r="H1026" s="72"/>
    </row>
    <row r="1027" spans="6:8" x14ac:dyDescent="0.35">
      <c r="F1027" s="72"/>
      <c r="G1027" s="72"/>
      <c r="H1027" s="72"/>
    </row>
    <row r="1028" spans="6:8" x14ac:dyDescent="0.35">
      <c r="F1028" s="72"/>
      <c r="G1028" s="72"/>
      <c r="H1028" s="72"/>
    </row>
    <row r="1029" spans="6:8" x14ac:dyDescent="0.35">
      <c r="F1029" s="72"/>
      <c r="G1029" s="72"/>
      <c r="H1029" s="72"/>
    </row>
    <row r="1030" spans="6:8" x14ac:dyDescent="0.35">
      <c r="F1030" s="72"/>
      <c r="G1030" s="72"/>
      <c r="H1030" s="72"/>
    </row>
    <row r="1031" spans="6:8" x14ac:dyDescent="0.35">
      <c r="F1031" s="72"/>
      <c r="G1031" s="72"/>
      <c r="H1031" s="72"/>
    </row>
    <row r="1032" spans="6:8" x14ac:dyDescent="0.35">
      <c r="F1032" s="72"/>
      <c r="G1032" s="72"/>
      <c r="H1032" s="72"/>
    </row>
    <row r="1033" spans="6:8" x14ac:dyDescent="0.35">
      <c r="F1033" s="72"/>
      <c r="G1033" s="72"/>
      <c r="H1033" s="72"/>
    </row>
    <row r="1034" spans="6:8" x14ac:dyDescent="0.35">
      <c r="F1034" s="72"/>
      <c r="G1034" s="72"/>
      <c r="H1034" s="72"/>
    </row>
    <row r="1035" spans="6:8" x14ac:dyDescent="0.35">
      <c r="F1035" s="72"/>
      <c r="G1035" s="72"/>
      <c r="H1035" s="72"/>
    </row>
    <row r="1036" spans="6:8" x14ac:dyDescent="0.35">
      <c r="F1036" s="72"/>
      <c r="G1036" s="72"/>
      <c r="H1036" s="72"/>
    </row>
    <row r="1037" spans="6:8" x14ac:dyDescent="0.35">
      <c r="F1037" s="72"/>
      <c r="G1037" s="72"/>
      <c r="H1037" s="72"/>
    </row>
    <row r="1038" spans="6:8" x14ac:dyDescent="0.35">
      <c r="F1038" s="72"/>
      <c r="G1038" s="72"/>
      <c r="H1038" s="72"/>
    </row>
    <row r="1039" spans="6:8" x14ac:dyDescent="0.35">
      <c r="F1039" s="72"/>
      <c r="G1039" s="72"/>
      <c r="H1039" s="72"/>
    </row>
    <row r="1040" spans="6:8" x14ac:dyDescent="0.35">
      <c r="F1040" s="72"/>
      <c r="G1040" s="72"/>
      <c r="H1040" s="72"/>
    </row>
    <row r="1041" spans="6:8" x14ac:dyDescent="0.35">
      <c r="F1041" s="72"/>
      <c r="G1041" s="72"/>
      <c r="H1041" s="72"/>
    </row>
    <row r="1042" spans="6:8" x14ac:dyDescent="0.35">
      <c r="F1042" s="72"/>
      <c r="G1042" s="72"/>
      <c r="H1042" s="72"/>
    </row>
    <row r="1043" spans="6:8" x14ac:dyDescent="0.35">
      <c r="F1043" s="72"/>
      <c r="G1043" s="72"/>
      <c r="H1043" s="72"/>
    </row>
    <row r="1044" spans="6:8" x14ac:dyDescent="0.35">
      <c r="F1044" s="72"/>
      <c r="G1044" s="72"/>
      <c r="H1044" s="72"/>
    </row>
    <row r="1045" spans="6:8" x14ac:dyDescent="0.35">
      <c r="F1045" s="72"/>
      <c r="G1045" s="72"/>
      <c r="H1045" s="72"/>
    </row>
    <row r="1046" spans="6:8" x14ac:dyDescent="0.35">
      <c r="F1046" s="72"/>
      <c r="G1046" s="72"/>
      <c r="H1046" s="72"/>
    </row>
    <row r="1047" spans="6:8" x14ac:dyDescent="0.35">
      <c r="F1047" s="72"/>
      <c r="G1047" s="72"/>
      <c r="H1047" s="72"/>
    </row>
    <row r="1048" spans="6:8" x14ac:dyDescent="0.35">
      <c r="F1048" s="72"/>
      <c r="G1048" s="72"/>
      <c r="H1048" s="72"/>
    </row>
    <row r="1049" spans="6:8" x14ac:dyDescent="0.35">
      <c r="F1049" s="72"/>
      <c r="G1049" s="72"/>
      <c r="H1049" s="72"/>
    </row>
    <row r="1050" spans="6:8" x14ac:dyDescent="0.35">
      <c r="F1050" s="72"/>
      <c r="G1050" s="72"/>
      <c r="H1050" s="72"/>
    </row>
    <row r="1051" spans="6:8" x14ac:dyDescent="0.35">
      <c r="F1051" s="72"/>
      <c r="G1051" s="72"/>
      <c r="H1051" s="72"/>
    </row>
    <row r="1052" spans="6:8" x14ac:dyDescent="0.35">
      <c r="F1052" s="72"/>
      <c r="G1052" s="72"/>
      <c r="H1052" s="72"/>
    </row>
    <row r="1053" spans="6:8" x14ac:dyDescent="0.35">
      <c r="F1053" s="72"/>
      <c r="G1053" s="72"/>
      <c r="H1053" s="72"/>
    </row>
    <row r="1054" spans="6:8" x14ac:dyDescent="0.35">
      <c r="F1054" s="72"/>
      <c r="G1054" s="72"/>
      <c r="H1054" s="72"/>
    </row>
    <row r="1055" spans="6:8" x14ac:dyDescent="0.35">
      <c r="F1055" s="72"/>
      <c r="G1055" s="72"/>
      <c r="H1055" s="72"/>
    </row>
    <row r="1056" spans="6:8" x14ac:dyDescent="0.35">
      <c r="F1056" s="72"/>
      <c r="G1056" s="72"/>
      <c r="H1056" s="72"/>
    </row>
    <row r="1057" spans="6:8" x14ac:dyDescent="0.35">
      <c r="F1057" s="72"/>
      <c r="G1057" s="72"/>
      <c r="H1057" s="72"/>
    </row>
    <row r="1058" spans="6:8" x14ac:dyDescent="0.35">
      <c r="F1058" s="72"/>
      <c r="G1058" s="72"/>
      <c r="H1058" s="72"/>
    </row>
    <row r="1059" spans="6:8" x14ac:dyDescent="0.35">
      <c r="F1059" s="72"/>
      <c r="G1059" s="72"/>
      <c r="H1059" s="72"/>
    </row>
    <row r="1060" spans="6:8" x14ac:dyDescent="0.35">
      <c r="F1060" s="72"/>
      <c r="G1060" s="72"/>
      <c r="H1060" s="72"/>
    </row>
    <row r="1061" spans="6:8" x14ac:dyDescent="0.35">
      <c r="F1061" s="72"/>
      <c r="G1061" s="72"/>
      <c r="H1061" s="72"/>
    </row>
    <row r="1062" spans="6:8" x14ac:dyDescent="0.35">
      <c r="F1062" s="72"/>
      <c r="G1062" s="72"/>
      <c r="H1062" s="72"/>
    </row>
    <row r="1063" spans="6:8" x14ac:dyDescent="0.35">
      <c r="F1063" s="72"/>
      <c r="G1063" s="72"/>
      <c r="H1063" s="72"/>
    </row>
    <row r="1064" spans="6:8" x14ac:dyDescent="0.35">
      <c r="F1064" s="72"/>
      <c r="G1064" s="72"/>
      <c r="H1064" s="72"/>
    </row>
    <row r="1065" spans="6:8" x14ac:dyDescent="0.35">
      <c r="F1065" s="72"/>
      <c r="G1065" s="72"/>
      <c r="H1065" s="72"/>
    </row>
    <row r="1066" spans="6:8" x14ac:dyDescent="0.35">
      <c r="F1066" s="72"/>
      <c r="G1066" s="72"/>
      <c r="H1066" s="72"/>
    </row>
    <row r="1067" spans="6:8" x14ac:dyDescent="0.35">
      <c r="F1067" s="72"/>
      <c r="G1067" s="72"/>
      <c r="H1067" s="72"/>
    </row>
    <row r="1068" spans="6:8" x14ac:dyDescent="0.35">
      <c r="F1068" s="72"/>
      <c r="G1068" s="72"/>
      <c r="H1068" s="72"/>
    </row>
    <row r="1069" spans="6:8" x14ac:dyDescent="0.35">
      <c r="F1069" s="72"/>
      <c r="G1069" s="72"/>
      <c r="H1069" s="72"/>
    </row>
    <row r="1070" spans="6:8" x14ac:dyDescent="0.35">
      <c r="F1070" s="72"/>
      <c r="G1070" s="72"/>
      <c r="H1070" s="72"/>
    </row>
    <row r="1071" spans="6:8" x14ac:dyDescent="0.35">
      <c r="F1071" s="72"/>
      <c r="G1071" s="72"/>
      <c r="H1071" s="72"/>
    </row>
    <row r="1072" spans="6:8" x14ac:dyDescent="0.35">
      <c r="F1072" s="72"/>
      <c r="G1072" s="72"/>
      <c r="H1072" s="72"/>
    </row>
    <row r="1073" spans="6:8" x14ac:dyDescent="0.35">
      <c r="F1073" s="72"/>
      <c r="G1073" s="72"/>
      <c r="H1073" s="72"/>
    </row>
    <row r="1074" spans="6:8" x14ac:dyDescent="0.35">
      <c r="F1074" s="72"/>
      <c r="G1074" s="72"/>
      <c r="H1074" s="72"/>
    </row>
    <row r="1075" spans="6:8" x14ac:dyDescent="0.35">
      <c r="F1075" s="72"/>
      <c r="G1075" s="72"/>
      <c r="H1075" s="72"/>
    </row>
    <row r="1076" spans="6:8" x14ac:dyDescent="0.35">
      <c r="F1076" s="72"/>
      <c r="G1076" s="72"/>
      <c r="H1076" s="72"/>
    </row>
    <row r="1077" spans="6:8" x14ac:dyDescent="0.35">
      <c r="F1077" s="72"/>
      <c r="G1077" s="72"/>
      <c r="H1077" s="72"/>
    </row>
    <row r="1078" spans="6:8" x14ac:dyDescent="0.35">
      <c r="F1078" s="72"/>
      <c r="G1078" s="72"/>
      <c r="H1078" s="72"/>
    </row>
    <row r="1079" spans="6:8" x14ac:dyDescent="0.35">
      <c r="F1079" s="72"/>
      <c r="G1079" s="72"/>
      <c r="H1079" s="72"/>
    </row>
    <row r="1080" spans="6:8" x14ac:dyDescent="0.35">
      <c r="F1080" s="72"/>
      <c r="G1080" s="72"/>
      <c r="H1080" s="72"/>
    </row>
    <row r="1081" spans="6:8" x14ac:dyDescent="0.35">
      <c r="F1081" s="72"/>
      <c r="G1081" s="72"/>
      <c r="H1081" s="72"/>
    </row>
    <row r="1082" spans="6:8" x14ac:dyDescent="0.35">
      <c r="F1082" s="72"/>
      <c r="G1082" s="72"/>
      <c r="H1082" s="72"/>
    </row>
    <row r="1083" spans="6:8" x14ac:dyDescent="0.35">
      <c r="F1083" s="72"/>
      <c r="G1083" s="72"/>
      <c r="H1083" s="72"/>
    </row>
    <row r="1084" spans="6:8" x14ac:dyDescent="0.35">
      <c r="F1084" s="72"/>
      <c r="G1084" s="72"/>
      <c r="H1084" s="72"/>
    </row>
    <row r="1085" spans="6:8" x14ac:dyDescent="0.35">
      <c r="F1085" s="72"/>
      <c r="G1085" s="72"/>
      <c r="H1085" s="72"/>
    </row>
    <row r="1086" spans="6:8" x14ac:dyDescent="0.35">
      <c r="F1086" s="72"/>
      <c r="G1086" s="72"/>
      <c r="H1086" s="72"/>
    </row>
    <row r="1087" spans="6:8" x14ac:dyDescent="0.35">
      <c r="F1087" s="72"/>
      <c r="G1087" s="72"/>
      <c r="H1087" s="72"/>
    </row>
    <row r="1088" spans="6:8" x14ac:dyDescent="0.35">
      <c r="F1088" s="72"/>
      <c r="G1088" s="72"/>
      <c r="H1088" s="72"/>
    </row>
    <row r="1089" spans="6:8" x14ac:dyDescent="0.35">
      <c r="F1089" s="72"/>
      <c r="G1089" s="72"/>
      <c r="H1089" s="72"/>
    </row>
    <row r="1090" spans="6:8" x14ac:dyDescent="0.35">
      <c r="F1090" s="72"/>
      <c r="G1090" s="72"/>
      <c r="H1090" s="72"/>
    </row>
    <row r="1091" spans="6:8" x14ac:dyDescent="0.35">
      <c r="F1091" s="72"/>
      <c r="G1091" s="72"/>
      <c r="H1091" s="72"/>
    </row>
    <row r="1092" spans="6:8" x14ac:dyDescent="0.35">
      <c r="F1092" s="72"/>
      <c r="G1092" s="72"/>
      <c r="H1092" s="72"/>
    </row>
    <row r="1093" spans="6:8" x14ac:dyDescent="0.35">
      <c r="F1093" s="72"/>
      <c r="G1093" s="72"/>
      <c r="H1093" s="72"/>
    </row>
    <row r="1094" spans="6:8" x14ac:dyDescent="0.35">
      <c r="F1094" s="72"/>
      <c r="G1094" s="72"/>
      <c r="H1094" s="72"/>
    </row>
    <row r="1095" spans="6:8" x14ac:dyDescent="0.35">
      <c r="F1095" s="72"/>
      <c r="G1095" s="72"/>
      <c r="H1095" s="72"/>
    </row>
    <row r="1096" spans="6:8" x14ac:dyDescent="0.35">
      <c r="F1096" s="72"/>
      <c r="G1096" s="72"/>
      <c r="H1096" s="72"/>
    </row>
    <row r="1097" spans="6:8" x14ac:dyDescent="0.35">
      <c r="F1097" s="72"/>
      <c r="G1097" s="72"/>
      <c r="H1097" s="72"/>
    </row>
    <row r="1098" spans="6:8" x14ac:dyDescent="0.35">
      <c r="F1098" s="72"/>
      <c r="G1098" s="72"/>
      <c r="H1098" s="72"/>
    </row>
    <row r="1099" spans="6:8" x14ac:dyDescent="0.35">
      <c r="F1099" s="72"/>
      <c r="G1099" s="72"/>
      <c r="H1099" s="72"/>
    </row>
    <row r="1100" spans="6:8" x14ac:dyDescent="0.35">
      <c r="F1100" s="72"/>
      <c r="G1100" s="72"/>
      <c r="H1100" s="72"/>
    </row>
    <row r="1101" spans="6:8" x14ac:dyDescent="0.35">
      <c r="F1101" s="72"/>
      <c r="G1101" s="72"/>
      <c r="H1101" s="72"/>
    </row>
    <row r="1102" spans="6:8" x14ac:dyDescent="0.35">
      <c r="F1102" s="72"/>
      <c r="G1102" s="72"/>
      <c r="H1102" s="72"/>
    </row>
    <row r="1103" spans="6:8" x14ac:dyDescent="0.35">
      <c r="F1103" s="72"/>
      <c r="G1103" s="72"/>
      <c r="H1103" s="72"/>
    </row>
    <row r="1104" spans="6:8" x14ac:dyDescent="0.35">
      <c r="F1104" s="72"/>
      <c r="G1104" s="72"/>
      <c r="H1104" s="72"/>
    </row>
    <row r="1105" spans="6:8" x14ac:dyDescent="0.35">
      <c r="F1105" s="72"/>
      <c r="G1105" s="72"/>
      <c r="H1105" s="72"/>
    </row>
    <row r="1106" spans="6:8" x14ac:dyDescent="0.35">
      <c r="F1106" s="72"/>
      <c r="G1106" s="72"/>
      <c r="H1106" s="72"/>
    </row>
    <row r="1107" spans="6:8" x14ac:dyDescent="0.35">
      <c r="F1107" s="72"/>
      <c r="G1107" s="72"/>
      <c r="H1107" s="72"/>
    </row>
    <row r="1108" spans="6:8" x14ac:dyDescent="0.35">
      <c r="F1108" s="72"/>
      <c r="G1108" s="72"/>
      <c r="H1108" s="72"/>
    </row>
    <row r="1109" spans="6:8" x14ac:dyDescent="0.35">
      <c r="F1109" s="72"/>
      <c r="G1109" s="72"/>
      <c r="H1109" s="72"/>
    </row>
    <row r="1110" spans="6:8" x14ac:dyDescent="0.35">
      <c r="F1110" s="72"/>
      <c r="G1110" s="72"/>
      <c r="H1110" s="72"/>
    </row>
    <row r="1111" spans="6:8" x14ac:dyDescent="0.35">
      <c r="F1111" s="72"/>
      <c r="G1111" s="72"/>
      <c r="H1111" s="72"/>
    </row>
    <row r="1112" spans="6:8" x14ac:dyDescent="0.35">
      <c r="F1112" s="72"/>
      <c r="G1112" s="72"/>
      <c r="H1112" s="72"/>
    </row>
    <row r="1113" spans="6:8" x14ac:dyDescent="0.35">
      <c r="F1113" s="72"/>
      <c r="G1113" s="72"/>
      <c r="H1113" s="72"/>
    </row>
    <row r="1114" spans="6:8" x14ac:dyDescent="0.35">
      <c r="F1114" s="72"/>
      <c r="G1114" s="72"/>
      <c r="H1114" s="72"/>
    </row>
    <row r="1115" spans="6:8" x14ac:dyDescent="0.35">
      <c r="F1115" s="72"/>
      <c r="G1115" s="72"/>
      <c r="H1115" s="72"/>
    </row>
    <row r="1116" spans="6:8" x14ac:dyDescent="0.35">
      <c r="F1116" s="72"/>
      <c r="G1116" s="72"/>
      <c r="H1116" s="72"/>
    </row>
    <row r="1117" spans="6:8" x14ac:dyDescent="0.35">
      <c r="F1117" s="72"/>
      <c r="G1117" s="72"/>
      <c r="H1117" s="72"/>
    </row>
    <row r="1118" spans="6:8" x14ac:dyDescent="0.35">
      <c r="F1118" s="72"/>
      <c r="G1118" s="72"/>
      <c r="H1118" s="72"/>
    </row>
    <row r="1119" spans="6:8" x14ac:dyDescent="0.35">
      <c r="F1119" s="72"/>
      <c r="G1119" s="72"/>
      <c r="H1119" s="72"/>
    </row>
    <row r="1120" spans="6:8" x14ac:dyDescent="0.35">
      <c r="F1120" s="72"/>
      <c r="G1120" s="72"/>
      <c r="H1120" s="72"/>
    </row>
    <row r="1121" spans="6:8" x14ac:dyDescent="0.35">
      <c r="F1121" s="72"/>
      <c r="G1121" s="72"/>
      <c r="H1121" s="72"/>
    </row>
    <row r="1122" spans="6:8" x14ac:dyDescent="0.35">
      <c r="F1122" s="72"/>
      <c r="G1122" s="72"/>
      <c r="H1122" s="72"/>
    </row>
    <row r="1123" spans="6:8" x14ac:dyDescent="0.35">
      <c r="F1123" s="72"/>
      <c r="G1123" s="72"/>
      <c r="H1123" s="72"/>
    </row>
    <row r="1124" spans="6:8" x14ac:dyDescent="0.35">
      <c r="F1124" s="72"/>
      <c r="G1124" s="72"/>
      <c r="H1124" s="72"/>
    </row>
    <row r="1125" spans="6:8" x14ac:dyDescent="0.35">
      <c r="F1125" s="72"/>
      <c r="G1125" s="72"/>
      <c r="H1125" s="72"/>
    </row>
    <row r="1126" spans="6:8" x14ac:dyDescent="0.35">
      <c r="F1126" s="72"/>
      <c r="G1126" s="72"/>
      <c r="H1126" s="72"/>
    </row>
    <row r="1127" spans="6:8" x14ac:dyDescent="0.35">
      <c r="F1127" s="72"/>
      <c r="G1127" s="72"/>
      <c r="H1127" s="72"/>
    </row>
    <row r="1128" spans="6:8" x14ac:dyDescent="0.35">
      <c r="F1128" s="72"/>
      <c r="G1128" s="72"/>
      <c r="H1128" s="72"/>
    </row>
    <row r="1129" spans="6:8" x14ac:dyDescent="0.35">
      <c r="F1129" s="72"/>
      <c r="G1129" s="72"/>
      <c r="H1129" s="72"/>
    </row>
    <row r="1130" spans="6:8" x14ac:dyDescent="0.35">
      <c r="F1130" s="72"/>
      <c r="G1130" s="72"/>
      <c r="H1130" s="72"/>
    </row>
    <row r="1131" spans="6:8" x14ac:dyDescent="0.35">
      <c r="F1131" s="72"/>
      <c r="G1131" s="72"/>
      <c r="H1131" s="72"/>
    </row>
    <row r="1132" spans="6:8" x14ac:dyDescent="0.35">
      <c r="F1132" s="72"/>
      <c r="G1132" s="72"/>
      <c r="H1132" s="72"/>
    </row>
    <row r="1133" spans="6:8" x14ac:dyDescent="0.35">
      <c r="F1133" s="72"/>
      <c r="G1133" s="72"/>
      <c r="H1133" s="72"/>
    </row>
    <row r="1134" spans="6:8" x14ac:dyDescent="0.35">
      <c r="F1134" s="72"/>
      <c r="G1134" s="72"/>
      <c r="H1134" s="72"/>
    </row>
    <row r="1135" spans="6:8" x14ac:dyDescent="0.35">
      <c r="F1135" s="72"/>
      <c r="G1135" s="72"/>
      <c r="H1135" s="72"/>
    </row>
    <row r="1136" spans="6:8" x14ac:dyDescent="0.35">
      <c r="F1136" s="72"/>
      <c r="G1136" s="72"/>
      <c r="H1136" s="72"/>
    </row>
    <row r="1137" spans="6:8" x14ac:dyDescent="0.35">
      <c r="F1137" s="72"/>
      <c r="G1137" s="72"/>
      <c r="H1137" s="72"/>
    </row>
    <row r="1138" spans="6:8" x14ac:dyDescent="0.35">
      <c r="F1138" s="72"/>
      <c r="G1138" s="72"/>
      <c r="H1138" s="72"/>
    </row>
    <row r="1139" spans="6:8" x14ac:dyDescent="0.35">
      <c r="F1139" s="72"/>
      <c r="G1139" s="72"/>
      <c r="H1139" s="72"/>
    </row>
    <row r="1140" spans="6:8" x14ac:dyDescent="0.35">
      <c r="F1140" s="72"/>
      <c r="G1140" s="72"/>
      <c r="H1140" s="72"/>
    </row>
    <row r="1141" spans="6:8" x14ac:dyDescent="0.35">
      <c r="F1141" s="72"/>
      <c r="G1141" s="72"/>
      <c r="H1141" s="72"/>
    </row>
    <row r="1142" spans="6:8" x14ac:dyDescent="0.35">
      <c r="F1142" s="72"/>
      <c r="G1142" s="72"/>
      <c r="H1142" s="72"/>
    </row>
    <row r="1143" spans="6:8" x14ac:dyDescent="0.35">
      <c r="F1143" s="72"/>
      <c r="G1143" s="72"/>
      <c r="H1143" s="72"/>
    </row>
    <row r="1144" spans="6:8" x14ac:dyDescent="0.35">
      <c r="F1144" s="72"/>
      <c r="G1144" s="72"/>
      <c r="H1144" s="72"/>
    </row>
    <row r="1145" spans="6:8" x14ac:dyDescent="0.35">
      <c r="F1145" s="72"/>
      <c r="G1145" s="72"/>
      <c r="H1145" s="72"/>
    </row>
    <row r="1146" spans="6:8" x14ac:dyDescent="0.35">
      <c r="F1146" s="72"/>
      <c r="G1146" s="72"/>
      <c r="H1146" s="72"/>
    </row>
    <row r="1147" spans="6:8" x14ac:dyDescent="0.35">
      <c r="F1147" s="72"/>
      <c r="G1147" s="72"/>
      <c r="H1147" s="72"/>
    </row>
    <row r="1148" spans="6:8" x14ac:dyDescent="0.35">
      <c r="F1148" s="72"/>
      <c r="G1148" s="72"/>
      <c r="H1148" s="72"/>
    </row>
    <row r="1149" spans="6:8" x14ac:dyDescent="0.35">
      <c r="F1149" s="72"/>
      <c r="G1149" s="72"/>
      <c r="H1149" s="72"/>
    </row>
    <row r="1150" spans="6:8" x14ac:dyDescent="0.35">
      <c r="F1150" s="72"/>
      <c r="G1150" s="72"/>
      <c r="H1150" s="72"/>
    </row>
    <row r="1151" spans="6:8" x14ac:dyDescent="0.35">
      <c r="F1151" s="72"/>
      <c r="G1151" s="72"/>
      <c r="H1151" s="72"/>
    </row>
    <row r="1152" spans="6:8" x14ac:dyDescent="0.35">
      <c r="F1152" s="72"/>
      <c r="G1152" s="72"/>
      <c r="H1152" s="72"/>
    </row>
    <row r="1153" spans="6:8" x14ac:dyDescent="0.35">
      <c r="F1153" s="72"/>
      <c r="G1153" s="72"/>
      <c r="H1153" s="72"/>
    </row>
    <row r="1154" spans="6:8" x14ac:dyDescent="0.35">
      <c r="F1154" s="72"/>
      <c r="G1154" s="72"/>
      <c r="H1154" s="72"/>
    </row>
    <row r="1155" spans="6:8" x14ac:dyDescent="0.35">
      <c r="F1155" s="72"/>
      <c r="G1155" s="72"/>
      <c r="H1155" s="72"/>
    </row>
    <row r="1156" spans="6:8" x14ac:dyDescent="0.35">
      <c r="F1156" s="72"/>
      <c r="G1156" s="72"/>
      <c r="H1156" s="72"/>
    </row>
    <row r="1157" spans="6:8" x14ac:dyDescent="0.35">
      <c r="F1157" s="72"/>
      <c r="G1157" s="72"/>
      <c r="H1157" s="72"/>
    </row>
    <row r="1158" spans="6:8" x14ac:dyDescent="0.35">
      <c r="F1158" s="72"/>
      <c r="G1158" s="72"/>
      <c r="H1158" s="72"/>
    </row>
    <row r="1159" spans="6:8" x14ac:dyDescent="0.35">
      <c r="F1159" s="72"/>
      <c r="G1159" s="72"/>
      <c r="H1159" s="72"/>
    </row>
    <row r="1160" spans="6:8" x14ac:dyDescent="0.35">
      <c r="F1160" s="72"/>
      <c r="G1160" s="72"/>
      <c r="H1160" s="72"/>
    </row>
    <row r="1161" spans="6:8" x14ac:dyDescent="0.35">
      <c r="F1161" s="72"/>
      <c r="G1161" s="72"/>
      <c r="H1161" s="72"/>
    </row>
    <row r="1162" spans="6:8" x14ac:dyDescent="0.35">
      <c r="F1162" s="72"/>
      <c r="G1162" s="72"/>
      <c r="H1162" s="72"/>
    </row>
    <row r="1163" spans="6:8" x14ac:dyDescent="0.35">
      <c r="F1163" s="72"/>
      <c r="G1163" s="72"/>
      <c r="H1163" s="72"/>
    </row>
    <row r="1164" spans="6:8" x14ac:dyDescent="0.35">
      <c r="F1164" s="72"/>
      <c r="G1164" s="72"/>
      <c r="H1164" s="72"/>
    </row>
    <row r="1165" spans="6:8" x14ac:dyDescent="0.35">
      <c r="F1165" s="72"/>
      <c r="G1165" s="72"/>
      <c r="H1165" s="72"/>
    </row>
    <row r="1166" spans="6:8" x14ac:dyDescent="0.35">
      <c r="F1166" s="72"/>
      <c r="G1166" s="72"/>
      <c r="H1166" s="72"/>
    </row>
    <row r="1167" spans="6:8" x14ac:dyDescent="0.35">
      <c r="F1167" s="72"/>
      <c r="G1167" s="72"/>
      <c r="H1167" s="72"/>
    </row>
    <row r="1168" spans="6:8" x14ac:dyDescent="0.35">
      <c r="F1168" s="72"/>
      <c r="G1168" s="72"/>
      <c r="H1168" s="72"/>
    </row>
    <row r="1169" spans="6:8" x14ac:dyDescent="0.35">
      <c r="F1169" s="72"/>
      <c r="G1169" s="72"/>
      <c r="H1169" s="72"/>
    </row>
    <row r="1170" spans="6:8" x14ac:dyDescent="0.35">
      <c r="F1170" s="72"/>
      <c r="G1170" s="72"/>
      <c r="H1170" s="72"/>
    </row>
    <row r="1171" spans="6:8" x14ac:dyDescent="0.35">
      <c r="F1171" s="72"/>
      <c r="G1171" s="72"/>
      <c r="H1171" s="72"/>
    </row>
    <row r="1172" spans="6:8" x14ac:dyDescent="0.35">
      <c r="F1172" s="72"/>
      <c r="G1172" s="72"/>
      <c r="H1172" s="72"/>
    </row>
    <row r="1173" spans="6:8" x14ac:dyDescent="0.35">
      <c r="F1173" s="72"/>
      <c r="G1173" s="72"/>
      <c r="H1173" s="72"/>
    </row>
    <row r="1174" spans="6:8" x14ac:dyDescent="0.35">
      <c r="F1174" s="72"/>
      <c r="G1174" s="72"/>
      <c r="H1174" s="72"/>
    </row>
    <row r="1175" spans="6:8" x14ac:dyDescent="0.35">
      <c r="F1175" s="72"/>
      <c r="G1175" s="72"/>
      <c r="H1175" s="72"/>
    </row>
    <row r="1176" spans="6:8" x14ac:dyDescent="0.35">
      <c r="F1176" s="72"/>
      <c r="G1176" s="72"/>
      <c r="H1176" s="72"/>
    </row>
    <row r="1177" spans="6:8" x14ac:dyDescent="0.35">
      <c r="F1177" s="72"/>
      <c r="G1177" s="72"/>
      <c r="H1177" s="72"/>
    </row>
    <row r="1178" spans="6:8" x14ac:dyDescent="0.35">
      <c r="F1178" s="72"/>
      <c r="G1178" s="72"/>
      <c r="H1178" s="72"/>
    </row>
    <row r="1179" spans="6:8" x14ac:dyDescent="0.35">
      <c r="F1179" s="72"/>
      <c r="G1179" s="72"/>
      <c r="H1179" s="72"/>
    </row>
    <row r="1180" spans="6:8" x14ac:dyDescent="0.35">
      <c r="F1180" s="72"/>
      <c r="G1180" s="72"/>
      <c r="H1180" s="72"/>
    </row>
    <row r="1181" spans="6:8" x14ac:dyDescent="0.35">
      <c r="F1181" s="72"/>
      <c r="G1181" s="72"/>
      <c r="H1181" s="72"/>
    </row>
    <row r="1182" spans="6:8" x14ac:dyDescent="0.35">
      <c r="F1182" s="72"/>
      <c r="G1182" s="72"/>
      <c r="H1182" s="72"/>
    </row>
    <row r="1183" spans="6:8" x14ac:dyDescent="0.35">
      <c r="F1183" s="72"/>
      <c r="G1183" s="72"/>
      <c r="H1183" s="72"/>
    </row>
    <row r="1184" spans="6:8" x14ac:dyDescent="0.35">
      <c r="F1184" s="72"/>
      <c r="G1184" s="72"/>
      <c r="H1184" s="72"/>
    </row>
    <row r="1185" spans="6:8" x14ac:dyDescent="0.35">
      <c r="F1185" s="72"/>
      <c r="G1185" s="72"/>
      <c r="H1185" s="72"/>
    </row>
    <row r="1186" spans="6:8" x14ac:dyDescent="0.35">
      <c r="F1186" s="72"/>
      <c r="G1186" s="72"/>
      <c r="H1186" s="72"/>
    </row>
    <row r="1187" spans="6:8" x14ac:dyDescent="0.35">
      <c r="F1187" s="72"/>
      <c r="G1187" s="72"/>
      <c r="H1187" s="72"/>
    </row>
    <row r="1188" spans="6:8" x14ac:dyDescent="0.35">
      <c r="F1188" s="72"/>
      <c r="G1188" s="72"/>
      <c r="H1188" s="72"/>
    </row>
    <row r="1189" spans="6:8" x14ac:dyDescent="0.35">
      <c r="F1189" s="72"/>
      <c r="G1189" s="72"/>
      <c r="H1189" s="72"/>
    </row>
    <row r="1190" spans="6:8" x14ac:dyDescent="0.35">
      <c r="F1190" s="72"/>
      <c r="G1190" s="72"/>
      <c r="H1190" s="72"/>
    </row>
    <row r="1191" spans="6:8" x14ac:dyDescent="0.35">
      <c r="F1191" s="72"/>
      <c r="G1191" s="72"/>
      <c r="H1191" s="72"/>
    </row>
    <row r="1192" spans="6:8" x14ac:dyDescent="0.35">
      <c r="F1192" s="72"/>
      <c r="G1192" s="72"/>
      <c r="H1192" s="72"/>
    </row>
    <row r="1193" spans="6:8" x14ac:dyDescent="0.35">
      <c r="F1193" s="72"/>
      <c r="G1193" s="72"/>
      <c r="H1193" s="72"/>
    </row>
    <row r="1194" spans="6:8" x14ac:dyDescent="0.35">
      <c r="F1194" s="72"/>
      <c r="G1194" s="72"/>
      <c r="H1194" s="72"/>
    </row>
    <row r="1195" spans="6:8" x14ac:dyDescent="0.35">
      <c r="F1195" s="72"/>
      <c r="G1195" s="72"/>
      <c r="H1195" s="72"/>
    </row>
    <row r="1196" spans="6:8" x14ac:dyDescent="0.35">
      <c r="F1196" s="72"/>
      <c r="G1196" s="72"/>
      <c r="H1196" s="72"/>
    </row>
    <row r="1197" spans="6:8" x14ac:dyDescent="0.35">
      <c r="F1197" s="72"/>
      <c r="G1197" s="72"/>
      <c r="H1197" s="72"/>
    </row>
    <row r="1198" spans="6:8" x14ac:dyDescent="0.35">
      <c r="F1198" s="72"/>
      <c r="G1198" s="72"/>
      <c r="H1198" s="72"/>
    </row>
    <row r="1199" spans="6:8" x14ac:dyDescent="0.35">
      <c r="F1199" s="72"/>
      <c r="G1199" s="72"/>
      <c r="H1199" s="72"/>
    </row>
    <row r="1200" spans="6:8" x14ac:dyDescent="0.35">
      <c r="F1200" s="72"/>
      <c r="G1200" s="72"/>
      <c r="H1200" s="72"/>
    </row>
    <row r="1201" spans="6:8" x14ac:dyDescent="0.35">
      <c r="F1201" s="72"/>
      <c r="G1201" s="72"/>
      <c r="H1201" s="72"/>
    </row>
    <row r="1202" spans="6:8" x14ac:dyDescent="0.35">
      <c r="F1202" s="72"/>
      <c r="G1202" s="72"/>
      <c r="H1202" s="72"/>
    </row>
    <row r="1203" spans="6:8" x14ac:dyDescent="0.35">
      <c r="F1203" s="72"/>
      <c r="G1203" s="72"/>
      <c r="H1203" s="72"/>
    </row>
    <row r="1204" spans="6:8" x14ac:dyDescent="0.35">
      <c r="F1204" s="72"/>
      <c r="G1204" s="72"/>
      <c r="H1204" s="72"/>
    </row>
    <row r="1205" spans="6:8" x14ac:dyDescent="0.35">
      <c r="F1205" s="72"/>
      <c r="G1205" s="72"/>
      <c r="H1205" s="72"/>
    </row>
    <row r="1206" spans="6:8" x14ac:dyDescent="0.35">
      <c r="F1206" s="72"/>
      <c r="G1206" s="72"/>
      <c r="H1206" s="72"/>
    </row>
    <row r="1207" spans="6:8" x14ac:dyDescent="0.35">
      <c r="F1207" s="72"/>
      <c r="G1207" s="72"/>
      <c r="H1207" s="72"/>
    </row>
    <row r="1208" spans="6:8" x14ac:dyDescent="0.35">
      <c r="F1208" s="72"/>
      <c r="G1208" s="72"/>
      <c r="H1208" s="72"/>
    </row>
    <row r="1209" spans="6:8" x14ac:dyDescent="0.35">
      <c r="F1209" s="72"/>
      <c r="G1209" s="72"/>
      <c r="H1209" s="72"/>
    </row>
    <row r="1210" spans="6:8" x14ac:dyDescent="0.35">
      <c r="F1210" s="72"/>
      <c r="G1210" s="72"/>
      <c r="H1210" s="72"/>
    </row>
    <row r="1211" spans="6:8" x14ac:dyDescent="0.35">
      <c r="F1211" s="72"/>
      <c r="G1211" s="72"/>
      <c r="H1211" s="72"/>
    </row>
    <row r="1212" spans="6:8" x14ac:dyDescent="0.35">
      <c r="F1212" s="72"/>
      <c r="G1212" s="72"/>
      <c r="H1212" s="72"/>
    </row>
    <row r="1213" spans="6:8" x14ac:dyDescent="0.35">
      <c r="F1213" s="72"/>
      <c r="G1213" s="72"/>
      <c r="H1213" s="72"/>
    </row>
    <row r="1214" spans="6:8" x14ac:dyDescent="0.35">
      <c r="F1214" s="72"/>
      <c r="G1214" s="72"/>
      <c r="H1214" s="72"/>
    </row>
    <row r="1215" spans="6:8" x14ac:dyDescent="0.35">
      <c r="F1215" s="72"/>
      <c r="G1215" s="72"/>
      <c r="H1215" s="72"/>
    </row>
    <row r="1216" spans="6:8" x14ac:dyDescent="0.35">
      <c r="F1216" s="72"/>
      <c r="G1216" s="72"/>
      <c r="H1216" s="72"/>
    </row>
    <row r="1217" spans="6:8" x14ac:dyDescent="0.35">
      <c r="F1217" s="72"/>
      <c r="G1217" s="72"/>
      <c r="H1217" s="72"/>
    </row>
    <row r="1218" spans="6:8" x14ac:dyDescent="0.35">
      <c r="F1218" s="72"/>
      <c r="G1218" s="72"/>
      <c r="H1218" s="72"/>
    </row>
    <row r="1219" spans="6:8" x14ac:dyDescent="0.35">
      <c r="F1219" s="72"/>
      <c r="G1219" s="72"/>
      <c r="H1219" s="72"/>
    </row>
    <row r="1220" spans="6:8" x14ac:dyDescent="0.35">
      <c r="F1220" s="72"/>
      <c r="G1220" s="72"/>
      <c r="H1220" s="72"/>
    </row>
    <row r="1221" spans="6:8" x14ac:dyDescent="0.35">
      <c r="F1221" s="72"/>
      <c r="G1221" s="72"/>
      <c r="H1221" s="72"/>
    </row>
    <row r="1222" spans="6:8" x14ac:dyDescent="0.35">
      <c r="F1222" s="72"/>
      <c r="G1222" s="72"/>
      <c r="H1222" s="72"/>
    </row>
    <row r="1223" spans="6:8" x14ac:dyDescent="0.35">
      <c r="F1223" s="72"/>
      <c r="G1223" s="72"/>
      <c r="H1223" s="72"/>
    </row>
    <row r="1224" spans="6:8" x14ac:dyDescent="0.35">
      <c r="F1224" s="72"/>
      <c r="G1224" s="72"/>
      <c r="H1224" s="72"/>
    </row>
    <row r="1225" spans="6:8" x14ac:dyDescent="0.35">
      <c r="F1225" s="72"/>
      <c r="G1225" s="72"/>
      <c r="H1225" s="72"/>
    </row>
    <row r="1226" spans="6:8" x14ac:dyDescent="0.35">
      <c r="F1226" s="72"/>
      <c r="G1226" s="72"/>
      <c r="H1226" s="72"/>
    </row>
    <row r="1227" spans="6:8" x14ac:dyDescent="0.35">
      <c r="F1227" s="72"/>
      <c r="G1227" s="72"/>
      <c r="H1227" s="72"/>
    </row>
    <row r="1228" spans="6:8" x14ac:dyDescent="0.35">
      <c r="F1228" s="72"/>
      <c r="G1228" s="72"/>
      <c r="H1228" s="72"/>
    </row>
    <row r="1229" spans="6:8" x14ac:dyDescent="0.35">
      <c r="F1229" s="72"/>
      <c r="G1229" s="72"/>
      <c r="H1229" s="72"/>
    </row>
    <row r="1230" spans="6:8" x14ac:dyDescent="0.35">
      <c r="F1230" s="72"/>
      <c r="G1230" s="72"/>
      <c r="H1230" s="72"/>
    </row>
    <row r="1231" spans="6:8" x14ac:dyDescent="0.35">
      <c r="F1231" s="72"/>
      <c r="G1231" s="72"/>
      <c r="H1231" s="72"/>
    </row>
    <row r="1232" spans="6:8" x14ac:dyDescent="0.35">
      <c r="F1232" s="72"/>
      <c r="G1232" s="72"/>
      <c r="H1232" s="72"/>
    </row>
    <row r="1233" spans="6:8" x14ac:dyDescent="0.35">
      <c r="F1233" s="72"/>
      <c r="G1233" s="72"/>
      <c r="H1233" s="72"/>
    </row>
    <row r="1234" spans="6:8" x14ac:dyDescent="0.35">
      <c r="F1234" s="72"/>
      <c r="G1234" s="72"/>
      <c r="H1234" s="72"/>
    </row>
    <row r="1235" spans="6:8" x14ac:dyDescent="0.35">
      <c r="F1235" s="72"/>
      <c r="G1235" s="72"/>
      <c r="H1235" s="72"/>
    </row>
    <row r="1236" spans="6:8" x14ac:dyDescent="0.35">
      <c r="F1236" s="72"/>
      <c r="G1236" s="72"/>
      <c r="H1236" s="72"/>
    </row>
    <row r="1237" spans="6:8" x14ac:dyDescent="0.35">
      <c r="F1237" s="72"/>
      <c r="G1237" s="72"/>
      <c r="H1237" s="72"/>
    </row>
    <row r="1238" spans="6:8" x14ac:dyDescent="0.35">
      <c r="F1238" s="72"/>
      <c r="G1238" s="72"/>
      <c r="H1238" s="72"/>
    </row>
    <row r="1239" spans="6:8" x14ac:dyDescent="0.35">
      <c r="F1239" s="72"/>
      <c r="G1239" s="72"/>
      <c r="H1239" s="72"/>
    </row>
    <row r="1240" spans="6:8" x14ac:dyDescent="0.35">
      <c r="F1240" s="72"/>
      <c r="G1240" s="72"/>
      <c r="H1240" s="72"/>
    </row>
    <row r="1241" spans="6:8" x14ac:dyDescent="0.35">
      <c r="F1241" s="72"/>
      <c r="G1241" s="72"/>
      <c r="H1241" s="72"/>
    </row>
    <row r="1242" spans="6:8" x14ac:dyDescent="0.35">
      <c r="F1242" s="72"/>
      <c r="G1242" s="72"/>
      <c r="H1242" s="72"/>
    </row>
    <row r="1243" spans="6:8" x14ac:dyDescent="0.35">
      <c r="F1243" s="72"/>
      <c r="G1243" s="72"/>
      <c r="H1243" s="72"/>
    </row>
    <row r="1244" spans="6:8" x14ac:dyDescent="0.35">
      <c r="F1244" s="72"/>
      <c r="G1244" s="72"/>
      <c r="H1244" s="72"/>
    </row>
    <row r="1245" spans="6:8" x14ac:dyDescent="0.35">
      <c r="F1245" s="72"/>
      <c r="G1245" s="72"/>
      <c r="H1245" s="72"/>
    </row>
    <row r="1246" spans="6:8" x14ac:dyDescent="0.35">
      <c r="F1246" s="72"/>
      <c r="G1246" s="72"/>
      <c r="H1246" s="72"/>
    </row>
    <row r="1247" spans="6:8" x14ac:dyDescent="0.35">
      <c r="F1247" s="72"/>
      <c r="G1247" s="72"/>
      <c r="H1247" s="72"/>
    </row>
    <row r="1248" spans="6:8" x14ac:dyDescent="0.35">
      <c r="F1248" s="72"/>
      <c r="G1248" s="72"/>
      <c r="H1248" s="72"/>
    </row>
    <row r="1249" spans="6:8" x14ac:dyDescent="0.35">
      <c r="F1249" s="72"/>
      <c r="G1249" s="72"/>
      <c r="H1249" s="72"/>
    </row>
    <row r="1250" spans="6:8" x14ac:dyDescent="0.35">
      <c r="F1250" s="72"/>
      <c r="G1250" s="72"/>
      <c r="H1250" s="72"/>
    </row>
    <row r="1251" spans="6:8" x14ac:dyDescent="0.35">
      <c r="F1251" s="72"/>
      <c r="G1251" s="72"/>
      <c r="H1251" s="72"/>
    </row>
    <row r="1252" spans="6:8" x14ac:dyDescent="0.35">
      <c r="F1252" s="72"/>
      <c r="G1252" s="72"/>
      <c r="H1252" s="72"/>
    </row>
    <row r="1253" spans="6:8" x14ac:dyDescent="0.35">
      <c r="F1253" s="72"/>
      <c r="G1253" s="72"/>
      <c r="H1253" s="72"/>
    </row>
    <row r="1254" spans="6:8" x14ac:dyDescent="0.35">
      <c r="F1254" s="72"/>
      <c r="G1254" s="72"/>
      <c r="H1254" s="72"/>
    </row>
    <row r="1255" spans="6:8" x14ac:dyDescent="0.35">
      <c r="F1255" s="72"/>
      <c r="G1255" s="72"/>
      <c r="H1255" s="72"/>
    </row>
    <row r="1256" spans="6:8" x14ac:dyDescent="0.35">
      <c r="F1256" s="72"/>
      <c r="G1256" s="72"/>
      <c r="H1256" s="72"/>
    </row>
    <row r="1257" spans="6:8" x14ac:dyDescent="0.35">
      <c r="F1257" s="72"/>
      <c r="G1257" s="72"/>
      <c r="H1257" s="72"/>
    </row>
    <row r="1258" spans="6:8" x14ac:dyDescent="0.35">
      <c r="F1258" s="72"/>
      <c r="G1258" s="72"/>
      <c r="H1258" s="72"/>
    </row>
    <row r="1259" spans="6:8" x14ac:dyDescent="0.35">
      <c r="F1259" s="72"/>
      <c r="G1259" s="72"/>
      <c r="H1259" s="72"/>
    </row>
    <row r="1260" spans="6:8" x14ac:dyDescent="0.35">
      <c r="F1260" s="72"/>
      <c r="G1260" s="72"/>
      <c r="H1260" s="72"/>
    </row>
    <row r="1261" spans="6:8" x14ac:dyDescent="0.35">
      <c r="F1261" s="72"/>
      <c r="G1261" s="72"/>
      <c r="H1261" s="72"/>
    </row>
    <row r="1262" spans="6:8" x14ac:dyDescent="0.35">
      <c r="F1262" s="72"/>
      <c r="G1262" s="72"/>
      <c r="H1262" s="72"/>
    </row>
    <row r="1263" spans="6:8" x14ac:dyDescent="0.35">
      <c r="F1263" s="72"/>
      <c r="G1263" s="72"/>
      <c r="H1263" s="72"/>
    </row>
    <row r="1264" spans="6:8" x14ac:dyDescent="0.35">
      <c r="F1264" s="72"/>
      <c r="G1264" s="72"/>
      <c r="H1264" s="72"/>
    </row>
    <row r="1265" spans="6:8" x14ac:dyDescent="0.35">
      <c r="F1265" s="72"/>
      <c r="G1265" s="72"/>
      <c r="H1265" s="72"/>
    </row>
    <row r="1266" spans="6:8" x14ac:dyDescent="0.35">
      <c r="F1266" s="72"/>
      <c r="G1266" s="72"/>
      <c r="H1266" s="72"/>
    </row>
    <row r="1267" spans="6:8" x14ac:dyDescent="0.35">
      <c r="F1267" s="72"/>
      <c r="G1267" s="72"/>
      <c r="H1267" s="72"/>
    </row>
    <row r="1268" spans="6:8" x14ac:dyDescent="0.35">
      <c r="F1268" s="72"/>
      <c r="G1268" s="72"/>
      <c r="H1268" s="72"/>
    </row>
    <row r="1269" spans="6:8" x14ac:dyDescent="0.35">
      <c r="F1269" s="72"/>
      <c r="G1269" s="72"/>
      <c r="H1269" s="72"/>
    </row>
    <row r="1270" spans="6:8" x14ac:dyDescent="0.35">
      <c r="F1270" s="72"/>
      <c r="G1270" s="72"/>
      <c r="H1270" s="72"/>
    </row>
    <row r="1271" spans="6:8" x14ac:dyDescent="0.35">
      <c r="F1271" s="72"/>
      <c r="G1271" s="72"/>
      <c r="H1271" s="72"/>
    </row>
    <row r="1272" spans="6:8" x14ac:dyDescent="0.35">
      <c r="F1272" s="72"/>
      <c r="G1272" s="72"/>
      <c r="H1272" s="72"/>
    </row>
    <row r="1273" spans="6:8" x14ac:dyDescent="0.35">
      <c r="F1273" s="72"/>
      <c r="G1273" s="72"/>
      <c r="H1273" s="72"/>
    </row>
    <row r="1274" spans="6:8" x14ac:dyDescent="0.35">
      <c r="F1274" s="72"/>
      <c r="G1274" s="72"/>
      <c r="H1274" s="72"/>
    </row>
    <row r="1275" spans="6:8" x14ac:dyDescent="0.35">
      <c r="F1275" s="72"/>
      <c r="G1275" s="72"/>
      <c r="H1275" s="72"/>
    </row>
    <row r="1276" spans="6:8" x14ac:dyDescent="0.35">
      <c r="F1276" s="72"/>
      <c r="G1276" s="72"/>
      <c r="H1276" s="72"/>
    </row>
    <row r="1277" spans="6:8" x14ac:dyDescent="0.35">
      <c r="F1277" s="72"/>
      <c r="G1277" s="72"/>
      <c r="H1277" s="72"/>
    </row>
    <row r="1278" spans="6:8" x14ac:dyDescent="0.35">
      <c r="F1278" s="72"/>
      <c r="G1278" s="72"/>
      <c r="H1278" s="72"/>
    </row>
    <row r="1279" spans="6:8" x14ac:dyDescent="0.35">
      <c r="F1279" s="72"/>
      <c r="G1279" s="72"/>
      <c r="H1279" s="72"/>
    </row>
    <row r="1280" spans="6:8" x14ac:dyDescent="0.35">
      <c r="F1280" s="72"/>
      <c r="G1280" s="72"/>
      <c r="H1280" s="72"/>
    </row>
    <row r="1281" spans="6:8" x14ac:dyDescent="0.35">
      <c r="F1281" s="72"/>
      <c r="G1281" s="72"/>
      <c r="H1281" s="72"/>
    </row>
    <row r="1282" spans="6:8" x14ac:dyDescent="0.35">
      <c r="F1282" s="72"/>
      <c r="G1282" s="72"/>
      <c r="H1282" s="72"/>
    </row>
    <row r="1283" spans="6:8" x14ac:dyDescent="0.35">
      <c r="F1283" s="72"/>
      <c r="G1283" s="72"/>
      <c r="H1283" s="72"/>
    </row>
    <row r="1284" spans="6:8" x14ac:dyDescent="0.35">
      <c r="F1284" s="72"/>
      <c r="G1284" s="72"/>
      <c r="H1284" s="72"/>
    </row>
    <row r="1285" spans="6:8" x14ac:dyDescent="0.35">
      <c r="F1285" s="72"/>
      <c r="G1285" s="72"/>
      <c r="H1285" s="72"/>
    </row>
    <row r="1286" spans="6:8" x14ac:dyDescent="0.35">
      <c r="F1286" s="72"/>
      <c r="G1286" s="72"/>
      <c r="H1286" s="72"/>
    </row>
    <row r="1287" spans="6:8" x14ac:dyDescent="0.35">
      <c r="F1287" s="72"/>
      <c r="G1287" s="72"/>
      <c r="H1287" s="72"/>
    </row>
    <row r="1288" spans="6:8" x14ac:dyDescent="0.35">
      <c r="F1288" s="72"/>
      <c r="G1288" s="72"/>
      <c r="H1288" s="72"/>
    </row>
    <row r="1289" spans="6:8" x14ac:dyDescent="0.35">
      <c r="F1289" s="72"/>
      <c r="G1289" s="72"/>
      <c r="H1289" s="72"/>
    </row>
    <row r="1290" spans="6:8" x14ac:dyDescent="0.35">
      <c r="F1290" s="72"/>
      <c r="G1290" s="72"/>
      <c r="H1290" s="72"/>
    </row>
    <row r="1291" spans="6:8" x14ac:dyDescent="0.35">
      <c r="F1291" s="72"/>
      <c r="G1291" s="72"/>
      <c r="H1291" s="72"/>
    </row>
    <row r="1292" spans="6:8" x14ac:dyDescent="0.35">
      <c r="F1292" s="72"/>
      <c r="G1292" s="72"/>
      <c r="H1292" s="72"/>
    </row>
    <row r="1293" spans="6:8" x14ac:dyDescent="0.35">
      <c r="F1293" s="72"/>
      <c r="G1293" s="72"/>
      <c r="H1293" s="72"/>
    </row>
    <row r="1294" spans="6:8" x14ac:dyDescent="0.35">
      <c r="F1294" s="72"/>
      <c r="G1294" s="72"/>
      <c r="H1294" s="72"/>
    </row>
    <row r="1295" spans="6:8" x14ac:dyDescent="0.35">
      <c r="F1295" s="72"/>
      <c r="G1295" s="72"/>
      <c r="H1295" s="72"/>
    </row>
    <row r="1296" spans="6:8" x14ac:dyDescent="0.35">
      <c r="F1296" s="72"/>
      <c r="G1296" s="72"/>
      <c r="H1296" s="72"/>
    </row>
    <row r="1297" spans="6:8" x14ac:dyDescent="0.35">
      <c r="F1297" s="72"/>
      <c r="G1297" s="72"/>
      <c r="H1297" s="72"/>
    </row>
    <row r="1298" spans="6:8" x14ac:dyDescent="0.35">
      <c r="F1298" s="72"/>
      <c r="G1298" s="72"/>
      <c r="H1298" s="72"/>
    </row>
    <row r="1299" spans="6:8" x14ac:dyDescent="0.35">
      <c r="F1299" s="72"/>
      <c r="G1299" s="72"/>
      <c r="H1299" s="72"/>
    </row>
    <row r="1300" spans="6:8" x14ac:dyDescent="0.35">
      <c r="F1300" s="72"/>
      <c r="G1300" s="72"/>
      <c r="H1300" s="72"/>
    </row>
    <row r="1301" spans="6:8" x14ac:dyDescent="0.35">
      <c r="F1301" s="72"/>
      <c r="G1301" s="72"/>
      <c r="H1301" s="72"/>
    </row>
    <row r="1302" spans="6:8" x14ac:dyDescent="0.35">
      <c r="F1302" s="72"/>
      <c r="G1302" s="72"/>
      <c r="H1302" s="72"/>
    </row>
    <row r="1303" spans="6:8" x14ac:dyDescent="0.35">
      <c r="F1303" s="72"/>
      <c r="G1303" s="72"/>
      <c r="H1303" s="72"/>
    </row>
    <row r="1304" spans="6:8" x14ac:dyDescent="0.35">
      <c r="F1304" s="72"/>
      <c r="G1304" s="72"/>
      <c r="H1304" s="72"/>
    </row>
    <row r="1305" spans="6:8" x14ac:dyDescent="0.35">
      <c r="F1305" s="72"/>
      <c r="G1305" s="72"/>
      <c r="H1305" s="72"/>
    </row>
    <row r="1306" spans="6:8" x14ac:dyDescent="0.35">
      <c r="F1306" s="72"/>
      <c r="G1306" s="72"/>
      <c r="H1306" s="72"/>
    </row>
    <row r="1307" spans="6:8" x14ac:dyDescent="0.35">
      <c r="F1307" s="72"/>
      <c r="G1307" s="72"/>
      <c r="H1307" s="72"/>
    </row>
    <row r="1308" spans="6:8" x14ac:dyDescent="0.35">
      <c r="F1308" s="72"/>
      <c r="G1308" s="72"/>
      <c r="H1308" s="72"/>
    </row>
    <row r="1309" spans="6:8" x14ac:dyDescent="0.35">
      <c r="F1309" s="72"/>
      <c r="G1309" s="72"/>
      <c r="H1309" s="72"/>
    </row>
    <row r="1310" spans="6:8" x14ac:dyDescent="0.35">
      <c r="F1310" s="72"/>
      <c r="G1310" s="72"/>
      <c r="H1310" s="72"/>
    </row>
    <row r="1311" spans="6:8" x14ac:dyDescent="0.35">
      <c r="F1311" s="72"/>
      <c r="G1311" s="72"/>
      <c r="H1311" s="72"/>
    </row>
    <row r="1312" spans="6:8" x14ac:dyDescent="0.35">
      <c r="F1312" s="72"/>
      <c r="G1312" s="72"/>
      <c r="H1312" s="72"/>
    </row>
    <row r="1313" spans="6:8" x14ac:dyDescent="0.35">
      <c r="F1313" s="72"/>
      <c r="G1313" s="72"/>
      <c r="H1313" s="72"/>
    </row>
    <row r="1314" spans="6:8" x14ac:dyDescent="0.35">
      <c r="F1314" s="72"/>
      <c r="G1314" s="72"/>
      <c r="H1314" s="72"/>
    </row>
    <row r="1315" spans="6:8" x14ac:dyDescent="0.35">
      <c r="F1315" s="72"/>
      <c r="G1315" s="72"/>
      <c r="H1315" s="72"/>
    </row>
    <row r="1316" spans="6:8" x14ac:dyDescent="0.35">
      <c r="F1316" s="72"/>
      <c r="G1316" s="72"/>
      <c r="H1316" s="72"/>
    </row>
    <row r="1317" spans="6:8" x14ac:dyDescent="0.35">
      <c r="F1317" s="72"/>
      <c r="G1317" s="72"/>
      <c r="H1317" s="72"/>
    </row>
    <row r="1318" spans="6:8" x14ac:dyDescent="0.35">
      <c r="F1318" s="72"/>
      <c r="G1318" s="72"/>
      <c r="H1318" s="72"/>
    </row>
    <row r="1319" spans="6:8" x14ac:dyDescent="0.35">
      <c r="F1319" s="72"/>
      <c r="G1319" s="72"/>
      <c r="H1319" s="72"/>
    </row>
    <row r="1320" spans="6:8" x14ac:dyDescent="0.35">
      <c r="F1320" s="72"/>
      <c r="G1320" s="72"/>
      <c r="H1320" s="72"/>
    </row>
    <row r="1321" spans="6:8" x14ac:dyDescent="0.35">
      <c r="F1321" s="72"/>
      <c r="G1321" s="72"/>
      <c r="H1321" s="72"/>
    </row>
    <row r="1322" spans="6:8" x14ac:dyDescent="0.35">
      <c r="F1322" s="72"/>
      <c r="G1322" s="72"/>
      <c r="H1322" s="72"/>
    </row>
    <row r="1323" spans="6:8" x14ac:dyDescent="0.35">
      <c r="F1323" s="72"/>
      <c r="G1323" s="72"/>
      <c r="H1323" s="72"/>
    </row>
    <row r="1324" spans="6:8" x14ac:dyDescent="0.35">
      <c r="F1324" s="72"/>
      <c r="G1324" s="72"/>
      <c r="H1324" s="72"/>
    </row>
    <row r="1325" spans="6:8" x14ac:dyDescent="0.35">
      <c r="F1325" s="72"/>
      <c r="G1325" s="72"/>
      <c r="H1325" s="72"/>
    </row>
    <row r="1326" spans="6:8" x14ac:dyDescent="0.35">
      <c r="F1326" s="72"/>
      <c r="G1326" s="72"/>
      <c r="H1326" s="72"/>
    </row>
    <row r="1327" spans="6:8" x14ac:dyDescent="0.35">
      <c r="F1327" s="72"/>
      <c r="G1327" s="72"/>
      <c r="H1327" s="72"/>
    </row>
    <row r="1328" spans="6:8" x14ac:dyDescent="0.35">
      <c r="F1328" s="72"/>
      <c r="G1328" s="72"/>
      <c r="H1328" s="72"/>
    </row>
    <row r="1329" spans="6:8" x14ac:dyDescent="0.35">
      <c r="F1329" s="72"/>
      <c r="G1329" s="72"/>
      <c r="H1329" s="72"/>
    </row>
    <row r="1330" spans="6:8" x14ac:dyDescent="0.35">
      <c r="F1330" s="72"/>
      <c r="G1330" s="72"/>
      <c r="H1330" s="72"/>
    </row>
    <row r="1331" spans="6:8" x14ac:dyDescent="0.35">
      <c r="F1331" s="72"/>
      <c r="G1331" s="72"/>
      <c r="H1331" s="72"/>
    </row>
    <row r="1332" spans="6:8" x14ac:dyDescent="0.35">
      <c r="F1332" s="72"/>
      <c r="G1332" s="72"/>
      <c r="H1332" s="72"/>
    </row>
    <row r="1333" spans="6:8" x14ac:dyDescent="0.35">
      <c r="F1333" s="72"/>
      <c r="G1333" s="72"/>
      <c r="H1333" s="72"/>
    </row>
    <row r="1334" spans="6:8" x14ac:dyDescent="0.35">
      <c r="F1334" s="72"/>
      <c r="G1334" s="72"/>
      <c r="H1334" s="72"/>
    </row>
    <row r="1335" spans="6:8" x14ac:dyDescent="0.35">
      <c r="F1335" s="72"/>
      <c r="G1335" s="72"/>
      <c r="H1335" s="72"/>
    </row>
    <row r="1336" spans="6:8" x14ac:dyDescent="0.35">
      <c r="F1336" s="72"/>
      <c r="G1336" s="72"/>
      <c r="H1336" s="72"/>
    </row>
    <row r="1337" spans="6:8" x14ac:dyDescent="0.35">
      <c r="F1337" s="72"/>
      <c r="G1337" s="72"/>
      <c r="H1337" s="72"/>
    </row>
    <row r="1338" spans="6:8" x14ac:dyDescent="0.35">
      <c r="F1338" s="72"/>
      <c r="G1338" s="72"/>
      <c r="H1338" s="72"/>
    </row>
    <row r="1339" spans="6:8" x14ac:dyDescent="0.35">
      <c r="F1339" s="72"/>
      <c r="G1339" s="72"/>
      <c r="H1339" s="72"/>
    </row>
    <row r="1340" spans="6:8" x14ac:dyDescent="0.35">
      <c r="F1340" s="72"/>
      <c r="G1340" s="72"/>
      <c r="H1340" s="72"/>
    </row>
    <row r="1341" spans="6:8" x14ac:dyDescent="0.35">
      <c r="F1341" s="72"/>
      <c r="G1341" s="72"/>
      <c r="H1341" s="72"/>
    </row>
    <row r="1342" spans="6:8" x14ac:dyDescent="0.35">
      <c r="F1342" s="72"/>
      <c r="G1342" s="72"/>
      <c r="H1342" s="72"/>
    </row>
    <row r="1343" spans="6:8" x14ac:dyDescent="0.35">
      <c r="F1343" s="72"/>
      <c r="G1343" s="72"/>
      <c r="H1343" s="72"/>
    </row>
    <row r="1344" spans="6:8" x14ac:dyDescent="0.35">
      <c r="F1344" s="72"/>
      <c r="G1344" s="72"/>
      <c r="H1344" s="72"/>
    </row>
    <row r="1345" spans="6:8" x14ac:dyDescent="0.35">
      <c r="F1345" s="72"/>
      <c r="G1345" s="72"/>
      <c r="H1345" s="72"/>
    </row>
    <row r="1346" spans="6:8" x14ac:dyDescent="0.35">
      <c r="F1346" s="72"/>
      <c r="G1346" s="72"/>
      <c r="H1346" s="72"/>
    </row>
    <row r="1347" spans="6:8" x14ac:dyDescent="0.35">
      <c r="F1347" s="72"/>
      <c r="G1347" s="72"/>
      <c r="H1347" s="72"/>
    </row>
    <row r="1348" spans="6:8" x14ac:dyDescent="0.35">
      <c r="F1348" s="72"/>
      <c r="G1348" s="72"/>
      <c r="H1348" s="72"/>
    </row>
    <row r="1349" spans="6:8" x14ac:dyDescent="0.35">
      <c r="F1349" s="72"/>
      <c r="G1349" s="72"/>
      <c r="H1349" s="72"/>
    </row>
    <row r="1350" spans="6:8" x14ac:dyDescent="0.35">
      <c r="F1350" s="72"/>
      <c r="G1350" s="72"/>
      <c r="H1350" s="72"/>
    </row>
    <row r="1351" spans="6:8" x14ac:dyDescent="0.35">
      <c r="F1351" s="72"/>
      <c r="G1351" s="72"/>
      <c r="H1351" s="72"/>
    </row>
    <row r="1352" spans="6:8" x14ac:dyDescent="0.35">
      <c r="F1352" s="72"/>
      <c r="G1352" s="72"/>
      <c r="H1352" s="72"/>
    </row>
    <row r="1353" spans="6:8" x14ac:dyDescent="0.35">
      <c r="F1353" s="72"/>
      <c r="G1353" s="72"/>
      <c r="H1353" s="72"/>
    </row>
    <row r="1354" spans="6:8" x14ac:dyDescent="0.35">
      <c r="F1354" s="72"/>
      <c r="G1354" s="72"/>
      <c r="H1354" s="72"/>
    </row>
    <row r="1355" spans="6:8" x14ac:dyDescent="0.35">
      <c r="F1355" s="72"/>
      <c r="G1355" s="72"/>
      <c r="H1355" s="72"/>
    </row>
    <row r="1356" spans="6:8" x14ac:dyDescent="0.35">
      <c r="F1356" s="72"/>
      <c r="G1356" s="72"/>
      <c r="H1356" s="72"/>
    </row>
    <row r="1357" spans="6:8" x14ac:dyDescent="0.35">
      <c r="F1357" s="72"/>
      <c r="G1357" s="72"/>
      <c r="H1357" s="72"/>
    </row>
    <row r="1358" spans="6:8" x14ac:dyDescent="0.35">
      <c r="F1358" s="72"/>
      <c r="G1358" s="72"/>
      <c r="H1358" s="72"/>
    </row>
    <row r="1359" spans="6:8" x14ac:dyDescent="0.35">
      <c r="F1359" s="72"/>
      <c r="G1359" s="72"/>
      <c r="H1359" s="72"/>
    </row>
    <row r="1360" spans="6:8" x14ac:dyDescent="0.35">
      <c r="F1360" s="72"/>
      <c r="G1360" s="72"/>
      <c r="H1360" s="72"/>
    </row>
    <row r="1361" spans="6:8" x14ac:dyDescent="0.35">
      <c r="F1361" s="72"/>
      <c r="G1361" s="72"/>
      <c r="H1361" s="72"/>
    </row>
    <row r="1362" spans="6:8" x14ac:dyDescent="0.35">
      <c r="F1362" s="72"/>
      <c r="G1362" s="72"/>
      <c r="H1362" s="72"/>
    </row>
    <row r="1363" spans="6:8" x14ac:dyDescent="0.35">
      <c r="F1363" s="72"/>
      <c r="G1363" s="72"/>
      <c r="H1363" s="72"/>
    </row>
    <row r="1364" spans="6:8" x14ac:dyDescent="0.35">
      <c r="F1364" s="72"/>
      <c r="G1364" s="72"/>
      <c r="H1364" s="72"/>
    </row>
    <row r="1365" spans="6:8" x14ac:dyDescent="0.35">
      <c r="F1365" s="72"/>
      <c r="G1365" s="72"/>
      <c r="H1365" s="72"/>
    </row>
    <row r="1366" spans="6:8" x14ac:dyDescent="0.35">
      <c r="F1366" s="72"/>
      <c r="G1366" s="72"/>
      <c r="H1366" s="72"/>
    </row>
    <row r="1367" spans="6:8" x14ac:dyDescent="0.35">
      <c r="F1367" s="72"/>
      <c r="G1367" s="72"/>
      <c r="H1367" s="72"/>
    </row>
    <row r="1368" spans="6:8" x14ac:dyDescent="0.35">
      <c r="F1368" s="72"/>
      <c r="G1368" s="72"/>
      <c r="H1368" s="72"/>
    </row>
    <row r="1369" spans="6:8" x14ac:dyDescent="0.35">
      <c r="F1369" s="72"/>
      <c r="G1369" s="72"/>
      <c r="H1369" s="72"/>
    </row>
    <row r="1370" spans="6:8" x14ac:dyDescent="0.35">
      <c r="F1370" s="72"/>
      <c r="G1370" s="72"/>
      <c r="H1370" s="72"/>
    </row>
    <row r="1371" spans="6:8" x14ac:dyDescent="0.35">
      <c r="F1371" s="72"/>
      <c r="G1371" s="72"/>
      <c r="H1371" s="72"/>
    </row>
    <row r="1372" spans="6:8" x14ac:dyDescent="0.35">
      <c r="F1372" s="72"/>
      <c r="G1372" s="72"/>
      <c r="H1372" s="72"/>
    </row>
    <row r="1373" spans="6:8" x14ac:dyDescent="0.35">
      <c r="F1373" s="72"/>
      <c r="G1373" s="72"/>
      <c r="H1373" s="72"/>
    </row>
    <row r="1374" spans="6:8" x14ac:dyDescent="0.35">
      <c r="F1374" s="72"/>
      <c r="G1374" s="72"/>
      <c r="H1374" s="72"/>
    </row>
    <row r="1375" spans="6:8" x14ac:dyDescent="0.35">
      <c r="F1375" s="72"/>
      <c r="G1375" s="72"/>
      <c r="H1375" s="72"/>
    </row>
    <row r="1376" spans="6:8" x14ac:dyDescent="0.35">
      <c r="F1376" s="72"/>
      <c r="G1376" s="72"/>
      <c r="H1376" s="72"/>
    </row>
    <row r="1377" spans="6:8" x14ac:dyDescent="0.35">
      <c r="F1377" s="72"/>
      <c r="G1377" s="72"/>
      <c r="H1377" s="72"/>
    </row>
    <row r="1378" spans="6:8" x14ac:dyDescent="0.35">
      <c r="F1378" s="72"/>
      <c r="G1378" s="72"/>
      <c r="H1378" s="72"/>
    </row>
    <row r="1379" spans="6:8" x14ac:dyDescent="0.35">
      <c r="F1379" s="72"/>
      <c r="G1379" s="72"/>
      <c r="H1379" s="72"/>
    </row>
    <row r="1380" spans="6:8" x14ac:dyDescent="0.35">
      <c r="F1380" s="72"/>
      <c r="G1380" s="72"/>
      <c r="H1380" s="72"/>
    </row>
    <row r="1381" spans="6:8" x14ac:dyDescent="0.35">
      <c r="F1381" s="72"/>
      <c r="G1381" s="72"/>
      <c r="H1381" s="72"/>
    </row>
    <row r="1382" spans="6:8" x14ac:dyDescent="0.35">
      <c r="F1382" s="72"/>
      <c r="G1382" s="72"/>
      <c r="H1382" s="72"/>
    </row>
    <row r="1383" spans="6:8" x14ac:dyDescent="0.35">
      <c r="F1383" s="72"/>
      <c r="G1383" s="72"/>
      <c r="H1383" s="72"/>
    </row>
    <row r="1384" spans="6:8" x14ac:dyDescent="0.35">
      <c r="F1384" s="72"/>
      <c r="G1384" s="72"/>
      <c r="H1384" s="72"/>
    </row>
    <row r="1385" spans="6:8" x14ac:dyDescent="0.35">
      <c r="F1385" s="72"/>
      <c r="G1385" s="72"/>
      <c r="H1385" s="72"/>
    </row>
    <row r="1386" spans="6:8" x14ac:dyDescent="0.35">
      <c r="F1386" s="72"/>
      <c r="G1386" s="72"/>
      <c r="H1386" s="72"/>
    </row>
    <row r="1387" spans="6:8" x14ac:dyDescent="0.35">
      <c r="F1387" s="72"/>
      <c r="G1387" s="72"/>
      <c r="H1387" s="72"/>
    </row>
    <row r="1388" spans="6:8" x14ac:dyDescent="0.35">
      <c r="F1388" s="72"/>
      <c r="G1388" s="72"/>
      <c r="H1388" s="72"/>
    </row>
    <row r="1389" spans="6:8" x14ac:dyDescent="0.35">
      <c r="F1389" s="72"/>
      <c r="G1389" s="72"/>
      <c r="H1389" s="72"/>
    </row>
    <row r="1390" spans="6:8" x14ac:dyDescent="0.35">
      <c r="F1390" s="72"/>
      <c r="G1390" s="72"/>
      <c r="H1390" s="72"/>
    </row>
    <row r="1391" spans="6:8" x14ac:dyDescent="0.35">
      <c r="F1391" s="72"/>
      <c r="G1391" s="72"/>
      <c r="H1391" s="72"/>
    </row>
    <row r="1392" spans="6:8" x14ac:dyDescent="0.35">
      <c r="F1392" s="72"/>
      <c r="G1392" s="72"/>
      <c r="H1392" s="72"/>
    </row>
    <row r="1393" spans="6:8" x14ac:dyDescent="0.35">
      <c r="F1393" s="72"/>
      <c r="G1393" s="72"/>
      <c r="H1393" s="72"/>
    </row>
    <row r="1394" spans="6:8" x14ac:dyDescent="0.35">
      <c r="F1394" s="72"/>
      <c r="G1394" s="72"/>
      <c r="H1394" s="72"/>
    </row>
    <row r="1395" spans="6:8" x14ac:dyDescent="0.35">
      <c r="F1395" s="72"/>
      <c r="G1395" s="72"/>
      <c r="H1395" s="72"/>
    </row>
    <row r="1396" spans="6:8" x14ac:dyDescent="0.35">
      <c r="F1396" s="72"/>
      <c r="G1396" s="72"/>
      <c r="H1396" s="72"/>
    </row>
    <row r="1397" spans="6:8" x14ac:dyDescent="0.35">
      <c r="F1397" s="72"/>
      <c r="G1397" s="72"/>
      <c r="H1397" s="72"/>
    </row>
    <row r="1398" spans="6:8" x14ac:dyDescent="0.35">
      <c r="F1398" s="72"/>
      <c r="G1398" s="72"/>
      <c r="H1398" s="72"/>
    </row>
    <row r="1399" spans="6:8" x14ac:dyDescent="0.35">
      <c r="F1399" s="72"/>
      <c r="G1399" s="72"/>
      <c r="H1399" s="72"/>
    </row>
    <row r="1400" spans="6:8" x14ac:dyDescent="0.35">
      <c r="F1400" s="72"/>
      <c r="G1400" s="72"/>
      <c r="H1400" s="72"/>
    </row>
    <row r="1401" spans="6:8" x14ac:dyDescent="0.35">
      <c r="F1401" s="72"/>
      <c r="G1401" s="72"/>
      <c r="H1401" s="72"/>
    </row>
    <row r="1402" spans="6:8" x14ac:dyDescent="0.35">
      <c r="F1402" s="72"/>
      <c r="G1402" s="72"/>
      <c r="H1402" s="72"/>
    </row>
    <row r="1403" spans="6:8" x14ac:dyDescent="0.35">
      <c r="F1403" s="72"/>
      <c r="G1403" s="72"/>
      <c r="H1403" s="72"/>
    </row>
    <row r="1404" spans="6:8" x14ac:dyDescent="0.35">
      <c r="F1404" s="72"/>
      <c r="G1404" s="72"/>
      <c r="H1404" s="72"/>
    </row>
    <row r="1405" spans="6:8" x14ac:dyDescent="0.35">
      <c r="F1405" s="72"/>
      <c r="G1405" s="72"/>
      <c r="H1405" s="72"/>
    </row>
    <row r="1406" spans="6:8" x14ac:dyDescent="0.35">
      <c r="F1406" s="72"/>
      <c r="G1406" s="72"/>
      <c r="H1406" s="72"/>
    </row>
    <row r="1407" spans="6:8" x14ac:dyDescent="0.35">
      <c r="F1407" s="72"/>
      <c r="G1407" s="72"/>
      <c r="H1407" s="72"/>
    </row>
    <row r="1408" spans="6:8" x14ac:dyDescent="0.35">
      <c r="F1408" s="72"/>
      <c r="G1408" s="72"/>
      <c r="H1408" s="72"/>
    </row>
    <row r="1409" spans="6:8" x14ac:dyDescent="0.35">
      <c r="F1409" s="72"/>
      <c r="G1409" s="72"/>
      <c r="H1409" s="72"/>
    </row>
    <row r="1410" spans="6:8" x14ac:dyDescent="0.35">
      <c r="F1410" s="72"/>
      <c r="G1410" s="72"/>
      <c r="H1410" s="72"/>
    </row>
    <row r="1411" spans="6:8" x14ac:dyDescent="0.35">
      <c r="F1411" s="72"/>
      <c r="G1411" s="72"/>
      <c r="H1411" s="72"/>
    </row>
    <row r="1412" spans="6:8" x14ac:dyDescent="0.35">
      <c r="F1412" s="72"/>
      <c r="G1412" s="72"/>
      <c r="H1412" s="72"/>
    </row>
    <row r="1413" spans="6:8" x14ac:dyDescent="0.35">
      <c r="F1413" s="72"/>
      <c r="G1413" s="72"/>
      <c r="H1413" s="72"/>
    </row>
    <row r="1414" spans="6:8" x14ac:dyDescent="0.35">
      <c r="F1414" s="72"/>
      <c r="G1414" s="72"/>
      <c r="H1414" s="72"/>
    </row>
    <row r="1415" spans="6:8" x14ac:dyDescent="0.35">
      <c r="F1415" s="72"/>
      <c r="G1415" s="72"/>
      <c r="H1415" s="72"/>
    </row>
    <row r="1416" spans="6:8" x14ac:dyDescent="0.35">
      <c r="F1416" s="72"/>
      <c r="G1416" s="72"/>
      <c r="H1416" s="72"/>
    </row>
    <row r="1417" spans="6:8" x14ac:dyDescent="0.35">
      <c r="F1417" s="72"/>
      <c r="G1417" s="72"/>
      <c r="H1417" s="72"/>
    </row>
    <row r="1418" spans="6:8" x14ac:dyDescent="0.35">
      <c r="F1418" s="72"/>
      <c r="G1418" s="72"/>
      <c r="H1418" s="72"/>
    </row>
    <row r="1419" spans="6:8" x14ac:dyDescent="0.35">
      <c r="F1419" s="72"/>
      <c r="G1419" s="72"/>
      <c r="H1419" s="72"/>
    </row>
    <row r="1420" spans="6:8" x14ac:dyDescent="0.35">
      <c r="F1420" s="72"/>
      <c r="G1420" s="72"/>
      <c r="H1420" s="72"/>
    </row>
    <row r="1421" spans="6:8" x14ac:dyDescent="0.35">
      <c r="F1421" s="72"/>
      <c r="G1421" s="72"/>
      <c r="H1421" s="72"/>
    </row>
    <row r="1422" spans="6:8" x14ac:dyDescent="0.35">
      <c r="F1422" s="72"/>
      <c r="G1422" s="72"/>
      <c r="H1422" s="72"/>
    </row>
    <row r="1423" spans="6:8" x14ac:dyDescent="0.35">
      <c r="F1423" s="72"/>
      <c r="G1423" s="72"/>
      <c r="H1423" s="72"/>
    </row>
    <row r="1424" spans="6:8" x14ac:dyDescent="0.35">
      <c r="F1424" s="72"/>
      <c r="G1424" s="72"/>
      <c r="H1424" s="72"/>
    </row>
    <row r="1425" spans="6:8" x14ac:dyDescent="0.35">
      <c r="F1425" s="72"/>
      <c r="G1425" s="72"/>
      <c r="H1425" s="72"/>
    </row>
    <row r="1426" spans="6:8" x14ac:dyDescent="0.35">
      <c r="F1426" s="72"/>
      <c r="G1426" s="72"/>
      <c r="H1426" s="72"/>
    </row>
    <row r="1427" spans="6:8" x14ac:dyDescent="0.35">
      <c r="F1427" s="72"/>
      <c r="G1427" s="72"/>
      <c r="H1427" s="72"/>
    </row>
    <row r="1428" spans="6:8" x14ac:dyDescent="0.35">
      <c r="F1428" s="72"/>
      <c r="G1428" s="72"/>
      <c r="H1428" s="72"/>
    </row>
    <row r="1429" spans="6:8" x14ac:dyDescent="0.35">
      <c r="F1429" s="72"/>
      <c r="G1429" s="72"/>
      <c r="H1429" s="72"/>
    </row>
    <row r="1430" spans="6:8" x14ac:dyDescent="0.35">
      <c r="F1430" s="72"/>
      <c r="G1430" s="72"/>
      <c r="H1430" s="72"/>
    </row>
    <row r="1431" spans="6:8" x14ac:dyDescent="0.35">
      <c r="F1431" s="72"/>
      <c r="G1431" s="72"/>
      <c r="H1431" s="72"/>
    </row>
    <row r="1432" spans="6:8" x14ac:dyDescent="0.35">
      <c r="F1432" s="72"/>
      <c r="G1432" s="72"/>
      <c r="H1432" s="72"/>
    </row>
    <row r="1433" spans="6:8" x14ac:dyDescent="0.35">
      <c r="F1433" s="72"/>
      <c r="G1433" s="72"/>
      <c r="H1433" s="72"/>
    </row>
    <row r="1434" spans="6:8" x14ac:dyDescent="0.35">
      <c r="F1434" s="72"/>
      <c r="G1434" s="72"/>
      <c r="H1434" s="72"/>
    </row>
    <row r="1435" spans="6:8" x14ac:dyDescent="0.35">
      <c r="F1435" s="72"/>
      <c r="G1435" s="72"/>
      <c r="H1435" s="72"/>
    </row>
    <row r="1436" spans="6:8" x14ac:dyDescent="0.35">
      <c r="F1436" s="72"/>
      <c r="G1436" s="72"/>
      <c r="H1436" s="72"/>
    </row>
    <row r="1437" spans="6:8" x14ac:dyDescent="0.35">
      <c r="F1437" s="72"/>
      <c r="G1437" s="72"/>
      <c r="H1437" s="72"/>
    </row>
    <row r="1438" spans="6:8" x14ac:dyDescent="0.35">
      <c r="F1438" s="72"/>
      <c r="G1438" s="72"/>
      <c r="H1438" s="72"/>
    </row>
    <row r="1439" spans="6:8" x14ac:dyDescent="0.35">
      <c r="F1439" s="72"/>
      <c r="G1439" s="72"/>
      <c r="H1439" s="72"/>
    </row>
    <row r="1440" spans="6:8" x14ac:dyDescent="0.35">
      <c r="F1440" s="72"/>
      <c r="G1440" s="72"/>
      <c r="H1440" s="72"/>
    </row>
    <row r="1441" spans="6:8" x14ac:dyDescent="0.35">
      <c r="F1441" s="72"/>
      <c r="G1441" s="72"/>
      <c r="H1441" s="72"/>
    </row>
    <row r="1442" spans="6:8" x14ac:dyDescent="0.35">
      <c r="F1442" s="72"/>
      <c r="G1442" s="72"/>
      <c r="H1442" s="72"/>
    </row>
    <row r="1443" spans="6:8" x14ac:dyDescent="0.35">
      <c r="F1443" s="72"/>
      <c r="G1443" s="72"/>
      <c r="H1443" s="72"/>
    </row>
    <row r="1444" spans="6:8" x14ac:dyDescent="0.35">
      <c r="F1444" s="72"/>
      <c r="G1444" s="72"/>
      <c r="H1444" s="72"/>
    </row>
    <row r="1445" spans="6:8" x14ac:dyDescent="0.35">
      <c r="F1445" s="72"/>
      <c r="G1445" s="72"/>
      <c r="H1445" s="72"/>
    </row>
    <row r="1446" spans="6:8" x14ac:dyDescent="0.35">
      <c r="F1446" s="72"/>
      <c r="G1446" s="72"/>
      <c r="H1446" s="72"/>
    </row>
    <row r="1448" spans="6:8" x14ac:dyDescent="0.35">
      <c r="F1448" s="72"/>
      <c r="G1448" s="72"/>
      <c r="H1448" s="72"/>
    </row>
    <row r="1449" spans="6:8" x14ac:dyDescent="0.35">
      <c r="F1449" s="72"/>
      <c r="G1449" s="72"/>
      <c r="H1449" s="72"/>
    </row>
    <row r="1451" spans="6:8" x14ac:dyDescent="0.35">
      <c r="F1451" s="72"/>
      <c r="G1451" s="72"/>
      <c r="H1451" s="72"/>
    </row>
    <row r="1452" spans="6:8" x14ac:dyDescent="0.35">
      <c r="F1452" s="72"/>
      <c r="G1452" s="72"/>
      <c r="H1452" s="72"/>
    </row>
    <row r="1454" spans="6:8" x14ac:dyDescent="0.35">
      <c r="F1454" s="72"/>
      <c r="G1454" s="72"/>
      <c r="H1454" s="72"/>
    </row>
    <row r="1455" spans="6:8" x14ac:dyDescent="0.35">
      <c r="F1455" s="72"/>
      <c r="G1455" s="72"/>
      <c r="H1455" s="72"/>
    </row>
    <row r="1457" spans="6:8" x14ac:dyDescent="0.35">
      <c r="F1457" s="72"/>
      <c r="G1457" s="72"/>
      <c r="H1457" s="72"/>
    </row>
    <row r="1458" spans="6:8" x14ac:dyDescent="0.35">
      <c r="F1458" s="72"/>
      <c r="G1458" s="72"/>
      <c r="H1458" s="72"/>
    </row>
    <row r="1460" spans="6:8" x14ac:dyDescent="0.35">
      <c r="F1460" s="72"/>
      <c r="G1460" s="72"/>
      <c r="H1460" s="72"/>
    </row>
    <row r="1461" spans="6:8" x14ac:dyDescent="0.35">
      <c r="F1461" s="72"/>
      <c r="G1461" s="72"/>
      <c r="H1461" s="72"/>
    </row>
    <row r="1463" spans="6:8" x14ac:dyDescent="0.35">
      <c r="F1463" s="72"/>
      <c r="G1463" s="72"/>
      <c r="H1463" s="72"/>
    </row>
    <row r="1464" spans="6:8" x14ac:dyDescent="0.35">
      <c r="F1464" s="72"/>
      <c r="G1464" s="72"/>
      <c r="H1464" s="72"/>
    </row>
    <row r="1466" spans="6:8" x14ac:dyDescent="0.35">
      <c r="F1466" s="72"/>
      <c r="G1466" s="72"/>
      <c r="H1466" s="72"/>
    </row>
    <row r="1467" spans="6:8" x14ac:dyDescent="0.35">
      <c r="F1467" s="72"/>
      <c r="G1467" s="72"/>
      <c r="H1467" s="72"/>
    </row>
    <row r="1469" spans="6:8" x14ac:dyDescent="0.35">
      <c r="F1469" s="72"/>
      <c r="G1469" s="72"/>
      <c r="H1469" s="72"/>
    </row>
    <row r="1470" spans="6:8" x14ac:dyDescent="0.35">
      <c r="F1470" s="72"/>
      <c r="G1470" s="72"/>
      <c r="H1470" s="72"/>
    </row>
    <row r="1472" spans="6:8" x14ac:dyDescent="0.35">
      <c r="F1472" s="72"/>
      <c r="G1472" s="72"/>
      <c r="H1472" s="72"/>
    </row>
    <row r="1473" spans="6:8" x14ac:dyDescent="0.35">
      <c r="F1473" s="72"/>
      <c r="G1473" s="72"/>
      <c r="H1473" s="72"/>
    </row>
    <row r="1475" spans="6:8" x14ac:dyDescent="0.35">
      <c r="F1475" s="72"/>
      <c r="G1475" s="72"/>
      <c r="H1475" s="72"/>
    </row>
    <row r="1476" spans="6:8" x14ac:dyDescent="0.35">
      <c r="F1476" s="72"/>
      <c r="G1476" s="72"/>
      <c r="H1476" s="72"/>
    </row>
    <row r="1478" spans="6:8" x14ac:dyDescent="0.35">
      <c r="F1478" s="72"/>
      <c r="G1478" s="72"/>
      <c r="H1478" s="72"/>
    </row>
    <row r="1479" spans="6:8" x14ac:dyDescent="0.35">
      <c r="F1479" s="72"/>
      <c r="G1479" s="72"/>
      <c r="H1479" s="72"/>
    </row>
    <row r="1481" spans="6:8" x14ac:dyDescent="0.35">
      <c r="F1481" s="72"/>
      <c r="G1481" s="72"/>
      <c r="H1481" s="72"/>
    </row>
    <row r="1482" spans="6:8" x14ac:dyDescent="0.35">
      <c r="F1482" s="72"/>
      <c r="G1482" s="72"/>
      <c r="H1482" s="72"/>
    </row>
    <row r="1484" spans="6:8" x14ac:dyDescent="0.35">
      <c r="F1484" s="72"/>
      <c r="G1484" s="72"/>
      <c r="H1484" s="72"/>
    </row>
    <row r="1485" spans="6:8" x14ac:dyDescent="0.35">
      <c r="F1485" s="72"/>
      <c r="G1485" s="72"/>
      <c r="H1485" s="72"/>
    </row>
    <row r="1487" spans="6:8" x14ac:dyDescent="0.35">
      <c r="F1487" s="72"/>
      <c r="G1487" s="72"/>
      <c r="H1487" s="72"/>
    </row>
    <row r="1488" spans="6:8" x14ac:dyDescent="0.35">
      <c r="F1488" s="72"/>
      <c r="G1488" s="72"/>
      <c r="H1488" s="72"/>
    </row>
    <row r="1490" spans="6:8" x14ac:dyDescent="0.35">
      <c r="F1490" s="72"/>
      <c r="G1490" s="72"/>
      <c r="H1490" s="72"/>
    </row>
    <row r="1491" spans="6:8" x14ac:dyDescent="0.35">
      <c r="F1491" s="72"/>
      <c r="G1491" s="72"/>
      <c r="H1491" s="72"/>
    </row>
    <row r="1493" spans="6:8" x14ac:dyDescent="0.35">
      <c r="F1493" s="72"/>
      <c r="G1493" s="72"/>
      <c r="H1493" s="72"/>
    </row>
    <row r="1494" spans="6:8" x14ac:dyDescent="0.35">
      <c r="F1494" s="72"/>
      <c r="G1494" s="72"/>
      <c r="H1494" s="72"/>
    </row>
    <row r="1496" spans="6:8" x14ac:dyDescent="0.35">
      <c r="F1496" s="72"/>
      <c r="G1496" s="72"/>
      <c r="H1496" s="72"/>
    </row>
    <row r="1497" spans="6:8" x14ac:dyDescent="0.35">
      <c r="F1497" s="72"/>
      <c r="G1497" s="72"/>
      <c r="H1497" s="72"/>
    </row>
    <row r="1499" spans="6:8" x14ac:dyDescent="0.35">
      <c r="F1499" s="72"/>
      <c r="G1499" s="72"/>
      <c r="H1499" s="72"/>
    </row>
    <row r="1500" spans="6:8" x14ac:dyDescent="0.35">
      <c r="F1500" s="72"/>
      <c r="G1500" s="72"/>
      <c r="H1500" s="72"/>
    </row>
    <row r="1502" spans="6:8" x14ac:dyDescent="0.35">
      <c r="F1502" s="72"/>
      <c r="G1502" s="72"/>
      <c r="H1502" s="72"/>
    </row>
    <row r="1503" spans="6:8" x14ac:dyDescent="0.35">
      <c r="F1503" s="72"/>
      <c r="G1503" s="72"/>
      <c r="H1503" s="72"/>
    </row>
    <row r="1505" spans="6:8" x14ac:dyDescent="0.35">
      <c r="F1505" s="72"/>
      <c r="G1505" s="72"/>
      <c r="H1505" s="72"/>
    </row>
    <row r="1506" spans="6:8" x14ac:dyDescent="0.35">
      <c r="F1506" s="72"/>
      <c r="G1506" s="72"/>
      <c r="H1506" s="72"/>
    </row>
    <row r="1508" spans="6:8" x14ac:dyDescent="0.35">
      <c r="F1508" s="72"/>
      <c r="G1508" s="72"/>
      <c r="H1508" s="72"/>
    </row>
    <row r="1509" spans="6:8" x14ac:dyDescent="0.35">
      <c r="F1509" s="72"/>
      <c r="G1509" s="72"/>
      <c r="H1509" s="72"/>
    </row>
    <row r="1511" spans="6:8" x14ac:dyDescent="0.35">
      <c r="F1511" s="72"/>
      <c r="G1511" s="72"/>
      <c r="H1511" s="72"/>
    </row>
    <row r="1512" spans="6:8" x14ac:dyDescent="0.35">
      <c r="F1512" s="72"/>
      <c r="G1512" s="72"/>
      <c r="H1512" s="72"/>
    </row>
    <row r="1514" spans="6:8" x14ac:dyDescent="0.35">
      <c r="F1514" s="72"/>
      <c r="G1514" s="72"/>
      <c r="H1514" s="72"/>
    </row>
    <row r="1515" spans="6:8" x14ac:dyDescent="0.35">
      <c r="F1515" s="72"/>
      <c r="G1515" s="72"/>
      <c r="H1515" s="72"/>
    </row>
    <row r="1517" spans="6:8" x14ac:dyDescent="0.35">
      <c r="F1517" s="72"/>
      <c r="G1517" s="72"/>
      <c r="H1517" s="72"/>
    </row>
    <row r="1518" spans="6:8" x14ac:dyDescent="0.35">
      <c r="F1518" s="72"/>
      <c r="G1518" s="72"/>
      <c r="H1518" s="72"/>
    </row>
    <row r="1520" spans="6:8" x14ac:dyDescent="0.35">
      <c r="F1520" s="72"/>
      <c r="G1520" s="72"/>
      <c r="H1520" s="72"/>
    </row>
    <row r="1521" spans="6:8" x14ac:dyDescent="0.35">
      <c r="F1521" s="72"/>
      <c r="G1521" s="72"/>
      <c r="H1521" s="72"/>
    </row>
    <row r="1523" spans="6:8" x14ac:dyDescent="0.35">
      <c r="F1523" s="72"/>
      <c r="G1523" s="72"/>
      <c r="H1523" s="72"/>
    </row>
    <row r="1524" spans="6:8" x14ac:dyDescent="0.35">
      <c r="F1524" s="72"/>
      <c r="G1524" s="72"/>
      <c r="H1524" s="72"/>
    </row>
    <row r="1526" spans="6:8" x14ac:dyDescent="0.35">
      <c r="F1526" s="72"/>
      <c r="G1526" s="72"/>
      <c r="H1526" s="72"/>
    </row>
    <row r="1527" spans="6:8" x14ac:dyDescent="0.35">
      <c r="F1527" s="72"/>
      <c r="G1527" s="72"/>
      <c r="H1527" s="72"/>
    </row>
    <row r="1529" spans="6:8" x14ac:dyDescent="0.35">
      <c r="F1529" s="72"/>
      <c r="G1529" s="72"/>
      <c r="H1529" s="72"/>
    </row>
    <row r="1530" spans="6:8" x14ac:dyDescent="0.35">
      <c r="F1530" s="72"/>
      <c r="G1530" s="72"/>
      <c r="H1530" s="72"/>
    </row>
    <row r="1532" spans="6:8" x14ac:dyDescent="0.35">
      <c r="F1532" s="72"/>
      <c r="G1532" s="72"/>
      <c r="H1532" s="72"/>
    </row>
    <row r="1533" spans="6:8" x14ac:dyDescent="0.35">
      <c r="F1533" s="72"/>
      <c r="G1533" s="72"/>
      <c r="H1533" s="72"/>
    </row>
    <row r="1535" spans="6:8" x14ac:dyDescent="0.35">
      <c r="F1535" s="72"/>
      <c r="G1535" s="72"/>
      <c r="H1535" s="72"/>
    </row>
    <row r="1536" spans="6:8" x14ac:dyDescent="0.35">
      <c r="F1536" s="72"/>
      <c r="G1536" s="72"/>
      <c r="H1536" s="72"/>
    </row>
    <row r="1538" spans="6:8" x14ac:dyDescent="0.35">
      <c r="F1538" s="72"/>
      <c r="G1538" s="72"/>
      <c r="H1538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0" customFormat="1" ht="82.5" x14ac:dyDescent="0.25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10327</v>
      </c>
      <c r="G1" s="49" t="s">
        <v>10328</v>
      </c>
      <c r="H1" s="49" t="s">
        <v>10329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A3" s="15" t="s">
        <v>10767</v>
      </c>
      <c r="B3" s="15" t="s">
        <v>10454</v>
      </c>
      <c r="C3" s="15" t="s">
        <v>10562</v>
      </c>
      <c r="D3" s="15" t="s">
        <v>10320</v>
      </c>
      <c r="E3" s="15" t="s">
        <v>10768</v>
      </c>
      <c r="F3" s="15">
        <v>189318</v>
      </c>
      <c r="G3" s="15">
        <v>0.89712382167164706</v>
      </c>
      <c r="H3" s="15">
        <v>200</v>
      </c>
      <c r="I3" s="92">
        <v>456.01963505347896</v>
      </c>
      <c r="J3" s="93">
        <v>0.3636568933463532</v>
      </c>
      <c r="K3" s="15">
        <v>30</v>
      </c>
      <c r="L3" s="15">
        <v>176.19296173915183</v>
      </c>
      <c r="M3" s="15">
        <v>25.068273515032466</v>
      </c>
      <c r="N3" s="15">
        <v>66.408338116291901</v>
      </c>
      <c r="O3" s="15">
        <v>12.378148979017169</v>
      </c>
      <c r="P3" s="15">
        <v>25.712727445669707</v>
      </c>
      <c r="Q3" s="15">
        <v>28.317461691605022</v>
      </c>
      <c r="R3" s="15">
        <v>5.2960649647742803</v>
      </c>
      <c r="S3" s="15">
        <v>11.097779618050536</v>
      </c>
      <c r="T3" s="15">
        <v>11.92361710878021</v>
      </c>
      <c r="U3" s="15">
        <v>0</v>
      </c>
      <c r="V3" s="15">
        <v>8064.3363841547753</v>
      </c>
      <c r="W3" s="15">
        <v>0</v>
      </c>
      <c r="X3" s="15">
        <v>0</v>
      </c>
      <c r="Y3" s="15">
        <v>597.17510814694663</v>
      </c>
      <c r="Z3" s="15">
        <v>0</v>
      </c>
      <c r="AA3" s="15">
        <v>0</v>
      </c>
      <c r="AB3" s="15">
        <v>0</v>
      </c>
      <c r="AC3" s="15">
        <v>597.17510814694663</v>
      </c>
      <c r="AD3" s="15">
        <v>141.15547309346766</v>
      </c>
      <c r="AE3" s="15">
        <v>18.017536378206557</v>
      </c>
      <c r="AF3" s="15">
        <v>0</v>
      </c>
      <c r="AG3" s="15">
        <v>0</v>
      </c>
      <c r="AH3" s="15">
        <v>21.677167965261102</v>
      </c>
      <c r="AI3" s="15">
        <v>101.46076875000003</v>
      </c>
      <c r="AJ3" s="15">
        <v>0</v>
      </c>
      <c r="AK3" s="15">
        <v>0</v>
      </c>
      <c r="AL3" s="15">
        <v>0</v>
      </c>
      <c r="AM3" s="15">
        <v>0</v>
      </c>
      <c r="AN3" s="15">
        <v>0.2363719973718891</v>
      </c>
      <c r="AO3" s="15">
        <v>456.01963505347896</v>
      </c>
      <c r="AP3" s="15">
        <v>39.694704343467663</v>
      </c>
      <c r="AQ3" s="15">
        <v>18.017536378206557</v>
      </c>
      <c r="AR3" s="15">
        <v>0</v>
      </c>
      <c r="AS3" s="15">
        <v>0</v>
      </c>
      <c r="AT3" s="15">
        <v>21.677167965261102</v>
      </c>
      <c r="AU3" s="15">
        <v>382.15961449849715</v>
      </c>
      <c r="AV3" s="15">
        <v>84.983773615369671</v>
      </c>
      <c r="AW3" s="15">
        <v>84.983773615369671</v>
      </c>
      <c r="AX3" s="15">
        <v>0</v>
      </c>
      <c r="AY3" s="15">
        <v>0</v>
      </c>
      <c r="AZ3" s="15">
        <v>211.64498981949163</v>
      </c>
      <c r="BA3" s="15">
        <v>76.930878417473096</v>
      </c>
      <c r="BB3" s="15">
        <v>56.130879750841068</v>
      </c>
      <c r="BC3" s="15">
        <v>78.583231651177485</v>
      </c>
      <c r="BD3" s="15">
        <v>0</v>
      </c>
      <c r="BE3" s="15">
        <v>85.530851063635865</v>
      </c>
      <c r="BF3" s="15">
        <v>29.494206931301946</v>
      </c>
      <c r="BG3" s="15">
        <v>1.4723613094253225</v>
      </c>
      <c r="BH3" s="15">
        <v>54.564282822908595</v>
      </c>
      <c r="BI3" s="15">
        <v>0</v>
      </c>
      <c r="BJ3" s="15">
        <v>421.85431884196481</v>
      </c>
      <c r="BK3" s="15">
        <v>563.00979193543253</v>
      </c>
      <c r="BL3" s="15">
        <v>0.27769858710801965</v>
      </c>
      <c r="BM3" s="15">
        <v>0.3636568933463532</v>
      </c>
    </row>
    <row r="4" spans="1:65" x14ac:dyDescent="0.35">
      <c r="A4" s="15" t="s">
        <v>10767</v>
      </c>
      <c r="B4" s="15" t="s">
        <v>10454</v>
      </c>
      <c r="C4" s="15" t="s">
        <v>10562</v>
      </c>
      <c r="D4" s="15" t="s">
        <v>10321</v>
      </c>
      <c r="E4" s="15" t="s">
        <v>10769</v>
      </c>
      <c r="F4" s="15">
        <v>189318</v>
      </c>
      <c r="G4" s="15">
        <v>0.89712382167164706</v>
      </c>
      <c r="H4" s="15">
        <v>200</v>
      </c>
      <c r="I4" s="92">
        <v>581.21557721450029</v>
      </c>
      <c r="J4" s="93">
        <v>3.9903353407613452E-2</v>
      </c>
      <c r="K4" s="15">
        <v>30</v>
      </c>
      <c r="L4" s="15">
        <v>176.19296173915183</v>
      </c>
      <c r="M4" s="15">
        <v>25.068273515032466</v>
      </c>
      <c r="N4" s="15">
        <v>66.408338116291901</v>
      </c>
      <c r="O4" s="15">
        <v>12.378148979017169</v>
      </c>
      <c r="P4" s="15">
        <v>25.712727445669707</v>
      </c>
      <c r="Q4" s="15">
        <v>28.317461691605022</v>
      </c>
      <c r="R4" s="15">
        <v>5.2960649647742803</v>
      </c>
      <c r="S4" s="15">
        <v>11.097779618050536</v>
      </c>
      <c r="T4" s="15">
        <v>11.92361710878021</v>
      </c>
      <c r="U4" s="15">
        <v>0</v>
      </c>
      <c r="V4" s="15">
        <v>0</v>
      </c>
      <c r="W4" s="15">
        <v>2016.0840960386938</v>
      </c>
      <c r="X4" s="15">
        <v>0</v>
      </c>
      <c r="Y4" s="15">
        <v>597.17510814694663</v>
      </c>
      <c r="Z4" s="15">
        <v>0</v>
      </c>
      <c r="AA4" s="15">
        <v>0</v>
      </c>
      <c r="AB4" s="15">
        <v>0</v>
      </c>
      <c r="AC4" s="15">
        <v>597.17510814694663</v>
      </c>
      <c r="AD4" s="15">
        <v>15.959530932446341</v>
      </c>
      <c r="AE4" s="15">
        <v>-20.4734464764012</v>
      </c>
      <c r="AF4" s="15">
        <v>9.1322044563413307</v>
      </c>
      <c r="AG4" s="15">
        <v>-105.09326977403997</v>
      </c>
      <c r="AH4" s="15">
        <v>0</v>
      </c>
      <c r="AI4" s="15">
        <v>101.46076875000003</v>
      </c>
      <c r="AJ4" s="15">
        <v>0</v>
      </c>
      <c r="AK4" s="15">
        <v>30.93327397654615</v>
      </c>
      <c r="AL4" s="15">
        <v>0</v>
      </c>
      <c r="AM4" s="15">
        <v>0</v>
      </c>
      <c r="AN4" s="15">
        <v>2.6725043818335421E-2</v>
      </c>
      <c r="AO4" s="15">
        <v>581.21557721450029</v>
      </c>
      <c r="AP4" s="15">
        <v>0</v>
      </c>
      <c r="AQ4" s="15">
        <v>0</v>
      </c>
      <c r="AR4" s="15">
        <v>0</v>
      </c>
      <c r="AS4" s="15">
        <v>0</v>
      </c>
      <c r="AT4" s="15">
        <v>0</v>
      </c>
      <c r="AU4" s="15">
        <v>404.40802779810053</v>
      </c>
      <c r="AV4" s="15">
        <v>84.983773615369671</v>
      </c>
      <c r="AW4" s="15">
        <v>84.983773615369671</v>
      </c>
      <c r="AX4" s="15">
        <v>0</v>
      </c>
      <c r="AY4" s="15">
        <v>0</v>
      </c>
      <c r="AZ4" s="15">
        <v>211.64498981949163</v>
      </c>
      <c r="BA4" s="15">
        <v>76.930878417473096</v>
      </c>
      <c r="BB4" s="15">
        <v>56.130879750841068</v>
      </c>
      <c r="BC4" s="15">
        <v>78.583231651177485</v>
      </c>
      <c r="BD4" s="15">
        <v>0</v>
      </c>
      <c r="BE4" s="15">
        <v>107.77926436323924</v>
      </c>
      <c r="BF4" s="15">
        <v>37.300667738180316</v>
      </c>
      <c r="BG4" s="15">
        <v>1.4723613094253225</v>
      </c>
      <c r="BH4" s="15">
        <v>69.006235315633589</v>
      </c>
      <c r="BI4" s="15">
        <v>0</v>
      </c>
      <c r="BJ4" s="15">
        <v>404.40802779810053</v>
      </c>
      <c r="BK4" s="15">
        <v>420.36755873054688</v>
      </c>
      <c r="BL4" s="15">
        <v>3.8836934539296458E-2</v>
      </c>
      <c r="BM4" s="15">
        <v>3.9903353407613452E-2</v>
      </c>
    </row>
    <row r="5" spans="1:65" x14ac:dyDescent="0.35">
      <c r="A5" s="15" t="s">
        <v>10767</v>
      </c>
      <c r="B5" s="15" t="s">
        <v>10454</v>
      </c>
      <c r="C5" s="15" t="s">
        <v>10562</v>
      </c>
      <c r="D5" s="15" t="s">
        <v>10322</v>
      </c>
      <c r="E5" s="15" t="s">
        <v>10770</v>
      </c>
      <c r="F5" s="15">
        <v>189318</v>
      </c>
      <c r="G5" s="15">
        <v>0.89712382167164706</v>
      </c>
      <c r="H5" s="15">
        <v>200</v>
      </c>
      <c r="I5" s="92">
        <v>481.52326330418066</v>
      </c>
      <c r="J5" s="93">
        <v>0.22680173733820033</v>
      </c>
      <c r="K5" s="15">
        <v>30</v>
      </c>
      <c r="L5" s="15">
        <v>176.19296173915183</v>
      </c>
      <c r="M5" s="15">
        <v>25.068273515032466</v>
      </c>
      <c r="N5" s="15">
        <v>66.408338116291901</v>
      </c>
      <c r="O5" s="15">
        <v>12.378148979017169</v>
      </c>
      <c r="P5" s="15">
        <v>25.712727445669707</v>
      </c>
      <c r="Q5" s="15">
        <v>28.317461691605022</v>
      </c>
      <c r="R5" s="15">
        <v>5.2960649647742803</v>
      </c>
      <c r="S5" s="15">
        <v>11.097779618050536</v>
      </c>
      <c r="T5" s="15">
        <v>11.92361710878021</v>
      </c>
      <c r="U5" s="15">
        <v>0</v>
      </c>
      <c r="V5" s="15">
        <v>0</v>
      </c>
      <c r="W5" s="15">
        <v>0</v>
      </c>
      <c r="X5" s="15">
        <v>2016084.0960386938</v>
      </c>
      <c r="Y5" s="15">
        <v>597.17510814694663</v>
      </c>
      <c r="Z5" s="15">
        <v>0</v>
      </c>
      <c r="AA5" s="15">
        <v>0</v>
      </c>
      <c r="AB5" s="15">
        <v>0</v>
      </c>
      <c r="AC5" s="15">
        <v>597.17510814694663</v>
      </c>
      <c r="AD5" s="15">
        <v>115.65184484276597</v>
      </c>
      <c r="AE5" s="15">
        <v>-20.4734464764012</v>
      </c>
      <c r="AF5" s="15">
        <v>0</v>
      </c>
      <c r="AG5" s="15">
        <v>0</v>
      </c>
      <c r="AH5" s="15">
        <v>0</v>
      </c>
      <c r="AI5" s="15">
        <v>101.46076875000003</v>
      </c>
      <c r="AJ5" s="15">
        <v>0</v>
      </c>
      <c r="AK5" s="15">
        <v>34.664522569167161</v>
      </c>
      <c r="AL5" s="15">
        <v>0</v>
      </c>
      <c r="AM5" s="15">
        <v>0</v>
      </c>
      <c r="AN5" s="15">
        <v>0.19366487863440479</v>
      </c>
      <c r="AO5" s="15">
        <v>481.52326330418066</v>
      </c>
      <c r="AP5" s="15">
        <v>0</v>
      </c>
      <c r="AQ5" s="15">
        <v>0</v>
      </c>
      <c r="AR5" s="15">
        <v>0</v>
      </c>
      <c r="AS5" s="15">
        <v>0</v>
      </c>
      <c r="AT5" s="15">
        <v>0</v>
      </c>
      <c r="AU5" s="15">
        <v>390.73357599032846</v>
      </c>
      <c r="AV5" s="15">
        <v>84.983773615369671</v>
      </c>
      <c r="AW5" s="15">
        <v>84.983773615369671</v>
      </c>
      <c r="AX5" s="15">
        <v>0</v>
      </c>
      <c r="AY5" s="15">
        <v>0</v>
      </c>
      <c r="AZ5" s="15">
        <v>211.64498981949163</v>
      </c>
      <c r="BA5" s="15">
        <v>76.930878417473096</v>
      </c>
      <c r="BB5" s="15">
        <v>56.130879750841068</v>
      </c>
      <c r="BC5" s="15">
        <v>78.583231651177485</v>
      </c>
      <c r="BD5" s="15">
        <v>0</v>
      </c>
      <c r="BE5" s="15">
        <v>94.104812555467163</v>
      </c>
      <c r="BF5" s="15">
        <v>32.502614472295384</v>
      </c>
      <c r="BG5" s="15">
        <v>1.4723613094253225</v>
      </c>
      <c r="BH5" s="15">
        <v>60.129836773746462</v>
      </c>
      <c r="BI5" s="15">
        <v>0</v>
      </c>
      <c r="BJ5" s="15">
        <v>390.73357599032846</v>
      </c>
      <c r="BK5" s="15">
        <v>506.38542083309443</v>
      </c>
      <c r="BL5" s="15">
        <v>0.18287820640252561</v>
      </c>
      <c r="BM5" s="15">
        <v>0.22680173733820033</v>
      </c>
    </row>
    <row r="6" spans="1:65" x14ac:dyDescent="0.35">
      <c r="A6" s="15" t="s">
        <v>10767</v>
      </c>
      <c r="B6" s="15" t="s">
        <v>10454</v>
      </c>
      <c r="C6" s="15" t="s">
        <v>10562</v>
      </c>
      <c r="D6" s="15" t="s">
        <v>10323</v>
      </c>
      <c r="E6" s="15" t="s">
        <v>10771</v>
      </c>
      <c r="F6" s="15">
        <v>189318</v>
      </c>
      <c r="G6" s="15">
        <v>0.89712382167164706</v>
      </c>
      <c r="H6" s="15">
        <v>200</v>
      </c>
      <c r="I6" s="92">
        <v>402.48281677236207</v>
      </c>
      <c r="J6" s="93">
        <v>0.32547033063182851</v>
      </c>
      <c r="K6" s="15">
        <v>30</v>
      </c>
      <c r="L6" s="15">
        <v>129.970575682646</v>
      </c>
      <c r="M6" s="15">
        <v>21.511738204032913</v>
      </c>
      <c r="N6" s="15">
        <v>66.408338116291901</v>
      </c>
      <c r="O6" s="15">
        <v>9.3316996721013332</v>
      </c>
      <c r="P6" s="15">
        <v>26.800745055282508</v>
      </c>
      <c r="Q6" s="15">
        <v>30.275893388908067</v>
      </c>
      <c r="R6" s="15">
        <v>5.2960649647742803</v>
      </c>
      <c r="S6" s="15">
        <v>13.056211315353574</v>
      </c>
      <c r="T6" s="15">
        <v>11.92361710878021</v>
      </c>
      <c r="U6" s="15">
        <v>0</v>
      </c>
      <c r="V6" s="15">
        <v>0</v>
      </c>
      <c r="W6" s="15">
        <v>0</v>
      </c>
      <c r="X6" s="15">
        <v>0</v>
      </c>
      <c r="Y6" s="15">
        <v>486.48452963577546</v>
      </c>
      <c r="Z6" s="15">
        <v>0</v>
      </c>
      <c r="AA6" s="15">
        <v>0</v>
      </c>
      <c r="AB6" s="15">
        <v>0</v>
      </c>
      <c r="AC6" s="15">
        <v>486.48452963577546</v>
      </c>
      <c r="AD6" s="15">
        <v>84.001712863413388</v>
      </c>
      <c r="AE6" s="15">
        <v>-17.459055886586672</v>
      </c>
      <c r="AF6" s="15">
        <v>0</v>
      </c>
      <c r="AG6" s="15">
        <v>0</v>
      </c>
      <c r="AH6" s="15">
        <v>0</v>
      </c>
      <c r="AI6" s="15">
        <v>101.46076875000003</v>
      </c>
      <c r="AJ6" s="15">
        <v>0</v>
      </c>
      <c r="AK6" s="15">
        <v>0</v>
      </c>
      <c r="AL6" s="15">
        <v>0</v>
      </c>
      <c r="AM6" s="15">
        <v>0</v>
      </c>
      <c r="AN6" s="15">
        <v>0.17267088210657872</v>
      </c>
      <c r="AO6" s="15">
        <v>402.48281677236207</v>
      </c>
      <c r="AP6" s="15">
        <v>0</v>
      </c>
      <c r="AQ6" s="15">
        <v>0</v>
      </c>
      <c r="AR6" s="15">
        <v>0</v>
      </c>
      <c r="AS6" s="15">
        <v>0</v>
      </c>
      <c r="AT6" s="15">
        <v>0</v>
      </c>
      <c r="AU6" s="15">
        <v>333.47903222089241</v>
      </c>
      <c r="AV6" s="15">
        <v>81.676115450503545</v>
      </c>
      <c r="AW6" s="15">
        <v>81.676115450503545</v>
      </c>
      <c r="AX6" s="15">
        <v>0</v>
      </c>
      <c r="AY6" s="15">
        <v>0</v>
      </c>
      <c r="AZ6" s="15">
        <v>173.95879336029816</v>
      </c>
      <c r="BA6" s="15">
        <v>76.930878417473096</v>
      </c>
      <c r="BB6" s="15">
        <v>40.42829789284378</v>
      </c>
      <c r="BC6" s="15">
        <v>56.599617049981291</v>
      </c>
      <c r="BD6" s="15">
        <v>0</v>
      </c>
      <c r="BE6" s="15">
        <v>77.844123410090688</v>
      </c>
      <c r="BF6" s="15">
        <v>26.797109509005391</v>
      </c>
      <c r="BG6" s="15">
        <v>1.4723613094253225</v>
      </c>
      <c r="BH6" s="15">
        <v>49.574652591659969</v>
      </c>
      <c r="BI6" s="15">
        <v>0</v>
      </c>
      <c r="BJ6" s="15">
        <v>333.47903222089241</v>
      </c>
      <c r="BK6" s="15">
        <v>417.48074508430579</v>
      </c>
      <c r="BL6" s="15">
        <v>0.26927108154211082</v>
      </c>
      <c r="BM6" s="15">
        <v>0.32547033063182851</v>
      </c>
    </row>
    <row r="7" spans="1:65" x14ac:dyDescent="0.35">
      <c r="A7" s="15" t="s">
        <v>10767</v>
      </c>
      <c r="B7" s="15" t="s">
        <v>10454</v>
      </c>
      <c r="C7" s="15" t="s">
        <v>10562</v>
      </c>
      <c r="D7" s="15" t="s">
        <v>10324</v>
      </c>
      <c r="E7" s="15" t="s">
        <v>10772</v>
      </c>
      <c r="F7" s="15">
        <v>189318</v>
      </c>
      <c r="G7" s="15">
        <v>0.89712382167164706</v>
      </c>
      <c r="H7" s="15">
        <v>200</v>
      </c>
      <c r="I7" s="92">
        <v>519.99825888516625</v>
      </c>
      <c r="J7" s="93">
        <v>7.6274970922580745E-2</v>
      </c>
      <c r="K7" s="15">
        <v>30</v>
      </c>
      <c r="L7" s="15">
        <v>197.17048854656832</v>
      </c>
      <c r="M7" s="15">
        <v>24.366542774831903</v>
      </c>
      <c r="N7" s="15">
        <v>66.408338116291901</v>
      </c>
      <c r="O7" s="15">
        <v>14.881942551015719</v>
      </c>
      <c r="P7" s="15">
        <v>23.230964839841235</v>
      </c>
      <c r="Q7" s="15">
        <v>28.295430725434947</v>
      </c>
      <c r="R7" s="15">
        <v>5.2960649647742803</v>
      </c>
      <c r="S7" s="15">
        <v>0</v>
      </c>
      <c r="T7" s="15">
        <v>22.999365760660666</v>
      </c>
      <c r="U7" s="15">
        <v>0</v>
      </c>
      <c r="V7" s="15">
        <v>0</v>
      </c>
      <c r="W7" s="15">
        <v>0</v>
      </c>
      <c r="X7" s="15">
        <v>0</v>
      </c>
      <c r="Y7" s="15">
        <v>603.70478438038072</v>
      </c>
      <c r="Z7" s="15">
        <v>0</v>
      </c>
      <c r="AA7" s="15">
        <v>0</v>
      </c>
      <c r="AB7" s="15">
        <v>0</v>
      </c>
      <c r="AC7" s="15">
        <v>603.70478438038072</v>
      </c>
      <c r="AD7" s="15">
        <v>83.706525495214464</v>
      </c>
      <c r="AE7" s="15">
        <v>-17.754243254785539</v>
      </c>
      <c r="AF7" s="15">
        <v>0</v>
      </c>
      <c r="AG7" s="15">
        <v>0</v>
      </c>
      <c r="AH7" s="15">
        <v>0</v>
      </c>
      <c r="AI7" s="15">
        <v>101.46076875000003</v>
      </c>
      <c r="AJ7" s="15">
        <v>0</v>
      </c>
      <c r="AK7" s="15">
        <v>0</v>
      </c>
      <c r="AL7" s="15">
        <v>0</v>
      </c>
      <c r="AM7" s="15">
        <v>0</v>
      </c>
      <c r="AN7" s="15">
        <v>0.13865473267886655</v>
      </c>
      <c r="AO7" s="15">
        <v>519.99825888516625</v>
      </c>
      <c r="AP7" s="15">
        <v>0</v>
      </c>
      <c r="AQ7" s="15">
        <v>0</v>
      </c>
      <c r="AR7" s="15">
        <v>0</v>
      </c>
      <c r="AS7" s="15">
        <v>0</v>
      </c>
      <c r="AT7" s="15">
        <v>0</v>
      </c>
      <c r="AU7" s="15">
        <v>359.66111096142492</v>
      </c>
      <c r="AV7" s="15">
        <v>92.970602693951136</v>
      </c>
      <c r="AW7" s="15">
        <v>92.970602693951136</v>
      </c>
      <c r="AX7" s="15">
        <v>0</v>
      </c>
      <c r="AY7" s="15">
        <v>0</v>
      </c>
      <c r="AZ7" s="15">
        <v>171.89929903338938</v>
      </c>
      <c r="BA7" s="15">
        <v>76.930878417473096</v>
      </c>
      <c r="BB7" s="15">
        <v>39.570175256631785</v>
      </c>
      <c r="BC7" s="15">
        <v>55.398245359284495</v>
      </c>
      <c r="BD7" s="15">
        <v>0</v>
      </c>
      <c r="BE7" s="15">
        <v>94.791209234084391</v>
      </c>
      <c r="BF7" s="15">
        <v>32.743455412161076</v>
      </c>
      <c r="BG7" s="15">
        <v>1.4723613094253225</v>
      </c>
      <c r="BH7" s="15">
        <v>60.575392512497984</v>
      </c>
      <c r="BI7" s="15">
        <v>0</v>
      </c>
      <c r="BJ7" s="15">
        <v>359.66111096142492</v>
      </c>
      <c r="BK7" s="15">
        <v>443.36763645663939</v>
      </c>
      <c r="BL7" s="15">
        <v>6.5699085219221992E-2</v>
      </c>
      <c r="BM7" s="15">
        <v>7.6274970922580745E-2</v>
      </c>
    </row>
    <row r="8" spans="1:65" x14ac:dyDescent="0.35">
      <c r="A8" s="15" t="s">
        <v>10767</v>
      </c>
      <c r="B8" s="15" t="s">
        <v>10454</v>
      </c>
      <c r="C8" s="15" t="s">
        <v>10562</v>
      </c>
      <c r="D8" s="15" t="s">
        <v>10325</v>
      </c>
      <c r="E8" s="15" t="s">
        <v>10773</v>
      </c>
      <c r="F8" s="15">
        <v>189318</v>
      </c>
      <c r="G8" s="15">
        <v>0.89712382167164706</v>
      </c>
      <c r="H8" s="15">
        <v>200</v>
      </c>
      <c r="I8" s="92">
        <v>733.53921499066951</v>
      </c>
      <c r="J8" s="93">
        <v>0.19018398324424735</v>
      </c>
      <c r="K8" s="15">
        <v>30</v>
      </c>
      <c r="L8" s="15">
        <v>350.4476828109523</v>
      </c>
      <c r="M8" s="15">
        <v>39.430678118825526</v>
      </c>
      <c r="N8" s="15">
        <v>66.408338116291901</v>
      </c>
      <c r="O8" s="15">
        <v>48.53119714204685</v>
      </c>
      <c r="P8" s="15">
        <v>12.222454630303524</v>
      </c>
      <c r="Q8" s="15">
        <v>5.6546863439415143</v>
      </c>
      <c r="R8" s="15">
        <v>5.6546863439415143</v>
      </c>
      <c r="S8" s="15">
        <v>0</v>
      </c>
      <c r="T8" s="15">
        <v>0</v>
      </c>
      <c r="U8" s="15">
        <v>42107.462820524685</v>
      </c>
      <c r="V8" s="15">
        <v>0</v>
      </c>
      <c r="W8" s="15">
        <v>0</v>
      </c>
      <c r="X8" s="15">
        <v>0</v>
      </c>
      <c r="Y8" s="15">
        <v>1021.207820595175</v>
      </c>
      <c r="Z8" s="15">
        <v>0</v>
      </c>
      <c r="AA8" s="15">
        <v>0</v>
      </c>
      <c r="AB8" s="15">
        <v>0</v>
      </c>
      <c r="AC8" s="15">
        <v>1021.207820595175</v>
      </c>
      <c r="AD8" s="15">
        <v>287.6686056045055</v>
      </c>
      <c r="AE8" s="15">
        <v>27.804601772173545</v>
      </c>
      <c r="AF8" s="15">
        <v>0</v>
      </c>
      <c r="AG8" s="15">
        <v>0</v>
      </c>
      <c r="AH8" s="15">
        <v>126.72468952892514</v>
      </c>
      <c r="AI8" s="15">
        <v>123.00035822944257</v>
      </c>
      <c r="AJ8" s="15">
        <v>10.138956073964177</v>
      </c>
      <c r="AK8" s="15">
        <v>0</v>
      </c>
      <c r="AL8" s="15">
        <v>0</v>
      </c>
      <c r="AM8" s="15">
        <v>0</v>
      </c>
      <c r="AN8" s="15">
        <v>0.28169447961811339</v>
      </c>
      <c r="AO8" s="15">
        <v>733.53921499066951</v>
      </c>
      <c r="AP8" s="15">
        <v>154.52929130109868</v>
      </c>
      <c r="AQ8" s="15">
        <v>27.804601772173545</v>
      </c>
      <c r="AR8" s="15">
        <v>0</v>
      </c>
      <c r="AS8" s="15">
        <v>0</v>
      </c>
      <c r="AT8" s="15">
        <v>126.72468952892514</v>
      </c>
      <c r="AU8" s="15">
        <v>518.51733346235471</v>
      </c>
      <c r="AV8" s="15">
        <v>136.7772387678838</v>
      </c>
      <c r="AW8" s="15">
        <v>136.7772387678838</v>
      </c>
      <c r="AX8" s="15">
        <v>0</v>
      </c>
      <c r="AY8" s="15">
        <v>0</v>
      </c>
      <c r="AZ8" s="15">
        <v>251.07247416414486</v>
      </c>
      <c r="BA8" s="15">
        <v>82.718698010625445</v>
      </c>
      <c r="BB8" s="15">
        <v>70.147406730633094</v>
      </c>
      <c r="BC8" s="15">
        <v>98.206369422886326</v>
      </c>
      <c r="BD8" s="15">
        <v>0</v>
      </c>
      <c r="BE8" s="15">
        <v>130.66762053032608</v>
      </c>
      <c r="BF8" s="15">
        <v>45.292802650542512</v>
      </c>
      <c r="BG8" s="15">
        <v>1.5831329762799129</v>
      </c>
      <c r="BH8" s="15">
        <v>83.791684903503651</v>
      </c>
      <c r="BI8" s="15">
        <v>0</v>
      </c>
      <c r="BJ8" s="15">
        <v>673.04662476345334</v>
      </c>
      <c r="BK8" s="15">
        <v>960.71523036795884</v>
      </c>
      <c r="BL8" s="15">
        <v>0.13661020505255908</v>
      </c>
      <c r="BM8" s="15">
        <v>0.19018398324424735</v>
      </c>
    </row>
    <row r="9" spans="1:65" x14ac:dyDescent="0.35">
      <c r="A9" s="15" t="s">
        <v>10767</v>
      </c>
      <c r="B9" s="15" t="s">
        <v>10454</v>
      </c>
      <c r="C9" s="15" t="s">
        <v>10562</v>
      </c>
      <c r="D9" s="15" t="s">
        <v>10326</v>
      </c>
      <c r="E9" s="15" t="s">
        <v>10774</v>
      </c>
      <c r="F9" s="15">
        <v>189318</v>
      </c>
      <c r="G9" s="15">
        <v>0.89712382167164706</v>
      </c>
      <c r="H9" s="15">
        <v>200</v>
      </c>
      <c r="I9" s="92">
        <v>682.09389261430783</v>
      </c>
      <c r="J9" s="93">
        <v>0.28445123672388573</v>
      </c>
      <c r="K9" s="15">
        <v>30</v>
      </c>
      <c r="L9" s="15">
        <v>394.82567338246838</v>
      </c>
      <c r="M9" s="15">
        <v>34.14329806828016</v>
      </c>
      <c r="N9" s="15">
        <v>66.408338116291901</v>
      </c>
      <c r="O9" s="15">
        <v>48.53119714204685</v>
      </c>
      <c r="P9" s="15">
        <v>12.222454630303524</v>
      </c>
      <c r="Q9" s="15">
        <v>5.6546863439415143</v>
      </c>
      <c r="R9" s="15">
        <v>5.6546863439415143</v>
      </c>
      <c r="S9" s="15">
        <v>0</v>
      </c>
      <c r="T9" s="15">
        <v>0</v>
      </c>
      <c r="U9" s="15">
        <v>42107.462820524685</v>
      </c>
      <c r="V9" s="15">
        <v>0</v>
      </c>
      <c r="W9" s="15">
        <v>0</v>
      </c>
      <c r="X9" s="15">
        <v>0</v>
      </c>
      <c r="Y9" s="15">
        <v>981.23128001995656</v>
      </c>
      <c r="Z9" s="15">
        <v>0</v>
      </c>
      <c r="AA9" s="15">
        <v>0</v>
      </c>
      <c r="AB9" s="15">
        <v>0</v>
      </c>
      <c r="AC9" s="15">
        <v>981.23128001995656</v>
      </c>
      <c r="AD9" s="15">
        <v>299.13738740564872</v>
      </c>
      <c r="AE9" s="15">
        <v>29.759737368313584</v>
      </c>
      <c r="AF9" s="15">
        <v>0</v>
      </c>
      <c r="AG9" s="15">
        <v>0</v>
      </c>
      <c r="AH9" s="15">
        <v>134.99273317333598</v>
      </c>
      <c r="AI9" s="15">
        <v>123.00035822944257</v>
      </c>
      <c r="AJ9" s="15">
        <v>11.384558634556551</v>
      </c>
      <c r="AK9" s="15">
        <v>0</v>
      </c>
      <c r="AL9" s="15">
        <v>0</v>
      </c>
      <c r="AM9" s="15">
        <v>0</v>
      </c>
      <c r="AN9" s="15">
        <v>0.30485920444725811</v>
      </c>
      <c r="AO9" s="15">
        <v>682.09389261430783</v>
      </c>
      <c r="AP9" s="15">
        <v>164.75247054164956</v>
      </c>
      <c r="AQ9" s="15">
        <v>29.759737368313584</v>
      </c>
      <c r="AR9" s="15">
        <v>0</v>
      </c>
      <c r="AS9" s="15">
        <v>0</v>
      </c>
      <c r="AT9" s="15">
        <v>134.99273317333598</v>
      </c>
      <c r="AU9" s="15">
        <v>511.3638733886076</v>
      </c>
      <c r="AV9" s="15">
        <v>136.7772387678838</v>
      </c>
      <c r="AW9" s="15">
        <v>136.7772387678838</v>
      </c>
      <c r="AX9" s="15">
        <v>0</v>
      </c>
      <c r="AY9" s="15">
        <v>0</v>
      </c>
      <c r="AZ9" s="15">
        <v>251.07247416414486</v>
      </c>
      <c r="BA9" s="15">
        <v>82.718698010625445</v>
      </c>
      <c r="BB9" s="15">
        <v>70.147406730633094</v>
      </c>
      <c r="BC9" s="15">
        <v>98.206369422886326</v>
      </c>
      <c r="BD9" s="15">
        <v>0</v>
      </c>
      <c r="BE9" s="15">
        <v>123.51416045657895</v>
      </c>
      <c r="BF9" s="15">
        <v>42.782816659754047</v>
      </c>
      <c r="BG9" s="15">
        <v>1.5831329762799129</v>
      </c>
      <c r="BH9" s="15">
        <v>79.148210820544989</v>
      </c>
      <c r="BI9" s="15">
        <v>0</v>
      </c>
      <c r="BJ9" s="15">
        <v>676.11634393025713</v>
      </c>
      <c r="BK9" s="15">
        <v>975.25373133590585</v>
      </c>
      <c r="BL9" s="15">
        <v>0.19773365899220324</v>
      </c>
      <c r="BM9" s="15">
        <v>0.28445123672388573</v>
      </c>
    </row>
    <row r="10" spans="1:65" s="54" customFormat="1" x14ac:dyDescent="0.35">
      <c r="A10" s="55" t="s">
        <v>10767</v>
      </c>
      <c r="B10" s="55" t="s">
        <v>10454</v>
      </c>
      <c r="C10" s="55" t="s">
        <v>10775</v>
      </c>
      <c r="D10" s="55" t="s">
        <v>10323</v>
      </c>
      <c r="E10" s="55" t="s">
        <v>10776</v>
      </c>
      <c r="F10" s="55">
        <v>189318</v>
      </c>
      <c r="G10" s="55">
        <v>0.89712382167164706</v>
      </c>
      <c r="H10" s="55">
        <v>200</v>
      </c>
      <c r="I10" s="55">
        <v>402.48281677236207</v>
      </c>
      <c r="J10" s="94">
        <v>0.32547033063182851</v>
      </c>
      <c r="K10" s="55">
        <v>30</v>
      </c>
      <c r="L10" s="55">
        <v>129.970575682646</v>
      </c>
      <c r="M10" s="55">
        <v>21.511738204032913</v>
      </c>
      <c r="N10" s="55">
        <v>66.408338116291901</v>
      </c>
      <c r="O10" s="55">
        <v>9.3316996721013332</v>
      </c>
      <c r="P10" s="55">
        <v>26.800745055282508</v>
      </c>
      <c r="Q10" s="55">
        <v>30.275893388908067</v>
      </c>
      <c r="R10" s="55">
        <v>5.2960649647742803</v>
      </c>
      <c r="S10" s="55">
        <v>13.056211315353574</v>
      </c>
      <c r="T10" s="55">
        <v>11.92361710878021</v>
      </c>
      <c r="U10" s="55">
        <v>0</v>
      </c>
      <c r="V10" s="55">
        <v>0</v>
      </c>
      <c r="W10" s="55">
        <v>0</v>
      </c>
      <c r="X10" s="55">
        <v>0</v>
      </c>
      <c r="Y10" s="55">
        <v>486.48452963577546</v>
      </c>
      <c r="Z10" s="55">
        <v>0</v>
      </c>
      <c r="AA10" s="55">
        <v>0</v>
      </c>
      <c r="AB10" s="55">
        <v>0</v>
      </c>
      <c r="AC10" s="55">
        <v>486.48452963577546</v>
      </c>
      <c r="AD10" s="55">
        <v>84.001712863413388</v>
      </c>
      <c r="AE10" s="55">
        <v>-17.459055886586672</v>
      </c>
      <c r="AF10" s="55">
        <v>0</v>
      </c>
      <c r="AG10" s="55">
        <v>0</v>
      </c>
      <c r="AH10" s="55">
        <v>0</v>
      </c>
      <c r="AI10" s="55">
        <v>101.46076875000003</v>
      </c>
      <c r="AJ10" s="55">
        <v>0</v>
      </c>
      <c r="AK10" s="55">
        <v>0</v>
      </c>
      <c r="AL10" s="55">
        <v>0</v>
      </c>
      <c r="AM10" s="55">
        <v>0</v>
      </c>
      <c r="AN10" s="55">
        <v>0.17267088210657872</v>
      </c>
      <c r="AO10" s="55">
        <v>402.48281677236207</v>
      </c>
      <c r="AP10" s="55">
        <v>0</v>
      </c>
      <c r="AQ10" s="55">
        <v>0</v>
      </c>
      <c r="AR10" s="55">
        <v>0</v>
      </c>
      <c r="AS10" s="55">
        <v>0</v>
      </c>
      <c r="AT10" s="55">
        <v>0</v>
      </c>
      <c r="AU10" s="55">
        <v>333.47903222089241</v>
      </c>
      <c r="AV10" s="55">
        <v>81.676115450503545</v>
      </c>
      <c r="AW10" s="55">
        <v>81.676115450503545</v>
      </c>
      <c r="AX10" s="55">
        <v>0</v>
      </c>
      <c r="AY10" s="55">
        <v>0</v>
      </c>
      <c r="AZ10" s="55">
        <v>173.95879336029816</v>
      </c>
      <c r="BA10" s="55">
        <v>76.930878417473096</v>
      </c>
      <c r="BB10" s="55">
        <v>40.42829789284378</v>
      </c>
      <c r="BC10" s="55">
        <v>56.599617049981291</v>
      </c>
      <c r="BD10" s="55">
        <v>0</v>
      </c>
      <c r="BE10" s="55">
        <v>77.844123410090688</v>
      </c>
      <c r="BF10" s="55">
        <v>26.797109509005391</v>
      </c>
      <c r="BG10" s="55">
        <v>1.4723613094253225</v>
      </c>
      <c r="BH10" s="55">
        <v>49.574652591659969</v>
      </c>
      <c r="BI10" s="55">
        <v>0</v>
      </c>
      <c r="BJ10" s="55">
        <v>333.47903222089241</v>
      </c>
      <c r="BK10" s="53">
        <v>417.48074508430579</v>
      </c>
      <c r="BL10" s="53">
        <v>0.26927108154211082</v>
      </c>
      <c r="BM10" s="53">
        <v>0.32547033063182851</v>
      </c>
    </row>
    <row r="11" spans="1:65" s="52" customFormat="1" x14ac:dyDescent="0.35">
      <c r="A11" s="51" t="s">
        <v>10767</v>
      </c>
      <c r="B11" s="51" t="s">
        <v>10777</v>
      </c>
      <c r="C11" s="51" t="s">
        <v>9780</v>
      </c>
      <c r="D11" s="51" t="s">
        <v>9780</v>
      </c>
      <c r="E11" s="51" t="s">
        <v>10010</v>
      </c>
      <c r="F11" s="51">
        <f>F10</f>
        <v>189318</v>
      </c>
      <c r="G11" s="51">
        <f>G10</f>
        <v>0.89712382167164706</v>
      </c>
      <c r="H11" s="51">
        <f>(H10*N10)/(N10)</f>
        <v>200</v>
      </c>
      <c r="I11" s="51">
        <f>(I10*N10)/(N10)</f>
        <v>402.48281677236207</v>
      </c>
      <c r="J11" s="95">
        <f>(J10*N10)/(N10)</f>
        <v>0.32547033063182851</v>
      </c>
      <c r="K11" s="51">
        <f t="shared" ref="K11:W11" si="0">K10</f>
        <v>30</v>
      </c>
      <c r="L11" s="51">
        <f t="shared" si="0"/>
        <v>129.970575682646</v>
      </c>
      <c r="M11" s="51">
        <f t="shared" si="0"/>
        <v>21.511738204032913</v>
      </c>
      <c r="N11" s="51">
        <f t="shared" si="0"/>
        <v>66.408338116291901</v>
      </c>
      <c r="O11" s="51">
        <f t="shared" si="0"/>
        <v>9.3316996721013332</v>
      </c>
      <c r="P11" s="51">
        <f t="shared" si="0"/>
        <v>26.800745055282508</v>
      </c>
      <c r="Q11" s="51">
        <f t="shared" si="0"/>
        <v>30.275893388908067</v>
      </c>
      <c r="R11" s="51">
        <f t="shared" si="0"/>
        <v>5.2960649647742803</v>
      </c>
      <c r="S11" s="51">
        <f t="shared" si="0"/>
        <v>13.056211315353574</v>
      </c>
      <c r="T11" s="51">
        <f t="shared" si="0"/>
        <v>11.92361710878021</v>
      </c>
      <c r="U11" s="51">
        <f t="shared" si="0"/>
        <v>0</v>
      </c>
      <c r="V11" s="51">
        <f t="shared" si="0"/>
        <v>0</v>
      </c>
      <c r="W11" s="51">
        <f t="shared" si="0"/>
        <v>0</v>
      </c>
      <c r="X11" s="51">
        <f>(X10*N10)/(N10)</f>
        <v>0</v>
      </c>
      <c r="Y11" s="51">
        <f>(Y10*N10)/(N10)</f>
        <v>486.48452963577546</v>
      </c>
      <c r="Z11" s="51">
        <f>(Z10*N10)/(N10)</f>
        <v>0</v>
      </c>
      <c r="AA11" s="51">
        <f>(AA10*N10)/(N10)</f>
        <v>0</v>
      </c>
      <c r="AB11" s="51">
        <f>(AB10*N10)/(N10)</f>
        <v>0</v>
      </c>
      <c r="AC11" s="51">
        <f>(AC10*N10)/(N10)</f>
        <v>486.48452963577546</v>
      </c>
      <c r="AD11" s="51">
        <f>(AD10*N10)/(N10)</f>
        <v>84.001712863413388</v>
      </c>
      <c r="AE11" s="51">
        <f>(AE10*N10)/(N10)</f>
        <v>-17.459055886586672</v>
      </c>
      <c r="AF11" s="51">
        <f>(AF10*N10)/(N10)</f>
        <v>0</v>
      </c>
      <c r="AG11" s="51">
        <f>(AG10*N10)/(N10)</f>
        <v>0</v>
      </c>
      <c r="AH11" s="51">
        <f>(AH10*N10)/(N10)</f>
        <v>0</v>
      </c>
      <c r="AI11" s="51">
        <f>(AI10*N10)/(N10)</f>
        <v>101.46076875000003</v>
      </c>
      <c r="AJ11" s="51">
        <f>(AJ10*N10)/(N10)</f>
        <v>0</v>
      </c>
      <c r="AK11" s="51">
        <f>(AK10*N10)/(N10)</f>
        <v>0</v>
      </c>
      <c r="AL11" s="51">
        <f>(AL10*N10)/(N10)</f>
        <v>0</v>
      </c>
      <c r="AM11" s="51">
        <f>(AM10*N10)/(N10)</f>
        <v>0</v>
      </c>
      <c r="AN11" s="51">
        <f>(AN10*N10)/(N10)</f>
        <v>0.17267088210657872</v>
      </c>
      <c r="AO11" s="51">
        <f>(AO10*N10)/(N10)</f>
        <v>402.48281677236207</v>
      </c>
      <c r="AP11" s="51">
        <f>(AP10*N10)/(N10)</f>
        <v>0</v>
      </c>
      <c r="AQ11" s="51">
        <f>(AQ10*N10)/(N10)</f>
        <v>0</v>
      </c>
      <c r="AR11" s="51">
        <f>(AR10*N10)/(N10)</f>
        <v>0</v>
      </c>
      <c r="AS11" s="51">
        <f>(AS10*N10)/(N10)</f>
        <v>0</v>
      </c>
      <c r="AT11" s="51">
        <f>(AT10*N10)/(N10)</f>
        <v>0</v>
      </c>
      <c r="AU11" s="51">
        <f>(AU10*N10)/(N10)</f>
        <v>333.47903222089241</v>
      </c>
      <c r="AV11" s="51">
        <f>(AV10*N10)/(N10)</f>
        <v>81.676115450503545</v>
      </c>
      <c r="AW11" s="51">
        <f>(AW10*N10)/(N10)</f>
        <v>81.676115450503545</v>
      </c>
      <c r="AX11" s="51">
        <f>(AX10*N10)/(N10)</f>
        <v>0</v>
      </c>
      <c r="AY11" s="51">
        <f>(AY10*N10)/(N10)</f>
        <v>0</v>
      </c>
      <c r="AZ11" s="51">
        <f>(AZ10*N10)/(N10)</f>
        <v>173.95879336029816</v>
      </c>
      <c r="BA11" s="51">
        <f>(BA10*N10)/(N10)</f>
        <v>76.930878417473096</v>
      </c>
      <c r="BB11" s="51">
        <f>(BB10*N10)/(N10)</f>
        <v>40.42829789284378</v>
      </c>
      <c r="BC11" s="51">
        <f>(BC10*N10)/(N10)</f>
        <v>56.599617049981291</v>
      </c>
      <c r="BD11" s="51">
        <f>(BD10*N10)/(N10)</f>
        <v>0</v>
      </c>
      <c r="BE11" s="51">
        <f>(BE10*N10)/(N10)</f>
        <v>77.844123410090688</v>
      </c>
      <c r="BF11" s="51">
        <f>(BF10*N10)/(N10)</f>
        <v>26.797109509005391</v>
      </c>
      <c r="BG11" s="51">
        <f>(BG10*N10)/(N10)</f>
        <v>1.4723613094253225</v>
      </c>
      <c r="BH11" s="51">
        <f>(BH10*N10)/(N10)</f>
        <v>49.574652591659969</v>
      </c>
      <c r="BI11" s="51">
        <f>(BI10*N10)/(N10)</f>
        <v>0</v>
      </c>
      <c r="BJ11" s="51">
        <f>(BJ10*N10)/(N10)</f>
        <v>333.47903222089241</v>
      </c>
      <c r="BK11" s="51">
        <f>(BK10*N10)/(N10)</f>
        <v>417.48074508430579</v>
      </c>
      <c r="BL11" s="51">
        <f>(BL10*N10)/(N10)</f>
        <v>0.26927108154211082</v>
      </c>
      <c r="BM11" s="51">
        <f>(BM10*N10)/(N10)</f>
        <v>0.32547033063182851</v>
      </c>
    </row>
    <row r="12" spans="1:65" x14ac:dyDescent="0.35">
      <c r="A12" s="15" t="s">
        <v>10778</v>
      </c>
      <c r="B12" s="15" t="s">
        <v>10454</v>
      </c>
      <c r="C12" s="15" t="s">
        <v>10562</v>
      </c>
      <c r="D12" s="15" t="s">
        <v>10320</v>
      </c>
      <c r="E12" s="15" t="s">
        <v>10779</v>
      </c>
      <c r="F12" s="15">
        <v>189318</v>
      </c>
      <c r="G12" s="15">
        <v>0.89712382167164706</v>
      </c>
      <c r="H12" s="15">
        <v>200</v>
      </c>
      <c r="I12" s="92">
        <v>436.66217000347899</v>
      </c>
      <c r="J12" s="93">
        <v>0.42410852498857504</v>
      </c>
      <c r="K12" s="15">
        <v>30</v>
      </c>
      <c r="L12" s="15">
        <v>176.19296173915183</v>
      </c>
      <c r="M12" s="15">
        <v>25.068273515032466</v>
      </c>
      <c r="N12" s="15">
        <v>66.408338116291901</v>
      </c>
      <c r="O12" s="15">
        <v>12.378148979017169</v>
      </c>
      <c r="P12" s="15">
        <v>25.712727445669707</v>
      </c>
      <c r="Q12" s="15">
        <v>28.317461691605022</v>
      </c>
      <c r="R12" s="15">
        <v>5.2960649647742803</v>
      </c>
      <c r="S12" s="15">
        <v>11.097779618050536</v>
      </c>
      <c r="T12" s="15">
        <v>11.92361710878021</v>
      </c>
      <c r="U12" s="15">
        <v>0</v>
      </c>
      <c r="V12" s="15">
        <v>8064.3363841547753</v>
      </c>
      <c r="W12" s="15">
        <v>0</v>
      </c>
      <c r="X12" s="15">
        <v>0</v>
      </c>
      <c r="Y12" s="15">
        <v>597.17510814694663</v>
      </c>
      <c r="Z12" s="15">
        <v>0</v>
      </c>
      <c r="AA12" s="15">
        <v>0</v>
      </c>
      <c r="AB12" s="15">
        <v>0</v>
      </c>
      <c r="AC12" s="15">
        <v>597.17510814694663</v>
      </c>
      <c r="AD12" s="15">
        <v>160.51293814346764</v>
      </c>
      <c r="AE12" s="15">
        <v>18.017536378206557</v>
      </c>
      <c r="AF12" s="15">
        <v>0</v>
      </c>
      <c r="AG12" s="15">
        <v>0</v>
      </c>
      <c r="AH12" s="15">
        <v>21.677167965261102</v>
      </c>
      <c r="AI12" s="15">
        <v>101.46076875000003</v>
      </c>
      <c r="AJ12" s="15">
        <v>0</v>
      </c>
      <c r="AK12" s="15">
        <v>0</v>
      </c>
      <c r="AL12" s="15">
        <v>0</v>
      </c>
      <c r="AM12" s="15">
        <v>19.357465049999998</v>
      </c>
      <c r="AN12" s="15">
        <v>0.26878705417167237</v>
      </c>
      <c r="AO12" s="15">
        <v>436.66217000347899</v>
      </c>
      <c r="AP12" s="15">
        <v>39.694704343467663</v>
      </c>
      <c r="AQ12" s="15">
        <v>18.017536378206557</v>
      </c>
      <c r="AR12" s="15">
        <v>0</v>
      </c>
      <c r="AS12" s="15">
        <v>0</v>
      </c>
      <c r="AT12" s="15">
        <v>21.677167965261102</v>
      </c>
      <c r="AU12" s="15">
        <v>382.15961449849715</v>
      </c>
      <c r="AV12" s="15">
        <v>84.983773615369671</v>
      </c>
      <c r="AW12" s="15">
        <v>84.983773615369671</v>
      </c>
      <c r="AX12" s="15">
        <v>0</v>
      </c>
      <c r="AY12" s="15">
        <v>0</v>
      </c>
      <c r="AZ12" s="15">
        <v>211.64498981949163</v>
      </c>
      <c r="BA12" s="15">
        <v>76.930878417473096</v>
      </c>
      <c r="BB12" s="15">
        <v>56.130879750841068</v>
      </c>
      <c r="BC12" s="15">
        <v>78.583231651177485</v>
      </c>
      <c r="BD12" s="15">
        <v>0</v>
      </c>
      <c r="BE12" s="15">
        <v>85.530851063635865</v>
      </c>
      <c r="BF12" s="15">
        <v>29.494206931301946</v>
      </c>
      <c r="BG12" s="15">
        <v>1.4723613094253225</v>
      </c>
      <c r="BH12" s="15">
        <v>54.564282822908595</v>
      </c>
      <c r="BI12" s="15">
        <v>0</v>
      </c>
      <c r="BJ12" s="15">
        <v>421.85431884196481</v>
      </c>
      <c r="BK12" s="15">
        <v>582.3672569854325</v>
      </c>
      <c r="BL12" s="15">
        <v>0.31011364390780288</v>
      </c>
      <c r="BM12" s="15">
        <v>0.42410852498857504</v>
      </c>
    </row>
    <row r="13" spans="1:65" x14ac:dyDescent="0.35">
      <c r="A13" s="15" t="s">
        <v>10778</v>
      </c>
      <c r="B13" s="15" t="s">
        <v>10454</v>
      </c>
      <c r="C13" s="15" t="s">
        <v>10562</v>
      </c>
      <c r="D13" s="15" t="s">
        <v>10321</v>
      </c>
      <c r="E13" s="15" t="s">
        <v>10780</v>
      </c>
      <c r="F13" s="15">
        <v>189318</v>
      </c>
      <c r="G13" s="15">
        <v>0.89712382167164706</v>
      </c>
      <c r="H13" s="15">
        <v>200</v>
      </c>
      <c r="I13" s="92">
        <v>406.45255894223362</v>
      </c>
      <c r="J13" s="93">
        <v>0.44327473281024721</v>
      </c>
      <c r="K13" s="15">
        <v>30</v>
      </c>
      <c r="L13" s="15">
        <v>176.19296173915183</v>
      </c>
      <c r="M13" s="15">
        <v>25.068273515032466</v>
      </c>
      <c r="N13" s="15">
        <v>66.408338116291901</v>
      </c>
      <c r="O13" s="15">
        <v>12.378148979017169</v>
      </c>
      <c r="P13" s="15">
        <v>25.712727445669707</v>
      </c>
      <c r="Q13" s="15">
        <v>28.317461691605022</v>
      </c>
      <c r="R13" s="15">
        <v>5.2960649647742803</v>
      </c>
      <c r="S13" s="15">
        <v>11.097779618050536</v>
      </c>
      <c r="T13" s="15">
        <v>11.92361710878021</v>
      </c>
      <c r="U13" s="15">
        <v>0</v>
      </c>
      <c r="V13" s="15">
        <v>0</v>
      </c>
      <c r="W13" s="15">
        <v>2016.0840960386938</v>
      </c>
      <c r="X13" s="15">
        <v>0</v>
      </c>
      <c r="Y13" s="15">
        <v>597.17510814694663</v>
      </c>
      <c r="Z13" s="15">
        <v>0</v>
      </c>
      <c r="AA13" s="15">
        <v>0</v>
      </c>
      <c r="AB13" s="15">
        <v>0</v>
      </c>
      <c r="AC13" s="15">
        <v>597.17510814694663</v>
      </c>
      <c r="AD13" s="15">
        <v>190.722549204713</v>
      </c>
      <c r="AE13" s="15">
        <v>-20.4734464764012</v>
      </c>
      <c r="AF13" s="15">
        <v>9.1322044563413307</v>
      </c>
      <c r="AG13" s="15">
        <v>19.715989108114165</v>
      </c>
      <c r="AH13" s="15">
        <v>0</v>
      </c>
      <c r="AI13" s="15">
        <v>101.46076875000003</v>
      </c>
      <c r="AJ13" s="15">
        <v>0</v>
      </c>
      <c r="AK13" s="15">
        <v>61.52956831665864</v>
      </c>
      <c r="AL13" s="15">
        <v>0</v>
      </c>
      <c r="AM13" s="15">
        <v>19.357465049999998</v>
      </c>
      <c r="AN13" s="15">
        <v>0.31937457975522648</v>
      </c>
      <c r="AO13" s="15">
        <v>406.45255894223362</v>
      </c>
      <c r="AP13" s="15">
        <v>0</v>
      </c>
      <c r="AQ13" s="15">
        <v>0</v>
      </c>
      <c r="AR13" s="15">
        <v>0</v>
      </c>
      <c r="AS13" s="15">
        <v>0</v>
      </c>
      <c r="AT13" s="15">
        <v>0</v>
      </c>
      <c r="AU13" s="15">
        <v>386.62270840739353</v>
      </c>
      <c r="AV13" s="15">
        <v>84.983773615369671</v>
      </c>
      <c r="AW13" s="15">
        <v>84.983773615369671</v>
      </c>
      <c r="AX13" s="15">
        <v>0</v>
      </c>
      <c r="AY13" s="15">
        <v>0</v>
      </c>
      <c r="AZ13" s="15">
        <v>211.64498981949163</v>
      </c>
      <c r="BA13" s="15">
        <v>76.930878417473096</v>
      </c>
      <c r="BB13" s="15">
        <v>56.130879750841068</v>
      </c>
      <c r="BC13" s="15">
        <v>78.583231651177485</v>
      </c>
      <c r="BD13" s="15">
        <v>0</v>
      </c>
      <c r="BE13" s="15">
        <v>89.993944972532248</v>
      </c>
      <c r="BF13" s="15">
        <v>31.060204794072604</v>
      </c>
      <c r="BG13" s="15">
        <v>1.4723613094253225</v>
      </c>
      <c r="BH13" s="15">
        <v>57.46137886903432</v>
      </c>
      <c r="BI13" s="15">
        <v>0</v>
      </c>
      <c r="BJ13" s="15">
        <v>386.62270840739353</v>
      </c>
      <c r="BK13" s="15">
        <v>577.34525761210648</v>
      </c>
      <c r="BL13" s="15">
        <v>0.30170405130286421</v>
      </c>
      <c r="BM13" s="15">
        <v>0.44327473281024721</v>
      </c>
    </row>
    <row r="14" spans="1:65" x14ac:dyDescent="0.35">
      <c r="A14" s="15" t="s">
        <v>10778</v>
      </c>
      <c r="B14" s="15" t="s">
        <v>10454</v>
      </c>
      <c r="C14" s="15" t="s">
        <v>10562</v>
      </c>
      <c r="D14" s="15" t="s">
        <v>10322</v>
      </c>
      <c r="E14" s="15" t="s">
        <v>10781</v>
      </c>
      <c r="F14" s="15">
        <v>189318</v>
      </c>
      <c r="G14" s="15">
        <v>0.89712382167164706</v>
      </c>
      <c r="H14" s="15">
        <v>200</v>
      </c>
      <c r="I14" s="92">
        <v>413.67656317418061</v>
      </c>
      <c r="J14" s="93">
        <v>0.42800832480712026</v>
      </c>
      <c r="K14" s="15">
        <v>30</v>
      </c>
      <c r="L14" s="15">
        <v>176.19296173915183</v>
      </c>
      <c r="M14" s="15">
        <v>25.068273515032466</v>
      </c>
      <c r="N14" s="15">
        <v>66.408338116291901</v>
      </c>
      <c r="O14" s="15">
        <v>12.378148979017169</v>
      </c>
      <c r="P14" s="15">
        <v>25.712727445669707</v>
      </c>
      <c r="Q14" s="15">
        <v>28.317461691605022</v>
      </c>
      <c r="R14" s="15">
        <v>5.2960649647742803</v>
      </c>
      <c r="S14" s="15">
        <v>11.097779618050536</v>
      </c>
      <c r="T14" s="15">
        <v>11.92361710878021</v>
      </c>
      <c r="U14" s="15">
        <v>0</v>
      </c>
      <c r="V14" s="15">
        <v>0</v>
      </c>
      <c r="W14" s="15">
        <v>0</v>
      </c>
      <c r="X14" s="15">
        <v>2016084.0960386938</v>
      </c>
      <c r="Y14" s="15">
        <v>597.17510814694663</v>
      </c>
      <c r="Z14" s="15">
        <v>0</v>
      </c>
      <c r="AA14" s="15">
        <v>0</v>
      </c>
      <c r="AB14" s="15">
        <v>0</v>
      </c>
      <c r="AC14" s="15">
        <v>597.17510814694663</v>
      </c>
      <c r="AD14" s="15">
        <v>183.49854497276601</v>
      </c>
      <c r="AE14" s="15">
        <v>-20.4734464764012</v>
      </c>
      <c r="AF14" s="15">
        <v>0</v>
      </c>
      <c r="AG14" s="15">
        <v>0</v>
      </c>
      <c r="AH14" s="15">
        <v>0</v>
      </c>
      <c r="AI14" s="15">
        <v>101.46076875000003</v>
      </c>
      <c r="AJ14" s="15">
        <v>0</v>
      </c>
      <c r="AK14" s="15">
        <v>83.153757649167176</v>
      </c>
      <c r="AL14" s="15">
        <v>0</v>
      </c>
      <c r="AM14" s="15">
        <v>19.357465049999998</v>
      </c>
      <c r="AN14" s="15">
        <v>0.3072776183558083</v>
      </c>
      <c r="AO14" s="15">
        <v>413.67656317418061</v>
      </c>
      <c r="AP14" s="15">
        <v>0</v>
      </c>
      <c r="AQ14" s="15">
        <v>0</v>
      </c>
      <c r="AR14" s="15">
        <v>0</v>
      </c>
      <c r="AS14" s="15">
        <v>0</v>
      </c>
      <c r="AT14" s="15">
        <v>0</v>
      </c>
      <c r="AU14" s="15">
        <v>390.73357599032846</v>
      </c>
      <c r="AV14" s="15">
        <v>84.983773615369671</v>
      </c>
      <c r="AW14" s="15">
        <v>84.983773615369671</v>
      </c>
      <c r="AX14" s="15">
        <v>0</v>
      </c>
      <c r="AY14" s="15">
        <v>0</v>
      </c>
      <c r="AZ14" s="15">
        <v>211.64498981949163</v>
      </c>
      <c r="BA14" s="15">
        <v>76.930878417473096</v>
      </c>
      <c r="BB14" s="15">
        <v>56.130879750841068</v>
      </c>
      <c r="BC14" s="15">
        <v>78.583231651177485</v>
      </c>
      <c r="BD14" s="15">
        <v>0</v>
      </c>
      <c r="BE14" s="15">
        <v>94.104812555467163</v>
      </c>
      <c r="BF14" s="15">
        <v>32.502614472295384</v>
      </c>
      <c r="BG14" s="15">
        <v>1.4723613094253225</v>
      </c>
      <c r="BH14" s="15">
        <v>60.129836773746462</v>
      </c>
      <c r="BI14" s="15">
        <v>0</v>
      </c>
      <c r="BJ14" s="15">
        <v>390.73357599032846</v>
      </c>
      <c r="BK14" s="15">
        <v>574.23212096309453</v>
      </c>
      <c r="BL14" s="15">
        <v>0.29649094612392912</v>
      </c>
      <c r="BM14" s="15">
        <v>0.42800832480712026</v>
      </c>
    </row>
    <row r="15" spans="1:65" x14ac:dyDescent="0.35">
      <c r="A15" s="15" t="s">
        <v>10778</v>
      </c>
      <c r="B15" s="15" t="s">
        <v>10454</v>
      </c>
      <c r="C15" s="15" t="s">
        <v>10562</v>
      </c>
      <c r="D15" s="15" t="s">
        <v>10323</v>
      </c>
      <c r="E15" s="15" t="s">
        <v>10782</v>
      </c>
      <c r="F15" s="15">
        <v>189318</v>
      </c>
      <c r="G15" s="15">
        <v>0.89712382167164706</v>
      </c>
      <c r="H15" s="15">
        <v>200</v>
      </c>
      <c r="I15" s="92">
        <v>383.1253517223621</v>
      </c>
      <c r="J15" s="93">
        <v>0.39243991508942616</v>
      </c>
      <c r="K15" s="15">
        <v>30</v>
      </c>
      <c r="L15" s="15">
        <v>129.970575682646</v>
      </c>
      <c r="M15" s="15">
        <v>21.511738204032913</v>
      </c>
      <c r="N15" s="15">
        <v>66.408338116291901</v>
      </c>
      <c r="O15" s="15">
        <v>9.3316996721013332</v>
      </c>
      <c r="P15" s="15">
        <v>26.800745055282508</v>
      </c>
      <c r="Q15" s="15">
        <v>30.275893388908067</v>
      </c>
      <c r="R15" s="15">
        <v>5.2960649647742803</v>
      </c>
      <c r="S15" s="15">
        <v>13.056211315353574</v>
      </c>
      <c r="T15" s="15">
        <v>11.92361710878021</v>
      </c>
      <c r="U15" s="15">
        <v>0</v>
      </c>
      <c r="V15" s="15">
        <v>0</v>
      </c>
      <c r="W15" s="15">
        <v>0</v>
      </c>
      <c r="X15" s="15">
        <v>0</v>
      </c>
      <c r="Y15" s="15">
        <v>486.48452963577546</v>
      </c>
      <c r="Z15" s="15">
        <v>0</v>
      </c>
      <c r="AA15" s="15">
        <v>0</v>
      </c>
      <c r="AB15" s="15">
        <v>0</v>
      </c>
      <c r="AC15" s="15">
        <v>486.48452963577546</v>
      </c>
      <c r="AD15" s="15">
        <v>103.35917791341336</v>
      </c>
      <c r="AE15" s="15">
        <v>-17.459055886586672</v>
      </c>
      <c r="AF15" s="15">
        <v>0</v>
      </c>
      <c r="AG15" s="15">
        <v>0</v>
      </c>
      <c r="AH15" s="15">
        <v>0</v>
      </c>
      <c r="AI15" s="15">
        <v>101.46076875000003</v>
      </c>
      <c r="AJ15" s="15">
        <v>0</v>
      </c>
      <c r="AK15" s="15">
        <v>0</v>
      </c>
      <c r="AL15" s="15">
        <v>0</v>
      </c>
      <c r="AM15" s="15">
        <v>19.357465049999998</v>
      </c>
      <c r="AN15" s="15">
        <v>0.21246138698551631</v>
      </c>
      <c r="AO15" s="15">
        <v>383.1253517223621</v>
      </c>
      <c r="AP15" s="15">
        <v>0</v>
      </c>
      <c r="AQ15" s="15">
        <v>0</v>
      </c>
      <c r="AR15" s="15">
        <v>0</v>
      </c>
      <c r="AS15" s="15">
        <v>0</v>
      </c>
      <c r="AT15" s="15">
        <v>0</v>
      </c>
      <c r="AU15" s="15">
        <v>333.47903222089241</v>
      </c>
      <c r="AV15" s="15">
        <v>81.676115450503545</v>
      </c>
      <c r="AW15" s="15">
        <v>81.676115450503545</v>
      </c>
      <c r="AX15" s="15">
        <v>0</v>
      </c>
      <c r="AY15" s="15">
        <v>0</v>
      </c>
      <c r="AZ15" s="15">
        <v>173.95879336029816</v>
      </c>
      <c r="BA15" s="15">
        <v>76.930878417473096</v>
      </c>
      <c r="BB15" s="15">
        <v>40.42829789284378</v>
      </c>
      <c r="BC15" s="15">
        <v>56.599617049981291</v>
      </c>
      <c r="BD15" s="15">
        <v>0</v>
      </c>
      <c r="BE15" s="15">
        <v>77.844123410090688</v>
      </c>
      <c r="BF15" s="15">
        <v>26.797109509005391</v>
      </c>
      <c r="BG15" s="15">
        <v>1.4723613094253225</v>
      </c>
      <c r="BH15" s="15">
        <v>49.574652591659969</v>
      </c>
      <c r="BI15" s="15">
        <v>0</v>
      </c>
      <c r="BJ15" s="15">
        <v>333.47903222089241</v>
      </c>
      <c r="BK15" s="15">
        <v>436.83821013430577</v>
      </c>
      <c r="BL15" s="15">
        <v>0.30906158642104842</v>
      </c>
      <c r="BM15" s="15">
        <v>0.39243991508942616</v>
      </c>
    </row>
    <row r="16" spans="1:65" x14ac:dyDescent="0.35">
      <c r="A16" s="15" t="s">
        <v>10778</v>
      </c>
      <c r="B16" s="15" t="s">
        <v>10454</v>
      </c>
      <c r="C16" s="15" t="s">
        <v>10562</v>
      </c>
      <c r="D16" s="15" t="s">
        <v>10324</v>
      </c>
      <c r="E16" s="15" t="s">
        <v>10783</v>
      </c>
      <c r="F16" s="15">
        <v>189318</v>
      </c>
      <c r="G16" s="15">
        <v>0.89712382167164706</v>
      </c>
      <c r="H16" s="15">
        <v>200</v>
      </c>
      <c r="I16" s="92">
        <v>482.65980572766625</v>
      </c>
      <c r="J16" s="93">
        <v>0.15953535869362517</v>
      </c>
      <c r="K16" s="15">
        <v>30</v>
      </c>
      <c r="L16" s="15">
        <v>197.17048854656832</v>
      </c>
      <c r="M16" s="15">
        <v>24.366542774831903</v>
      </c>
      <c r="N16" s="15">
        <v>66.408338116291901</v>
      </c>
      <c r="O16" s="15">
        <v>14.881942551015719</v>
      </c>
      <c r="P16" s="15">
        <v>23.230964839841235</v>
      </c>
      <c r="Q16" s="15">
        <v>28.295430725434947</v>
      </c>
      <c r="R16" s="15">
        <v>5.2960649647742803</v>
      </c>
      <c r="S16" s="15">
        <v>0</v>
      </c>
      <c r="T16" s="15">
        <v>22.999365760660666</v>
      </c>
      <c r="U16" s="15">
        <v>0</v>
      </c>
      <c r="V16" s="15">
        <v>0</v>
      </c>
      <c r="W16" s="15">
        <v>0</v>
      </c>
      <c r="X16" s="15">
        <v>0</v>
      </c>
      <c r="Y16" s="15">
        <v>603.70478438038072</v>
      </c>
      <c r="Z16" s="15">
        <v>0</v>
      </c>
      <c r="AA16" s="15">
        <v>0</v>
      </c>
      <c r="AB16" s="15">
        <v>0</v>
      </c>
      <c r="AC16" s="15">
        <v>603.70478438038072</v>
      </c>
      <c r="AD16" s="15">
        <v>121.04497865271446</v>
      </c>
      <c r="AE16" s="15">
        <v>-17.754243254785539</v>
      </c>
      <c r="AF16" s="15">
        <v>0</v>
      </c>
      <c r="AG16" s="15">
        <v>0</v>
      </c>
      <c r="AH16" s="15">
        <v>0</v>
      </c>
      <c r="AI16" s="15">
        <v>101.46076875000003</v>
      </c>
      <c r="AJ16" s="15">
        <v>0</v>
      </c>
      <c r="AK16" s="15">
        <v>0</v>
      </c>
      <c r="AL16" s="15">
        <v>0</v>
      </c>
      <c r="AM16" s="15">
        <v>37.338453157500005</v>
      </c>
      <c r="AN16" s="15">
        <v>0.20050359345246924</v>
      </c>
      <c r="AO16" s="15">
        <v>482.65980572766625</v>
      </c>
      <c r="AP16" s="15">
        <v>0</v>
      </c>
      <c r="AQ16" s="15">
        <v>0</v>
      </c>
      <c r="AR16" s="15">
        <v>0</v>
      </c>
      <c r="AS16" s="15">
        <v>0</v>
      </c>
      <c r="AT16" s="15">
        <v>0</v>
      </c>
      <c r="AU16" s="15">
        <v>359.66111096142492</v>
      </c>
      <c r="AV16" s="15">
        <v>92.970602693951136</v>
      </c>
      <c r="AW16" s="15">
        <v>92.970602693951136</v>
      </c>
      <c r="AX16" s="15">
        <v>0</v>
      </c>
      <c r="AY16" s="15">
        <v>0</v>
      </c>
      <c r="AZ16" s="15">
        <v>171.89929903338938</v>
      </c>
      <c r="BA16" s="15">
        <v>76.930878417473096</v>
      </c>
      <c r="BB16" s="15">
        <v>39.570175256631785</v>
      </c>
      <c r="BC16" s="15">
        <v>55.398245359284495</v>
      </c>
      <c r="BD16" s="15">
        <v>0</v>
      </c>
      <c r="BE16" s="15">
        <v>94.791209234084391</v>
      </c>
      <c r="BF16" s="15">
        <v>32.743455412161076</v>
      </c>
      <c r="BG16" s="15">
        <v>1.4723613094253225</v>
      </c>
      <c r="BH16" s="15">
        <v>60.575392512497984</v>
      </c>
      <c r="BI16" s="15">
        <v>0</v>
      </c>
      <c r="BJ16" s="15">
        <v>359.66111096142492</v>
      </c>
      <c r="BK16" s="15">
        <v>480.70608961413939</v>
      </c>
      <c r="BL16" s="15">
        <v>0.12754794599282468</v>
      </c>
      <c r="BM16" s="15">
        <v>0.15953535869362517</v>
      </c>
    </row>
    <row r="17" spans="1:65" x14ac:dyDescent="0.35">
      <c r="A17" s="15" t="s">
        <v>10778</v>
      </c>
      <c r="B17" s="15" t="s">
        <v>10454</v>
      </c>
      <c r="C17" s="15" t="s">
        <v>10562</v>
      </c>
      <c r="D17" s="15" t="s">
        <v>10325</v>
      </c>
      <c r="E17" s="15" t="s">
        <v>10784</v>
      </c>
      <c r="F17" s="15">
        <v>189318</v>
      </c>
      <c r="G17" s="15">
        <v>0.89712382167164706</v>
      </c>
      <c r="H17" s="15">
        <v>200</v>
      </c>
      <c r="I17" s="92">
        <v>722.56213115593823</v>
      </c>
      <c r="J17" s="93">
        <v>0.20826512644216974</v>
      </c>
      <c r="K17" s="15">
        <v>30</v>
      </c>
      <c r="L17" s="15">
        <v>350.4476828109523</v>
      </c>
      <c r="M17" s="15">
        <v>39.430678118825526</v>
      </c>
      <c r="N17" s="15">
        <v>66.408338116291901</v>
      </c>
      <c r="O17" s="15">
        <v>48.53119714204685</v>
      </c>
      <c r="P17" s="15">
        <v>12.222454630303524</v>
      </c>
      <c r="Q17" s="15">
        <v>5.6546863439415143</v>
      </c>
      <c r="R17" s="15">
        <v>5.6546863439415143</v>
      </c>
      <c r="S17" s="15">
        <v>0</v>
      </c>
      <c r="T17" s="15">
        <v>0</v>
      </c>
      <c r="U17" s="15">
        <v>42107.462820524685</v>
      </c>
      <c r="V17" s="15">
        <v>0</v>
      </c>
      <c r="W17" s="15">
        <v>0</v>
      </c>
      <c r="X17" s="15">
        <v>0</v>
      </c>
      <c r="Y17" s="15">
        <v>1021.207820595175</v>
      </c>
      <c r="Z17" s="15">
        <v>0</v>
      </c>
      <c r="AA17" s="15">
        <v>0</v>
      </c>
      <c r="AB17" s="15">
        <v>0</v>
      </c>
      <c r="AC17" s="15">
        <v>1021.207820595175</v>
      </c>
      <c r="AD17" s="15">
        <v>298.64568943923678</v>
      </c>
      <c r="AE17" s="15">
        <v>27.804601772173545</v>
      </c>
      <c r="AF17" s="15">
        <v>0</v>
      </c>
      <c r="AG17" s="15">
        <v>0</v>
      </c>
      <c r="AH17" s="15">
        <v>126.72468952892514</v>
      </c>
      <c r="AI17" s="15">
        <v>123.00035822944257</v>
      </c>
      <c r="AJ17" s="15">
        <v>21.116039908695459</v>
      </c>
      <c r="AK17" s="15">
        <v>0</v>
      </c>
      <c r="AL17" s="15">
        <v>0</v>
      </c>
      <c r="AM17" s="15">
        <v>0</v>
      </c>
      <c r="AN17" s="15">
        <v>0.29244359807701203</v>
      </c>
      <c r="AO17" s="15">
        <v>722.56213115593823</v>
      </c>
      <c r="AP17" s="15">
        <v>154.52929130109868</v>
      </c>
      <c r="AQ17" s="15">
        <v>27.804601772173545</v>
      </c>
      <c r="AR17" s="15">
        <v>0</v>
      </c>
      <c r="AS17" s="15">
        <v>0</v>
      </c>
      <c r="AT17" s="15">
        <v>126.72468952892514</v>
      </c>
      <c r="AU17" s="15">
        <v>518.51733346235471</v>
      </c>
      <c r="AV17" s="15">
        <v>136.7772387678838</v>
      </c>
      <c r="AW17" s="15">
        <v>136.7772387678838</v>
      </c>
      <c r="AX17" s="15">
        <v>0</v>
      </c>
      <c r="AY17" s="15">
        <v>0</v>
      </c>
      <c r="AZ17" s="15">
        <v>251.07247416414486</v>
      </c>
      <c r="BA17" s="15">
        <v>82.718698010625445</v>
      </c>
      <c r="BB17" s="15">
        <v>70.147406730633094</v>
      </c>
      <c r="BC17" s="15">
        <v>98.206369422886326</v>
      </c>
      <c r="BD17" s="15">
        <v>0</v>
      </c>
      <c r="BE17" s="15">
        <v>130.66762053032608</v>
      </c>
      <c r="BF17" s="15">
        <v>45.292802650542512</v>
      </c>
      <c r="BG17" s="15">
        <v>1.5831329762799129</v>
      </c>
      <c r="BH17" s="15">
        <v>83.791684903503651</v>
      </c>
      <c r="BI17" s="15">
        <v>0</v>
      </c>
      <c r="BJ17" s="15">
        <v>673.04662476345334</v>
      </c>
      <c r="BK17" s="15">
        <v>971.69231420269011</v>
      </c>
      <c r="BL17" s="15">
        <v>0.14735932351145775</v>
      </c>
      <c r="BM17" s="15">
        <v>0.20826512644216974</v>
      </c>
    </row>
    <row r="18" spans="1:65" x14ac:dyDescent="0.35">
      <c r="A18" s="15" t="s">
        <v>10778</v>
      </c>
      <c r="B18" s="15" t="s">
        <v>10454</v>
      </c>
      <c r="C18" s="15" t="s">
        <v>10562</v>
      </c>
      <c r="D18" s="15" t="s">
        <v>10326</v>
      </c>
      <c r="E18" s="15" t="s">
        <v>10785</v>
      </c>
      <c r="F18" s="15">
        <v>189318</v>
      </c>
      <c r="G18" s="15">
        <v>0.89712382167164706</v>
      </c>
      <c r="H18" s="15">
        <v>200</v>
      </c>
      <c r="I18" s="92">
        <v>671.11680877957656</v>
      </c>
      <c r="J18" s="93">
        <v>0.30546029017433096</v>
      </c>
      <c r="K18" s="15">
        <v>30</v>
      </c>
      <c r="L18" s="15">
        <v>394.82567338246838</v>
      </c>
      <c r="M18" s="15">
        <v>34.14329806828016</v>
      </c>
      <c r="N18" s="15">
        <v>66.408338116291901</v>
      </c>
      <c r="O18" s="15">
        <v>48.53119714204685</v>
      </c>
      <c r="P18" s="15">
        <v>12.222454630303524</v>
      </c>
      <c r="Q18" s="15">
        <v>5.6546863439415143</v>
      </c>
      <c r="R18" s="15">
        <v>5.6546863439415143</v>
      </c>
      <c r="S18" s="15">
        <v>0</v>
      </c>
      <c r="T18" s="15">
        <v>0</v>
      </c>
      <c r="U18" s="15">
        <v>42107.462820524685</v>
      </c>
      <c r="V18" s="15">
        <v>0</v>
      </c>
      <c r="W18" s="15">
        <v>0</v>
      </c>
      <c r="X18" s="15">
        <v>0</v>
      </c>
      <c r="Y18" s="15">
        <v>981.23128001995656</v>
      </c>
      <c r="Z18" s="15">
        <v>0</v>
      </c>
      <c r="AA18" s="15">
        <v>0</v>
      </c>
      <c r="AB18" s="15">
        <v>0</v>
      </c>
      <c r="AC18" s="15">
        <v>981.23128001995656</v>
      </c>
      <c r="AD18" s="15">
        <v>310.11447124038</v>
      </c>
      <c r="AE18" s="15">
        <v>29.759737368313584</v>
      </c>
      <c r="AF18" s="15">
        <v>0</v>
      </c>
      <c r="AG18" s="15">
        <v>0</v>
      </c>
      <c r="AH18" s="15">
        <v>134.99273317333598</v>
      </c>
      <c r="AI18" s="15">
        <v>123.00035822944257</v>
      </c>
      <c r="AJ18" s="15">
        <v>22.361642469287837</v>
      </c>
      <c r="AK18" s="15">
        <v>0</v>
      </c>
      <c r="AL18" s="15">
        <v>0</v>
      </c>
      <c r="AM18" s="15">
        <v>0</v>
      </c>
      <c r="AN18" s="15">
        <v>0.31604625489932692</v>
      </c>
      <c r="AO18" s="15">
        <v>671.11680877957656</v>
      </c>
      <c r="AP18" s="15">
        <v>164.75247054164956</v>
      </c>
      <c r="AQ18" s="15">
        <v>29.759737368313584</v>
      </c>
      <c r="AR18" s="15">
        <v>0</v>
      </c>
      <c r="AS18" s="15">
        <v>0</v>
      </c>
      <c r="AT18" s="15">
        <v>134.99273317333598</v>
      </c>
      <c r="AU18" s="15">
        <v>511.3638733886076</v>
      </c>
      <c r="AV18" s="15">
        <v>136.7772387678838</v>
      </c>
      <c r="AW18" s="15">
        <v>136.7772387678838</v>
      </c>
      <c r="AX18" s="15">
        <v>0</v>
      </c>
      <c r="AY18" s="15">
        <v>0</v>
      </c>
      <c r="AZ18" s="15">
        <v>251.07247416414486</v>
      </c>
      <c r="BA18" s="15">
        <v>82.718698010625445</v>
      </c>
      <c r="BB18" s="15">
        <v>70.147406730633094</v>
      </c>
      <c r="BC18" s="15">
        <v>98.206369422886326</v>
      </c>
      <c r="BD18" s="15">
        <v>0</v>
      </c>
      <c r="BE18" s="15">
        <v>123.51416045657895</v>
      </c>
      <c r="BF18" s="15">
        <v>42.782816659754047</v>
      </c>
      <c r="BG18" s="15">
        <v>1.5831329762799129</v>
      </c>
      <c r="BH18" s="15">
        <v>79.148210820544989</v>
      </c>
      <c r="BI18" s="15">
        <v>0</v>
      </c>
      <c r="BJ18" s="15">
        <v>676.11634393025713</v>
      </c>
      <c r="BK18" s="15">
        <v>986.23081517063713</v>
      </c>
      <c r="BL18" s="15">
        <v>0.20892070944427202</v>
      </c>
      <c r="BM18" s="15">
        <v>0.30546029017433096</v>
      </c>
    </row>
    <row r="19" spans="1:65" s="56" customFormat="1" x14ac:dyDescent="0.35">
      <c r="A19" s="55" t="s">
        <v>10778</v>
      </c>
      <c r="B19" s="55" t="s">
        <v>10454</v>
      </c>
      <c r="C19" s="55" t="s">
        <v>10775</v>
      </c>
      <c r="D19" s="55" t="s">
        <v>10323</v>
      </c>
      <c r="E19" s="55" t="s">
        <v>10786</v>
      </c>
      <c r="F19" s="55">
        <v>189318</v>
      </c>
      <c r="G19" s="55">
        <v>0.89712382167164706</v>
      </c>
      <c r="H19" s="55">
        <v>200</v>
      </c>
      <c r="I19" s="55">
        <v>383.1253517223621</v>
      </c>
      <c r="J19" s="94">
        <v>0.39243991508942616</v>
      </c>
      <c r="K19" s="55">
        <v>30</v>
      </c>
      <c r="L19" s="55">
        <v>129.970575682646</v>
      </c>
      <c r="M19" s="55">
        <v>21.511738204032913</v>
      </c>
      <c r="N19" s="55">
        <v>66.408338116291901</v>
      </c>
      <c r="O19" s="55">
        <v>9.3316996721013332</v>
      </c>
      <c r="P19" s="55">
        <v>26.800745055282508</v>
      </c>
      <c r="Q19" s="55">
        <v>30.275893388908067</v>
      </c>
      <c r="R19" s="55">
        <v>5.2960649647742803</v>
      </c>
      <c r="S19" s="55">
        <v>13.056211315353574</v>
      </c>
      <c r="T19" s="55">
        <v>11.92361710878021</v>
      </c>
      <c r="U19" s="55">
        <v>0</v>
      </c>
      <c r="V19" s="55">
        <v>0</v>
      </c>
      <c r="W19" s="55">
        <v>0</v>
      </c>
      <c r="X19" s="55">
        <v>0</v>
      </c>
      <c r="Y19" s="55">
        <v>486.48452963577546</v>
      </c>
      <c r="Z19" s="55">
        <v>0</v>
      </c>
      <c r="AA19" s="55">
        <v>0</v>
      </c>
      <c r="AB19" s="55">
        <v>0</v>
      </c>
      <c r="AC19" s="55">
        <v>486.48452963577546</v>
      </c>
      <c r="AD19" s="55">
        <v>103.35917791341336</v>
      </c>
      <c r="AE19" s="55">
        <v>-17.459055886586672</v>
      </c>
      <c r="AF19" s="55">
        <v>0</v>
      </c>
      <c r="AG19" s="55">
        <v>0</v>
      </c>
      <c r="AH19" s="55">
        <v>0</v>
      </c>
      <c r="AI19" s="55">
        <v>101.46076875000003</v>
      </c>
      <c r="AJ19" s="55">
        <v>0</v>
      </c>
      <c r="AK19" s="55">
        <v>0</v>
      </c>
      <c r="AL19" s="55">
        <v>0</v>
      </c>
      <c r="AM19" s="55">
        <v>19.357465049999998</v>
      </c>
      <c r="AN19" s="55">
        <v>0.21246138698551631</v>
      </c>
      <c r="AO19" s="55">
        <v>383.1253517223621</v>
      </c>
      <c r="AP19" s="55">
        <v>0</v>
      </c>
      <c r="AQ19" s="55">
        <v>0</v>
      </c>
      <c r="AR19" s="55">
        <v>0</v>
      </c>
      <c r="AS19" s="55">
        <v>0</v>
      </c>
      <c r="AT19" s="55">
        <v>0</v>
      </c>
      <c r="AU19" s="55">
        <v>333.47903222089241</v>
      </c>
      <c r="AV19" s="55">
        <v>81.676115450503545</v>
      </c>
      <c r="AW19" s="55">
        <v>81.676115450503545</v>
      </c>
      <c r="AX19" s="55">
        <v>0</v>
      </c>
      <c r="AY19" s="55">
        <v>0</v>
      </c>
      <c r="AZ19" s="55">
        <v>173.95879336029816</v>
      </c>
      <c r="BA19" s="55">
        <v>76.930878417473096</v>
      </c>
      <c r="BB19" s="55">
        <v>40.42829789284378</v>
      </c>
      <c r="BC19" s="55">
        <v>56.599617049981291</v>
      </c>
      <c r="BD19" s="55">
        <v>0</v>
      </c>
      <c r="BE19" s="55">
        <v>77.844123410090688</v>
      </c>
      <c r="BF19" s="55">
        <v>26.797109509005391</v>
      </c>
      <c r="BG19" s="55">
        <v>1.4723613094253225</v>
      </c>
      <c r="BH19" s="55">
        <v>49.574652591659969</v>
      </c>
      <c r="BI19" s="55">
        <v>0</v>
      </c>
      <c r="BJ19" s="55">
        <v>333.47903222089241</v>
      </c>
      <c r="BK19" s="55">
        <v>436.83821013430577</v>
      </c>
      <c r="BL19" s="55">
        <v>0.30906158642104842</v>
      </c>
      <c r="BM19" s="55">
        <v>0.39243991508942616</v>
      </c>
    </row>
    <row r="20" spans="1:65" s="52" customFormat="1" x14ac:dyDescent="0.35">
      <c r="A20" s="51" t="s">
        <v>10778</v>
      </c>
      <c r="B20" s="51" t="s">
        <v>10777</v>
      </c>
      <c r="C20" s="51" t="s">
        <v>9780</v>
      </c>
      <c r="D20" s="51" t="s">
        <v>9780</v>
      </c>
      <c r="E20" s="51" t="s">
        <v>10011</v>
      </c>
      <c r="F20" s="51">
        <f>F19</f>
        <v>189318</v>
      </c>
      <c r="G20" s="51">
        <f>G19</f>
        <v>0.89712382167164706</v>
      </c>
      <c r="H20" s="51">
        <f>(H19*N19)/(N19)</f>
        <v>200</v>
      </c>
      <c r="I20" s="51">
        <f>(I19*N19)/(N19)</f>
        <v>383.1253517223621</v>
      </c>
      <c r="J20" s="95">
        <f>(J19*N19)/(N19)</f>
        <v>0.39243991508942616</v>
      </c>
      <c r="K20" s="51">
        <f t="shared" ref="K20:W20" si="1">K19</f>
        <v>30</v>
      </c>
      <c r="L20" s="51">
        <f t="shared" si="1"/>
        <v>129.970575682646</v>
      </c>
      <c r="M20" s="51">
        <f t="shared" si="1"/>
        <v>21.511738204032913</v>
      </c>
      <c r="N20" s="51">
        <f t="shared" si="1"/>
        <v>66.408338116291901</v>
      </c>
      <c r="O20" s="51">
        <f t="shared" si="1"/>
        <v>9.3316996721013332</v>
      </c>
      <c r="P20" s="51">
        <f t="shared" si="1"/>
        <v>26.800745055282508</v>
      </c>
      <c r="Q20" s="51">
        <f t="shared" si="1"/>
        <v>30.275893388908067</v>
      </c>
      <c r="R20" s="51">
        <f t="shared" si="1"/>
        <v>5.2960649647742803</v>
      </c>
      <c r="S20" s="51">
        <f t="shared" si="1"/>
        <v>13.056211315353574</v>
      </c>
      <c r="T20" s="51">
        <f t="shared" si="1"/>
        <v>11.92361710878021</v>
      </c>
      <c r="U20" s="51">
        <f t="shared" si="1"/>
        <v>0</v>
      </c>
      <c r="V20" s="51">
        <f t="shared" si="1"/>
        <v>0</v>
      </c>
      <c r="W20" s="51">
        <f t="shared" si="1"/>
        <v>0</v>
      </c>
      <c r="X20" s="51">
        <f>(X19*N19)/(N19)</f>
        <v>0</v>
      </c>
      <c r="Y20" s="51">
        <f>(Y19*N19)/(N19)</f>
        <v>486.48452963577546</v>
      </c>
      <c r="Z20" s="51">
        <f>(Z19*N19)/(N19)</f>
        <v>0</v>
      </c>
      <c r="AA20" s="51">
        <f>(AA19*N19)/(N19)</f>
        <v>0</v>
      </c>
      <c r="AB20" s="51">
        <f>(AB19*N19)/(N19)</f>
        <v>0</v>
      </c>
      <c r="AC20" s="51">
        <f>(AC19*N19)/(N19)</f>
        <v>486.48452963577546</v>
      </c>
      <c r="AD20" s="51">
        <f>(AD19*N19)/(N19)</f>
        <v>103.35917791341336</v>
      </c>
      <c r="AE20" s="51">
        <f>(AE19*N19)/(N19)</f>
        <v>-17.459055886586672</v>
      </c>
      <c r="AF20" s="51">
        <f>(AF19*N19)/(N19)</f>
        <v>0</v>
      </c>
      <c r="AG20" s="51">
        <f>(AG19*N19)/(N19)</f>
        <v>0</v>
      </c>
      <c r="AH20" s="51">
        <f>(AH19*N19)/(N19)</f>
        <v>0</v>
      </c>
      <c r="AI20" s="51">
        <f>(AI19*N19)/(N19)</f>
        <v>101.46076875000003</v>
      </c>
      <c r="AJ20" s="51">
        <f>(AJ19*N19)/(N19)</f>
        <v>0</v>
      </c>
      <c r="AK20" s="51">
        <f>(AK19*N19)/(N19)</f>
        <v>0</v>
      </c>
      <c r="AL20" s="51">
        <f>(AL19*N19)/(N19)</f>
        <v>0</v>
      </c>
      <c r="AM20" s="51">
        <f>(AM19*N19)/(N19)</f>
        <v>19.357465049999998</v>
      </c>
      <c r="AN20" s="51">
        <f>(AN19*N19)/(N19)</f>
        <v>0.21246138698551631</v>
      </c>
      <c r="AO20" s="51">
        <f>(AO19*N19)/(N19)</f>
        <v>383.1253517223621</v>
      </c>
      <c r="AP20" s="51">
        <f>(AP19*N19)/(N19)</f>
        <v>0</v>
      </c>
      <c r="AQ20" s="51">
        <f>(AQ19*N19)/(N19)</f>
        <v>0</v>
      </c>
      <c r="AR20" s="51">
        <f>(AR19*N19)/(N19)</f>
        <v>0</v>
      </c>
      <c r="AS20" s="51">
        <f>(AS19*N19)/(N19)</f>
        <v>0</v>
      </c>
      <c r="AT20" s="51">
        <f>(AT19*N19)/(N19)</f>
        <v>0</v>
      </c>
      <c r="AU20" s="51">
        <f>(AU19*N19)/(N19)</f>
        <v>333.47903222089241</v>
      </c>
      <c r="AV20" s="51">
        <f>(AV19*N19)/(N19)</f>
        <v>81.676115450503545</v>
      </c>
      <c r="AW20" s="51">
        <f>(AW19*N19)/(N19)</f>
        <v>81.676115450503545</v>
      </c>
      <c r="AX20" s="51">
        <f>(AX19*N19)/(N19)</f>
        <v>0</v>
      </c>
      <c r="AY20" s="51">
        <f>(AY19*N19)/(N19)</f>
        <v>0</v>
      </c>
      <c r="AZ20" s="51">
        <f>(AZ19*N19)/(N19)</f>
        <v>173.95879336029816</v>
      </c>
      <c r="BA20" s="51">
        <f>(BA19*N19)/(N19)</f>
        <v>76.930878417473096</v>
      </c>
      <c r="BB20" s="51">
        <f>(BB19*N19)/(N19)</f>
        <v>40.42829789284378</v>
      </c>
      <c r="BC20" s="51">
        <f>(BC19*N19)/(N19)</f>
        <v>56.599617049981291</v>
      </c>
      <c r="BD20" s="51">
        <f>(BD19*N19)/(N19)</f>
        <v>0</v>
      </c>
      <c r="BE20" s="51">
        <f>(BE19*N19)/(N19)</f>
        <v>77.844123410090688</v>
      </c>
      <c r="BF20" s="51">
        <f>(BF19*N19)/(N19)</f>
        <v>26.797109509005391</v>
      </c>
      <c r="BG20" s="51">
        <f>(BG19*N19)/(N19)</f>
        <v>1.4723613094253225</v>
      </c>
      <c r="BH20" s="51">
        <f>(BH19*N19)/(N19)</f>
        <v>49.574652591659969</v>
      </c>
      <c r="BI20" s="51">
        <f>(BI19*N19)/(N19)</f>
        <v>0</v>
      </c>
      <c r="BJ20" s="51">
        <f>(BJ19*N19)/(N19)</f>
        <v>333.47903222089241</v>
      </c>
      <c r="BK20" s="51">
        <f>(BK19*N19)/(N19)</f>
        <v>436.83821013430577</v>
      </c>
      <c r="BL20" s="51">
        <f>(BL19*N19)/(N19)</f>
        <v>0.30906158642104842</v>
      </c>
      <c r="BM20" s="51">
        <f>(BM19*N19)/(N19)</f>
        <v>0.39243991508942616</v>
      </c>
    </row>
    <row r="21" spans="1:65" x14ac:dyDescent="0.35">
      <c r="A21" s="15" t="s">
        <v>10787</v>
      </c>
      <c r="B21" s="15" t="s">
        <v>10454</v>
      </c>
      <c r="C21" s="15" t="s">
        <v>10562</v>
      </c>
      <c r="D21" s="15" t="s">
        <v>10320</v>
      </c>
      <c r="E21" s="15" t="s">
        <v>10788</v>
      </c>
      <c r="F21" s="15">
        <v>189318</v>
      </c>
      <c r="G21" s="15">
        <v>0.89712382167164706</v>
      </c>
      <c r="H21" s="15">
        <v>200</v>
      </c>
      <c r="I21" s="92">
        <v>413.27548370085162</v>
      </c>
      <c r="J21" s="93">
        <v>0.38176658889583548</v>
      </c>
      <c r="K21" s="15">
        <v>30</v>
      </c>
      <c r="L21" s="15">
        <v>137.63704881077552</v>
      </c>
      <c r="M21" s="15">
        <v>22.876188924481816</v>
      </c>
      <c r="N21" s="15">
        <v>66.408338116291901</v>
      </c>
      <c r="O21" s="15">
        <v>12.378148979017169</v>
      </c>
      <c r="P21" s="15">
        <v>25.712727445669707</v>
      </c>
      <c r="Q21" s="15">
        <v>28.317461691605022</v>
      </c>
      <c r="R21" s="15">
        <v>5.2960649647742803</v>
      </c>
      <c r="S21" s="15">
        <v>11.097779618050536</v>
      </c>
      <c r="T21" s="15">
        <v>11.92361710878021</v>
      </c>
      <c r="U21" s="15">
        <v>0</v>
      </c>
      <c r="V21" s="15">
        <v>8064.3363841547753</v>
      </c>
      <c r="W21" s="15">
        <v>0</v>
      </c>
      <c r="X21" s="15">
        <v>0</v>
      </c>
      <c r="Y21" s="15">
        <v>554.43095679431929</v>
      </c>
      <c r="Z21" s="15">
        <v>0</v>
      </c>
      <c r="AA21" s="15">
        <v>0</v>
      </c>
      <c r="AB21" s="15">
        <v>0</v>
      </c>
      <c r="AC21" s="15">
        <v>554.43095679431929</v>
      </c>
      <c r="AD21" s="15">
        <v>141.15547309346766</v>
      </c>
      <c r="AE21" s="15">
        <v>18.017536378206557</v>
      </c>
      <c r="AF21" s="15">
        <v>0</v>
      </c>
      <c r="AG21" s="15">
        <v>0</v>
      </c>
      <c r="AH21" s="15">
        <v>21.677167965261102</v>
      </c>
      <c r="AI21" s="15">
        <v>101.46076875000003</v>
      </c>
      <c r="AJ21" s="15">
        <v>0</v>
      </c>
      <c r="AK21" s="15">
        <v>0</v>
      </c>
      <c r="AL21" s="15">
        <v>0</v>
      </c>
      <c r="AM21" s="15">
        <v>0</v>
      </c>
      <c r="AN21" s="15">
        <v>0.25459522301860388</v>
      </c>
      <c r="AO21" s="15">
        <v>413.27548370085162</v>
      </c>
      <c r="AP21" s="15">
        <v>39.694704343467663</v>
      </c>
      <c r="AQ21" s="15">
        <v>18.017536378206557</v>
      </c>
      <c r="AR21" s="15">
        <v>0</v>
      </c>
      <c r="AS21" s="15">
        <v>0</v>
      </c>
      <c r="AT21" s="15">
        <v>21.677167965261102</v>
      </c>
      <c r="AU21" s="15">
        <v>331.35555104413447</v>
      </c>
      <c r="AV21" s="15">
        <v>61.280874999999995</v>
      </c>
      <c r="AW21" s="15">
        <v>61.280874999999995</v>
      </c>
      <c r="AX21" s="15">
        <v>0</v>
      </c>
      <c r="AY21" s="15">
        <v>0</v>
      </c>
      <c r="AZ21" s="15">
        <v>195.25239876046282</v>
      </c>
      <c r="BA21" s="15">
        <v>76.930878417473096</v>
      </c>
      <c r="BB21" s="15">
        <v>49.300633476245729</v>
      </c>
      <c r="BC21" s="15">
        <v>69.020886866744021</v>
      </c>
      <c r="BD21" s="15">
        <v>0</v>
      </c>
      <c r="BE21" s="15">
        <v>74.822277283671696</v>
      </c>
      <c r="BF21" s="15">
        <v>25.736812622542587</v>
      </c>
      <c r="BG21" s="15">
        <v>1.4723613094253225</v>
      </c>
      <c r="BH21" s="15">
        <v>47.613103351703778</v>
      </c>
      <c r="BI21" s="15">
        <v>0</v>
      </c>
      <c r="BJ21" s="15">
        <v>371.05025538760214</v>
      </c>
      <c r="BK21" s="15">
        <v>512.20572848106985</v>
      </c>
      <c r="BL21" s="15">
        <v>0.28457063905484858</v>
      </c>
      <c r="BM21" s="15">
        <v>0.38176658889583548</v>
      </c>
    </row>
    <row r="22" spans="1:65" x14ac:dyDescent="0.35">
      <c r="A22" s="15" t="s">
        <v>10787</v>
      </c>
      <c r="B22" s="15" t="s">
        <v>10454</v>
      </c>
      <c r="C22" s="15" t="s">
        <v>10562</v>
      </c>
      <c r="D22" s="15" t="s">
        <v>10321</v>
      </c>
      <c r="E22" s="15" t="s">
        <v>10789</v>
      </c>
      <c r="F22" s="15">
        <v>189318</v>
      </c>
      <c r="G22" s="15">
        <v>0.89712382167164706</v>
      </c>
      <c r="H22" s="15">
        <v>200</v>
      </c>
      <c r="I22" s="92">
        <v>538.47142586187294</v>
      </c>
      <c r="J22" s="93">
        <v>2.8102769720127482E-2</v>
      </c>
      <c r="K22" s="15">
        <v>30</v>
      </c>
      <c r="L22" s="15">
        <v>137.63704881077552</v>
      </c>
      <c r="M22" s="15">
        <v>22.876188924481816</v>
      </c>
      <c r="N22" s="15">
        <v>66.408338116291901</v>
      </c>
      <c r="O22" s="15">
        <v>12.378148979017169</v>
      </c>
      <c r="P22" s="15">
        <v>25.712727445669707</v>
      </c>
      <c r="Q22" s="15">
        <v>28.317461691605022</v>
      </c>
      <c r="R22" s="15">
        <v>5.2960649647742803</v>
      </c>
      <c r="S22" s="15">
        <v>11.097779618050536</v>
      </c>
      <c r="T22" s="15">
        <v>11.92361710878021</v>
      </c>
      <c r="U22" s="15">
        <v>0</v>
      </c>
      <c r="V22" s="15">
        <v>0</v>
      </c>
      <c r="W22" s="15">
        <v>2016.0840960386938</v>
      </c>
      <c r="X22" s="15">
        <v>0</v>
      </c>
      <c r="Y22" s="15">
        <v>554.43095679431929</v>
      </c>
      <c r="Z22" s="15">
        <v>0</v>
      </c>
      <c r="AA22" s="15">
        <v>0</v>
      </c>
      <c r="AB22" s="15">
        <v>0</v>
      </c>
      <c r="AC22" s="15">
        <v>554.43095679431929</v>
      </c>
      <c r="AD22" s="15">
        <v>15.959530932446341</v>
      </c>
      <c r="AE22" s="15">
        <v>-20.4734464764012</v>
      </c>
      <c r="AF22" s="15">
        <v>9.1322044563413307</v>
      </c>
      <c r="AG22" s="15">
        <v>-105.09326977403997</v>
      </c>
      <c r="AH22" s="15">
        <v>0</v>
      </c>
      <c r="AI22" s="15">
        <v>101.46076875000003</v>
      </c>
      <c r="AJ22" s="15">
        <v>0</v>
      </c>
      <c r="AK22" s="15">
        <v>30.93327397654615</v>
      </c>
      <c r="AL22" s="15">
        <v>0</v>
      </c>
      <c r="AM22" s="15">
        <v>0</v>
      </c>
      <c r="AN22" s="15">
        <v>2.87854253750967E-2</v>
      </c>
      <c r="AO22" s="15">
        <v>538.47142586187294</v>
      </c>
      <c r="AP22" s="15">
        <v>0</v>
      </c>
      <c r="AQ22" s="15">
        <v>0</v>
      </c>
      <c r="AR22" s="15">
        <v>0</v>
      </c>
      <c r="AS22" s="15">
        <v>0</v>
      </c>
      <c r="AT22" s="15">
        <v>0</v>
      </c>
      <c r="AU22" s="15">
        <v>353.60396434373786</v>
      </c>
      <c r="AV22" s="15">
        <v>61.280874999999995</v>
      </c>
      <c r="AW22" s="15">
        <v>61.280874999999995</v>
      </c>
      <c r="AX22" s="15">
        <v>0</v>
      </c>
      <c r="AY22" s="15">
        <v>0</v>
      </c>
      <c r="AZ22" s="15">
        <v>195.25239876046282</v>
      </c>
      <c r="BA22" s="15">
        <v>76.930878417473096</v>
      </c>
      <c r="BB22" s="15">
        <v>49.300633476245729</v>
      </c>
      <c r="BC22" s="15">
        <v>69.020886866744021</v>
      </c>
      <c r="BD22" s="15">
        <v>0</v>
      </c>
      <c r="BE22" s="15">
        <v>97.070690583275052</v>
      </c>
      <c r="BF22" s="15">
        <v>33.543273429420957</v>
      </c>
      <c r="BG22" s="15">
        <v>1.4723613094253225</v>
      </c>
      <c r="BH22" s="15">
        <v>62.055055844428772</v>
      </c>
      <c r="BI22" s="15">
        <v>0</v>
      </c>
      <c r="BJ22" s="15">
        <v>353.60396434373786</v>
      </c>
      <c r="BK22" s="15">
        <v>369.5634952761842</v>
      </c>
      <c r="BL22" s="15">
        <v>2.7293819539515225E-2</v>
      </c>
      <c r="BM22" s="15">
        <v>2.8102769720127482E-2</v>
      </c>
    </row>
    <row r="23" spans="1:65" x14ac:dyDescent="0.35">
      <c r="A23" s="15" t="s">
        <v>10787</v>
      </c>
      <c r="B23" s="15" t="s">
        <v>10454</v>
      </c>
      <c r="C23" s="15" t="s">
        <v>10562</v>
      </c>
      <c r="D23" s="15" t="s">
        <v>10322</v>
      </c>
      <c r="E23" s="15" t="s">
        <v>10790</v>
      </c>
      <c r="F23" s="15">
        <v>189318</v>
      </c>
      <c r="G23" s="15">
        <v>0.89712382167164706</v>
      </c>
      <c r="H23" s="15">
        <v>200</v>
      </c>
      <c r="I23" s="92">
        <v>438.77911195155332</v>
      </c>
      <c r="J23" s="93">
        <v>0.23052692762544447</v>
      </c>
      <c r="K23" s="15">
        <v>30</v>
      </c>
      <c r="L23" s="15">
        <v>137.63704881077552</v>
      </c>
      <c r="M23" s="15">
        <v>22.876188924481816</v>
      </c>
      <c r="N23" s="15">
        <v>66.408338116291901</v>
      </c>
      <c r="O23" s="15">
        <v>12.378148979017169</v>
      </c>
      <c r="P23" s="15">
        <v>25.712727445669707</v>
      </c>
      <c r="Q23" s="15">
        <v>28.317461691605022</v>
      </c>
      <c r="R23" s="15">
        <v>5.2960649647742803</v>
      </c>
      <c r="S23" s="15">
        <v>11.097779618050536</v>
      </c>
      <c r="T23" s="15">
        <v>11.92361710878021</v>
      </c>
      <c r="U23" s="15">
        <v>0</v>
      </c>
      <c r="V23" s="15">
        <v>0</v>
      </c>
      <c r="W23" s="15">
        <v>0</v>
      </c>
      <c r="X23" s="15">
        <v>2016084.0960386938</v>
      </c>
      <c r="Y23" s="15">
        <v>554.43095679431929</v>
      </c>
      <c r="Z23" s="15">
        <v>0</v>
      </c>
      <c r="AA23" s="15">
        <v>0</v>
      </c>
      <c r="AB23" s="15">
        <v>0</v>
      </c>
      <c r="AC23" s="15">
        <v>554.43095679431929</v>
      </c>
      <c r="AD23" s="15">
        <v>115.65184484276597</v>
      </c>
      <c r="AE23" s="15">
        <v>-20.4734464764012</v>
      </c>
      <c r="AF23" s="15">
        <v>0</v>
      </c>
      <c r="AG23" s="15">
        <v>0</v>
      </c>
      <c r="AH23" s="15">
        <v>0</v>
      </c>
      <c r="AI23" s="15">
        <v>101.46076875000003</v>
      </c>
      <c r="AJ23" s="15">
        <v>0</v>
      </c>
      <c r="AK23" s="15">
        <v>34.664522569167161</v>
      </c>
      <c r="AL23" s="15">
        <v>0</v>
      </c>
      <c r="AM23" s="15">
        <v>0</v>
      </c>
      <c r="AN23" s="15">
        <v>0.20859557610465473</v>
      </c>
      <c r="AO23" s="15">
        <v>438.77911195155332</v>
      </c>
      <c r="AP23" s="15">
        <v>0</v>
      </c>
      <c r="AQ23" s="15">
        <v>0</v>
      </c>
      <c r="AR23" s="15">
        <v>0</v>
      </c>
      <c r="AS23" s="15">
        <v>0</v>
      </c>
      <c r="AT23" s="15">
        <v>0</v>
      </c>
      <c r="AU23" s="15">
        <v>339.92951253596584</v>
      </c>
      <c r="AV23" s="15">
        <v>61.280874999999995</v>
      </c>
      <c r="AW23" s="15">
        <v>61.280874999999995</v>
      </c>
      <c r="AX23" s="15">
        <v>0</v>
      </c>
      <c r="AY23" s="15">
        <v>0</v>
      </c>
      <c r="AZ23" s="15">
        <v>195.25239876046282</v>
      </c>
      <c r="BA23" s="15">
        <v>76.930878417473096</v>
      </c>
      <c r="BB23" s="15">
        <v>49.300633476245729</v>
      </c>
      <c r="BC23" s="15">
        <v>69.020886866744021</v>
      </c>
      <c r="BD23" s="15">
        <v>0</v>
      </c>
      <c r="BE23" s="15">
        <v>83.396238775503008</v>
      </c>
      <c r="BF23" s="15">
        <v>28.745220163536029</v>
      </c>
      <c r="BG23" s="15">
        <v>1.4723613094253225</v>
      </c>
      <c r="BH23" s="15">
        <v>53.178657302541652</v>
      </c>
      <c r="BI23" s="15">
        <v>0</v>
      </c>
      <c r="BJ23" s="15">
        <v>339.92951253596584</v>
      </c>
      <c r="BK23" s="15">
        <v>455.58135737873181</v>
      </c>
      <c r="BL23" s="15">
        <v>0.18244003034977882</v>
      </c>
      <c r="BM23" s="15">
        <v>0.23052692762544447</v>
      </c>
    </row>
    <row r="24" spans="1:65" x14ac:dyDescent="0.35">
      <c r="A24" s="15" t="s">
        <v>10787</v>
      </c>
      <c r="B24" s="15" t="s">
        <v>10454</v>
      </c>
      <c r="C24" s="15" t="s">
        <v>10562</v>
      </c>
      <c r="D24" s="15" t="s">
        <v>10323</v>
      </c>
      <c r="E24" s="15" t="s">
        <v>10791</v>
      </c>
      <c r="F24" s="15">
        <v>189318</v>
      </c>
      <c r="G24" s="15">
        <v>0.89712382167164706</v>
      </c>
      <c r="H24" s="15">
        <v>200</v>
      </c>
      <c r="I24" s="92">
        <v>359.67053928565883</v>
      </c>
      <c r="J24" s="93">
        <v>0.34571055132414197</v>
      </c>
      <c r="K24" s="15">
        <v>30</v>
      </c>
      <c r="L24" s="15">
        <v>90.963912203230876</v>
      </c>
      <c r="M24" s="15">
        <v>19.362802333502334</v>
      </c>
      <c r="N24" s="15">
        <v>66.408338116291901</v>
      </c>
      <c r="O24" s="15">
        <v>9.3316996721013332</v>
      </c>
      <c r="P24" s="15">
        <v>26.800745055282508</v>
      </c>
      <c r="Q24" s="15">
        <v>30.275893388908067</v>
      </c>
      <c r="R24" s="15">
        <v>5.2960649647742803</v>
      </c>
      <c r="S24" s="15">
        <v>13.056211315353574</v>
      </c>
      <c r="T24" s="15">
        <v>11.92361710878021</v>
      </c>
      <c r="U24" s="15">
        <v>0</v>
      </c>
      <c r="V24" s="15">
        <v>0</v>
      </c>
      <c r="W24" s="15">
        <v>0</v>
      </c>
      <c r="X24" s="15">
        <v>0</v>
      </c>
      <c r="Y24" s="15">
        <v>443.67225214907216</v>
      </c>
      <c r="Z24" s="15">
        <v>0</v>
      </c>
      <c r="AA24" s="15">
        <v>0</v>
      </c>
      <c r="AB24" s="15">
        <v>0</v>
      </c>
      <c r="AC24" s="15">
        <v>443.67225214907216</v>
      </c>
      <c r="AD24" s="15">
        <v>84.001712863413331</v>
      </c>
      <c r="AE24" s="15">
        <v>-17.459055886586672</v>
      </c>
      <c r="AF24" s="15">
        <v>0</v>
      </c>
      <c r="AG24" s="15">
        <v>0</v>
      </c>
      <c r="AH24" s="15">
        <v>0</v>
      </c>
      <c r="AI24" s="15">
        <v>101.46076875000003</v>
      </c>
      <c r="AJ24" s="15">
        <v>0</v>
      </c>
      <c r="AK24" s="15">
        <v>0</v>
      </c>
      <c r="AL24" s="15">
        <v>0</v>
      </c>
      <c r="AM24" s="15">
        <v>0</v>
      </c>
      <c r="AN24" s="15">
        <v>0.18933280694594595</v>
      </c>
      <c r="AO24" s="15">
        <v>359.67053928565883</v>
      </c>
      <c r="AP24" s="15">
        <v>0</v>
      </c>
      <c r="AQ24" s="15">
        <v>0</v>
      </c>
      <c r="AR24" s="15">
        <v>0</v>
      </c>
      <c r="AS24" s="15">
        <v>0</v>
      </c>
      <c r="AT24" s="15">
        <v>0</v>
      </c>
      <c r="AU24" s="15">
        <v>284.01243971715542</v>
      </c>
      <c r="AV24" s="15">
        <v>59.642499999999984</v>
      </c>
      <c r="AW24" s="15">
        <v>59.642499999999984</v>
      </c>
      <c r="AX24" s="15">
        <v>0</v>
      </c>
      <c r="AY24" s="15">
        <v>0</v>
      </c>
      <c r="AZ24" s="15">
        <v>157.18636701264873</v>
      </c>
      <c r="BA24" s="15">
        <v>76.930878417473096</v>
      </c>
      <c r="BB24" s="15">
        <v>33.439786914656516</v>
      </c>
      <c r="BC24" s="15">
        <v>46.815701680519119</v>
      </c>
      <c r="BD24" s="15">
        <v>0</v>
      </c>
      <c r="BE24" s="15">
        <v>67.183572704506716</v>
      </c>
      <c r="BF24" s="15">
        <v>23.056565401782947</v>
      </c>
      <c r="BG24" s="15">
        <v>1.4723613094253225</v>
      </c>
      <c r="BH24" s="15">
        <v>42.654645993298445</v>
      </c>
      <c r="BI24" s="15">
        <v>0</v>
      </c>
      <c r="BJ24" s="15">
        <v>284.01243971715542</v>
      </c>
      <c r="BK24" s="15">
        <v>368.01415258056875</v>
      </c>
      <c r="BL24" s="15">
        <v>0.2802562022511117</v>
      </c>
      <c r="BM24" s="15">
        <v>0.34571055132414197</v>
      </c>
    </row>
    <row r="25" spans="1:65" x14ac:dyDescent="0.35">
      <c r="A25" s="15" t="s">
        <v>10787</v>
      </c>
      <c r="B25" s="15" t="s">
        <v>10454</v>
      </c>
      <c r="C25" s="15" t="s">
        <v>10562</v>
      </c>
      <c r="D25" s="15" t="s">
        <v>10324</v>
      </c>
      <c r="E25" s="15" t="s">
        <v>10792</v>
      </c>
      <c r="F25" s="15">
        <v>189318</v>
      </c>
      <c r="G25" s="15">
        <v>0.89712382167164706</v>
      </c>
      <c r="H25" s="15">
        <v>200</v>
      </c>
      <c r="I25" s="92">
        <v>477.49174884660829</v>
      </c>
      <c r="J25" s="93">
        <v>5.8372645420016231E-2</v>
      </c>
      <c r="K25" s="15">
        <v>30</v>
      </c>
      <c r="L25" s="15">
        <v>159.64273532097735</v>
      </c>
      <c r="M25" s="15">
        <v>22.076036174481935</v>
      </c>
      <c r="N25" s="15">
        <v>66.408338116291901</v>
      </c>
      <c r="O25" s="15">
        <v>14.881942551015719</v>
      </c>
      <c r="P25" s="15">
        <v>23.230964839841235</v>
      </c>
      <c r="Q25" s="15">
        <v>28.295430725434947</v>
      </c>
      <c r="R25" s="15">
        <v>5.2960649647742803</v>
      </c>
      <c r="S25" s="15">
        <v>0</v>
      </c>
      <c r="T25" s="15">
        <v>22.999365760660666</v>
      </c>
      <c r="U25" s="15">
        <v>0</v>
      </c>
      <c r="V25" s="15">
        <v>0</v>
      </c>
      <c r="W25" s="15">
        <v>0</v>
      </c>
      <c r="X25" s="15">
        <v>0</v>
      </c>
      <c r="Y25" s="15">
        <v>561.19827434182275</v>
      </c>
      <c r="Z25" s="15">
        <v>0</v>
      </c>
      <c r="AA25" s="15">
        <v>0</v>
      </c>
      <c r="AB25" s="15">
        <v>0</v>
      </c>
      <c r="AC25" s="15">
        <v>561.19827434182275</v>
      </c>
      <c r="AD25" s="15">
        <v>83.706525495214464</v>
      </c>
      <c r="AE25" s="15">
        <v>-17.754243254785539</v>
      </c>
      <c r="AF25" s="15">
        <v>0</v>
      </c>
      <c r="AG25" s="15">
        <v>0</v>
      </c>
      <c r="AH25" s="15">
        <v>0</v>
      </c>
      <c r="AI25" s="15">
        <v>101.46076875000003</v>
      </c>
      <c r="AJ25" s="15">
        <v>0</v>
      </c>
      <c r="AK25" s="15">
        <v>0</v>
      </c>
      <c r="AL25" s="15">
        <v>0</v>
      </c>
      <c r="AM25" s="15">
        <v>0</v>
      </c>
      <c r="AN25" s="15">
        <v>0.14915677635214766</v>
      </c>
      <c r="AO25" s="15">
        <v>477.49174884660829</v>
      </c>
      <c r="AP25" s="15">
        <v>0</v>
      </c>
      <c r="AQ25" s="15">
        <v>0</v>
      </c>
      <c r="AR25" s="15">
        <v>0</v>
      </c>
      <c r="AS25" s="15">
        <v>0</v>
      </c>
      <c r="AT25" s="15">
        <v>0</v>
      </c>
      <c r="AU25" s="15">
        <v>305.36420539301474</v>
      </c>
      <c r="AV25" s="15">
        <v>65.018000000000001</v>
      </c>
      <c r="AW25" s="15">
        <v>65.018000000000001</v>
      </c>
      <c r="AX25" s="15">
        <v>0</v>
      </c>
      <c r="AY25" s="15">
        <v>0</v>
      </c>
      <c r="AZ25" s="15">
        <v>156.37311032607272</v>
      </c>
      <c r="BA25" s="15">
        <v>76.930878417473096</v>
      </c>
      <c r="BB25" s="15">
        <v>33.100929961916506</v>
      </c>
      <c r="BC25" s="15">
        <v>46.34130194668311</v>
      </c>
      <c r="BD25" s="15">
        <v>0</v>
      </c>
      <c r="BE25" s="15">
        <v>83.973095066942022</v>
      </c>
      <c r="BF25" s="15">
        <v>28.947625879830419</v>
      </c>
      <c r="BG25" s="15">
        <v>1.4723613094253225</v>
      </c>
      <c r="BH25" s="15">
        <v>53.553107877686273</v>
      </c>
      <c r="BI25" s="15">
        <v>0</v>
      </c>
      <c r="BJ25" s="15">
        <v>305.36420539301474</v>
      </c>
      <c r="BK25" s="15">
        <v>389.07073088822921</v>
      </c>
      <c r="BL25" s="15">
        <v>4.9665969802019656E-2</v>
      </c>
      <c r="BM25" s="15">
        <v>5.8372645420016231E-2</v>
      </c>
    </row>
    <row r="26" spans="1:65" x14ac:dyDescent="0.35">
      <c r="A26" s="15" t="s">
        <v>10787</v>
      </c>
      <c r="B26" s="15" t="s">
        <v>10454</v>
      </c>
      <c r="C26" s="15" t="s">
        <v>10562</v>
      </c>
      <c r="D26" s="15" t="s">
        <v>10325</v>
      </c>
      <c r="E26" s="15" t="s">
        <v>10793</v>
      </c>
      <c r="F26" s="15">
        <v>189318</v>
      </c>
      <c r="G26" s="15">
        <v>0.89712382167164706</v>
      </c>
      <c r="H26" s="15">
        <v>200</v>
      </c>
      <c r="I26" s="92">
        <v>685.41559534269038</v>
      </c>
      <c r="J26" s="93">
        <v>0.1716031570093611</v>
      </c>
      <c r="K26" s="15">
        <v>30</v>
      </c>
      <c r="L26" s="15">
        <v>317.61724693729474</v>
      </c>
      <c r="M26" s="15">
        <v>36.777832482683955</v>
      </c>
      <c r="N26" s="15">
        <v>66.408338116291901</v>
      </c>
      <c r="O26" s="15">
        <v>48.53119714204685</v>
      </c>
      <c r="P26" s="15">
        <v>12.222454630303524</v>
      </c>
      <c r="Q26" s="15">
        <v>5.6546863439415143</v>
      </c>
      <c r="R26" s="15">
        <v>5.6546863439415143</v>
      </c>
      <c r="S26" s="15">
        <v>0</v>
      </c>
      <c r="T26" s="15">
        <v>0</v>
      </c>
      <c r="U26" s="15">
        <v>42107.462820524685</v>
      </c>
      <c r="V26" s="15">
        <v>0</v>
      </c>
      <c r="W26" s="15">
        <v>0</v>
      </c>
      <c r="X26" s="15">
        <v>0</v>
      </c>
      <c r="Y26" s="15">
        <v>984.3695112105994</v>
      </c>
      <c r="Z26" s="15">
        <v>0</v>
      </c>
      <c r="AA26" s="15">
        <v>0</v>
      </c>
      <c r="AB26" s="15">
        <v>0</v>
      </c>
      <c r="AC26" s="15">
        <v>984.3695112105994</v>
      </c>
      <c r="AD26" s="15">
        <v>298.95391586790902</v>
      </c>
      <c r="AE26" s="15">
        <v>29.728460137607389</v>
      </c>
      <c r="AF26" s="15">
        <v>0</v>
      </c>
      <c r="AG26" s="15">
        <v>0</v>
      </c>
      <c r="AH26" s="15">
        <v>134.86046536077828</v>
      </c>
      <c r="AI26" s="15">
        <v>123.00035822944257</v>
      </c>
      <c r="AJ26" s="15">
        <v>11.364632140080777</v>
      </c>
      <c r="AK26" s="15">
        <v>0</v>
      </c>
      <c r="AL26" s="15">
        <v>0</v>
      </c>
      <c r="AM26" s="15">
        <v>0</v>
      </c>
      <c r="AN26" s="15">
        <v>0.30370090952964285</v>
      </c>
      <c r="AO26" s="15">
        <v>685.41559534269038</v>
      </c>
      <c r="AP26" s="15">
        <v>164.58892549838566</v>
      </c>
      <c r="AQ26" s="15">
        <v>29.728460137607389</v>
      </c>
      <c r="AR26" s="15">
        <v>0</v>
      </c>
      <c r="AS26" s="15">
        <v>0</v>
      </c>
      <c r="AT26" s="15">
        <v>134.86046536077828</v>
      </c>
      <c r="AU26" s="15">
        <v>438.44614986856118</v>
      </c>
      <c r="AV26" s="15">
        <v>81.594999999999985</v>
      </c>
      <c r="AW26" s="15">
        <v>81.594999999999985</v>
      </c>
      <c r="AX26" s="15">
        <v>0</v>
      </c>
      <c r="AY26" s="15">
        <v>0</v>
      </c>
      <c r="AZ26" s="15">
        <v>238.44928342829087</v>
      </c>
      <c r="BA26" s="15">
        <v>82.718698010625445</v>
      </c>
      <c r="BB26" s="15">
        <v>64.887743924027248</v>
      </c>
      <c r="BC26" s="15">
        <v>90.842841493638147</v>
      </c>
      <c r="BD26" s="15">
        <v>0</v>
      </c>
      <c r="BE26" s="15">
        <v>118.40186644027037</v>
      </c>
      <c r="BF26" s="15">
        <v>40.989029285610684</v>
      </c>
      <c r="BG26" s="15">
        <v>1.5831329762799129</v>
      </c>
      <c r="BH26" s="15">
        <v>75.829704178379771</v>
      </c>
      <c r="BI26" s="15">
        <v>0</v>
      </c>
      <c r="BJ26" s="15">
        <v>603.03507536694678</v>
      </c>
      <c r="BK26" s="15">
        <v>901.9889912348558</v>
      </c>
      <c r="BL26" s="15">
        <v>0.11948712214746002</v>
      </c>
      <c r="BM26" s="15">
        <v>0.1716031570093611</v>
      </c>
    </row>
    <row r="27" spans="1:65" x14ac:dyDescent="0.35">
      <c r="A27" s="15" t="s">
        <v>10787</v>
      </c>
      <c r="B27" s="15" t="s">
        <v>10454</v>
      </c>
      <c r="C27" s="15" t="s">
        <v>10562</v>
      </c>
      <c r="D27" s="15" t="s">
        <v>10326</v>
      </c>
      <c r="E27" s="15" t="s">
        <v>10794</v>
      </c>
      <c r="F27" s="15">
        <v>189318</v>
      </c>
      <c r="G27" s="15">
        <v>0.89712382167164706</v>
      </c>
      <c r="H27" s="15">
        <v>200</v>
      </c>
      <c r="I27" s="92">
        <v>633.97027296632871</v>
      </c>
      <c r="J27" s="93">
        <v>0.27151828548996393</v>
      </c>
      <c r="K27" s="15">
        <v>30</v>
      </c>
      <c r="L27" s="15">
        <v>361.99523750881076</v>
      </c>
      <c r="M27" s="15">
        <v>31.490452432138586</v>
      </c>
      <c r="N27" s="15">
        <v>66.408338116291901</v>
      </c>
      <c r="O27" s="15">
        <v>48.53119714204685</v>
      </c>
      <c r="P27" s="15">
        <v>12.222454630303524</v>
      </c>
      <c r="Q27" s="15">
        <v>5.6546863439415143</v>
      </c>
      <c r="R27" s="15">
        <v>5.6546863439415143</v>
      </c>
      <c r="S27" s="15">
        <v>0</v>
      </c>
      <c r="T27" s="15">
        <v>0</v>
      </c>
      <c r="U27" s="15">
        <v>42107.462820524685</v>
      </c>
      <c r="V27" s="15">
        <v>0</v>
      </c>
      <c r="W27" s="15">
        <v>0</v>
      </c>
      <c r="X27" s="15">
        <v>0</v>
      </c>
      <c r="Y27" s="15">
        <v>944.39297063538095</v>
      </c>
      <c r="Z27" s="15">
        <v>0</v>
      </c>
      <c r="AA27" s="15">
        <v>0</v>
      </c>
      <c r="AB27" s="15">
        <v>0</v>
      </c>
      <c r="AC27" s="15">
        <v>944.39297063538095</v>
      </c>
      <c r="AD27" s="15">
        <v>310.42269766905224</v>
      </c>
      <c r="AE27" s="15">
        <v>31.683595733747442</v>
      </c>
      <c r="AF27" s="15">
        <v>0</v>
      </c>
      <c r="AG27" s="15">
        <v>0</v>
      </c>
      <c r="AH27" s="15">
        <v>143.12850900518916</v>
      </c>
      <c r="AI27" s="15">
        <v>123.00035822944257</v>
      </c>
      <c r="AJ27" s="15">
        <v>12.610234700673159</v>
      </c>
      <c r="AK27" s="15">
        <v>0</v>
      </c>
      <c r="AL27" s="15">
        <v>0</v>
      </c>
      <c r="AM27" s="15">
        <v>0</v>
      </c>
      <c r="AN27" s="15">
        <v>0.32870077109977008</v>
      </c>
      <c r="AO27" s="15">
        <v>633.97027296632871</v>
      </c>
      <c r="AP27" s="15">
        <v>174.8121047389366</v>
      </c>
      <c r="AQ27" s="15">
        <v>31.683595733747442</v>
      </c>
      <c r="AR27" s="15">
        <v>0</v>
      </c>
      <c r="AS27" s="15">
        <v>0</v>
      </c>
      <c r="AT27" s="15">
        <v>143.12850900518916</v>
      </c>
      <c r="AU27" s="15">
        <v>431.29268979481412</v>
      </c>
      <c r="AV27" s="15">
        <v>81.594999999999985</v>
      </c>
      <c r="AW27" s="15">
        <v>81.594999999999985</v>
      </c>
      <c r="AX27" s="15">
        <v>0</v>
      </c>
      <c r="AY27" s="15">
        <v>0</v>
      </c>
      <c r="AZ27" s="15">
        <v>238.44928342829087</v>
      </c>
      <c r="BA27" s="15">
        <v>82.718698010625445</v>
      </c>
      <c r="BB27" s="15">
        <v>64.887743924027248</v>
      </c>
      <c r="BC27" s="15">
        <v>90.842841493638147</v>
      </c>
      <c r="BD27" s="15">
        <v>0</v>
      </c>
      <c r="BE27" s="15">
        <v>111.24840636652326</v>
      </c>
      <c r="BF27" s="15">
        <v>38.479043294822226</v>
      </c>
      <c r="BG27" s="15">
        <v>1.5831329762799129</v>
      </c>
      <c r="BH27" s="15">
        <v>71.186230095421109</v>
      </c>
      <c r="BI27" s="15">
        <v>0</v>
      </c>
      <c r="BJ27" s="15">
        <v>606.10479453375069</v>
      </c>
      <c r="BK27" s="15">
        <v>916.52749220280293</v>
      </c>
      <c r="BL27" s="15">
        <v>0.18227001568172527</v>
      </c>
      <c r="BM27" s="15">
        <v>0.27151828548996393</v>
      </c>
    </row>
    <row r="28" spans="1:65" s="56" customFormat="1" x14ac:dyDescent="0.35">
      <c r="A28" s="55" t="s">
        <v>10787</v>
      </c>
      <c r="B28" s="55" t="s">
        <v>10454</v>
      </c>
      <c r="C28" s="55" t="s">
        <v>10775</v>
      </c>
      <c r="D28" s="55" t="s">
        <v>10323</v>
      </c>
      <c r="E28" s="55" t="s">
        <v>10795</v>
      </c>
      <c r="F28" s="55">
        <v>189318</v>
      </c>
      <c r="G28" s="55">
        <v>0.89712382167164706</v>
      </c>
      <c r="H28" s="55">
        <v>200</v>
      </c>
      <c r="I28" s="55">
        <v>359.67053928565883</v>
      </c>
      <c r="J28" s="94">
        <v>0.34571055132414197</v>
      </c>
      <c r="K28" s="55">
        <v>30</v>
      </c>
      <c r="L28" s="55">
        <v>90.963912203230876</v>
      </c>
      <c r="M28" s="55">
        <v>19.362802333502334</v>
      </c>
      <c r="N28" s="55">
        <v>66.408338116291901</v>
      </c>
      <c r="O28" s="55">
        <v>9.3316996721013332</v>
      </c>
      <c r="P28" s="55">
        <v>26.800745055282508</v>
      </c>
      <c r="Q28" s="55">
        <v>30.275893388908067</v>
      </c>
      <c r="R28" s="55">
        <v>5.2960649647742803</v>
      </c>
      <c r="S28" s="55">
        <v>13.056211315353574</v>
      </c>
      <c r="T28" s="55">
        <v>11.92361710878021</v>
      </c>
      <c r="U28" s="55">
        <v>0</v>
      </c>
      <c r="V28" s="55">
        <v>0</v>
      </c>
      <c r="W28" s="55">
        <v>0</v>
      </c>
      <c r="X28" s="55">
        <v>0</v>
      </c>
      <c r="Y28" s="55">
        <v>443.67225214907216</v>
      </c>
      <c r="Z28" s="55">
        <v>0</v>
      </c>
      <c r="AA28" s="55">
        <v>0</v>
      </c>
      <c r="AB28" s="55">
        <v>0</v>
      </c>
      <c r="AC28" s="55">
        <v>443.67225214907216</v>
      </c>
      <c r="AD28" s="55">
        <v>84.001712863413331</v>
      </c>
      <c r="AE28" s="55">
        <v>-17.459055886586672</v>
      </c>
      <c r="AF28" s="55">
        <v>0</v>
      </c>
      <c r="AG28" s="55">
        <v>0</v>
      </c>
      <c r="AH28" s="55">
        <v>0</v>
      </c>
      <c r="AI28" s="55">
        <v>101.46076875000003</v>
      </c>
      <c r="AJ28" s="55">
        <v>0</v>
      </c>
      <c r="AK28" s="55">
        <v>0</v>
      </c>
      <c r="AL28" s="55">
        <v>0</v>
      </c>
      <c r="AM28" s="55">
        <v>0</v>
      </c>
      <c r="AN28" s="55">
        <v>0.18933280694594595</v>
      </c>
      <c r="AO28" s="55">
        <v>359.67053928565883</v>
      </c>
      <c r="AP28" s="55">
        <v>0</v>
      </c>
      <c r="AQ28" s="55">
        <v>0</v>
      </c>
      <c r="AR28" s="55">
        <v>0</v>
      </c>
      <c r="AS28" s="55">
        <v>0</v>
      </c>
      <c r="AT28" s="55">
        <v>0</v>
      </c>
      <c r="AU28" s="55">
        <v>284.01243971715542</v>
      </c>
      <c r="AV28" s="55">
        <v>59.642499999999984</v>
      </c>
      <c r="AW28" s="55">
        <v>59.642499999999984</v>
      </c>
      <c r="AX28" s="55">
        <v>0</v>
      </c>
      <c r="AY28" s="55">
        <v>0</v>
      </c>
      <c r="AZ28" s="55">
        <v>157.18636701264873</v>
      </c>
      <c r="BA28" s="55">
        <v>76.930878417473096</v>
      </c>
      <c r="BB28" s="55">
        <v>33.439786914656516</v>
      </c>
      <c r="BC28" s="55">
        <v>46.815701680519119</v>
      </c>
      <c r="BD28" s="55">
        <v>0</v>
      </c>
      <c r="BE28" s="55">
        <v>67.183572704506716</v>
      </c>
      <c r="BF28" s="55">
        <v>23.056565401782947</v>
      </c>
      <c r="BG28" s="55">
        <v>1.4723613094253225</v>
      </c>
      <c r="BH28" s="55">
        <v>42.654645993298445</v>
      </c>
      <c r="BI28" s="55">
        <v>0</v>
      </c>
      <c r="BJ28" s="55">
        <v>284.01243971715542</v>
      </c>
      <c r="BK28" s="55">
        <v>368.01415258056875</v>
      </c>
      <c r="BL28" s="55">
        <v>0.2802562022511117</v>
      </c>
      <c r="BM28" s="55">
        <v>0.34571055132414197</v>
      </c>
    </row>
    <row r="29" spans="1:65" s="52" customFormat="1" x14ac:dyDescent="0.35">
      <c r="A29" s="51" t="s">
        <v>10787</v>
      </c>
      <c r="B29" s="51" t="s">
        <v>10777</v>
      </c>
      <c r="C29" s="51" t="s">
        <v>9780</v>
      </c>
      <c r="D29" s="51" t="s">
        <v>9780</v>
      </c>
      <c r="E29" s="51" t="s">
        <v>10012</v>
      </c>
      <c r="F29" s="51">
        <f>F28</f>
        <v>189318</v>
      </c>
      <c r="G29" s="51">
        <f>G28</f>
        <v>0.89712382167164706</v>
      </c>
      <c r="H29" s="51">
        <f>(H28*N28)/(N28)</f>
        <v>200</v>
      </c>
      <c r="I29" s="51">
        <f>(I28*N28)/(N28)</f>
        <v>359.67053928565883</v>
      </c>
      <c r="J29" s="95">
        <f>(J28*N28)/(N28)</f>
        <v>0.34571055132414197</v>
      </c>
      <c r="K29" s="51">
        <f t="shared" ref="K29:W29" si="2">K28</f>
        <v>30</v>
      </c>
      <c r="L29" s="51">
        <f t="shared" si="2"/>
        <v>90.963912203230876</v>
      </c>
      <c r="M29" s="51">
        <f t="shared" si="2"/>
        <v>19.362802333502334</v>
      </c>
      <c r="N29" s="51">
        <f t="shared" si="2"/>
        <v>66.408338116291901</v>
      </c>
      <c r="O29" s="51">
        <f t="shared" si="2"/>
        <v>9.3316996721013332</v>
      </c>
      <c r="P29" s="51">
        <f t="shared" si="2"/>
        <v>26.800745055282508</v>
      </c>
      <c r="Q29" s="51">
        <f t="shared" si="2"/>
        <v>30.275893388908067</v>
      </c>
      <c r="R29" s="51">
        <f t="shared" si="2"/>
        <v>5.2960649647742803</v>
      </c>
      <c r="S29" s="51">
        <f t="shared" si="2"/>
        <v>13.056211315353574</v>
      </c>
      <c r="T29" s="51">
        <f t="shared" si="2"/>
        <v>11.92361710878021</v>
      </c>
      <c r="U29" s="51">
        <f t="shared" si="2"/>
        <v>0</v>
      </c>
      <c r="V29" s="51">
        <f t="shared" si="2"/>
        <v>0</v>
      </c>
      <c r="W29" s="51">
        <f t="shared" si="2"/>
        <v>0</v>
      </c>
      <c r="X29" s="51">
        <f>(X28*N28)/(N28)</f>
        <v>0</v>
      </c>
      <c r="Y29" s="51">
        <f>(Y28*N28)/(N28)</f>
        <v>443.67225214907216</v>
      </c>
      <c r="Z29" s="51">
        <f>(Z28*N28)/(N28)</f>
        <v>0</v>
      </c>
      <c r="AA29" s="51">
        <f>(AA28*N28)/(N28)</f>
        <v>0</v>
      </c>
      <c r="AB29" s="51">
        <f>(AB28*N28)/(N28)</f>
        <v>0</v>
      </c>
      <c r="AC29" s="51">
        <f>(AC28*N28)/(N28)</f>
        <v>443.67225214907216</v>
      </c>
      <c r="AD29" s="51">
        <f>(AD28*N28)/(N28)</f>
        <v>84.001712863413331</v>
      </c>
      <c r="AE29" s="51">
        <f>(AE28*N28)/(N28)</f>
        <v>-17.459055886586672</v>
      </c>
      <c r="AF29" s="51">
        <f>(AF28*N28)/(N28)</f>
        <v>0</v>
      </c>
      <c r="AG29" s="51">
        <f>(AG28*N28)/(N28)</f>
        <v>0</v>
      </c>
      <c r="AH29" s="51">
        <f>(AH28*N28)/(N28)</f>
        <v>0</v>
      </c>
      <c r="AI29" s="51">
        <f>(AI28*N28)/(N28)</f>
        <v>101.46076875000003</v>
      </c>
      <c r="AJ29" s="51">
        <f>(AJ28*N28)/(N28)</f>
        <v>0</v>
      </c>
      <c r="AK29" s="51">
        <f>(AK28*N28)/(N28)</f>
        <v>0</v>
      </c>
      <c r="AL29" s="51">
        <f>(AL28*N28)/(N28)</f>
        <v>0</v>
      </c>
      <c r="AM29" s="51">
        <f>(AM28*N28)/(N28)</f>
        <v>0</v>
      </c>
      <c r="AN29" s="51">
        <f>(AN28*N28)/(N28)</f>
        <v>0.18933280694594595</v>
      </c>
      <c r="AO29" s="51">
        <f>(AO28*N28)/(N28)</f>
        <v>359.67053928565883</v>
      </c>
      <c r="AP29" s="51">
        <f>(AP28*N28)/(N28)</f>
        <v>0</v>
      </c>
      <c r="AQ29" s="51">
        <f>(AQ28*N28)/(N28)</f>
        <v>0</v>
      </c>
      <c r="AR29" s="51">
        <f>(AR28*N28)/(N28)</f>
        <v>0</v>
      </c>
      <c r="AS29" s="51">
        <f>(AS28*N28)/(N28)</f>
        <v>0</v>
      </c>
      <c r="AT29" s="51">
        <f>(AT28*N28)/(N28)</f>
        <v>0</v>
      </c>
      <c r="AU29" s="51">
        <f>(AU28*N28)/(N28)</f>
        <v>284.01243971715542</v>
      </c>
      <c r="AV29" s="51">
        <f>(AV28*N28)/(N28)</f>
        <v>59.642499999999984</v>
      </c>
      <c r="AW29" s="51">
        <f>(AW28*N28)/(N28)</f>
        <v>59.642499999999984</v>
      </c>
      <c r="AX29" s="51">
        <f>(AX28*N28)/(N28)</f>
        <v>0</v>
      </c>
      <c r="AY29" s="51">
        <f>(AY28*N28)/(N28)</f>
        <v>0</v>
      </c>
      <c r="AZ29" s="51">
        <f>(AZ28*N28)/(N28)</f>
        <v>157.18636701264873</v>
      </c>
      <c r="BA29" s="51">
        <f>(BA28*N28)/(N28)</f>
        <v>76.930878417473096</v>
      </c>
      <c r="BB29" s="51">
        <f>(BB28*N28)/(N28)</f>
        <v>33.439786914656516</v>
      </c>
      <c r="BC29" s="51">
        <f>(BC28*N28)/(N28)</f>
        <v>46.815701680519119</v>
      </c>
      <c r="BD29" s="51">
        <f>(BD28*N28)/(N28)</f>
        <v>0</v>
      </c>
      <c r="BE29" s="51">
        <f>(BE28*N28)/(N28)</f>
        <v>67.183572704506716</v>
      </c>
      <c r="BF29" s="51">
        <f>(BF28*N28)/(N28)</f>
        <v>23.056565401782947</v>
      </c>
      <c r="BG29" s="51">
        <f>(BG28*N28)/(N28)</f>
        <v>1.4723613094253225</v>
      </c>
      <c r="BH29" s="51">
        <f>(BH28*N28)/(N28)</f>
        <v>42.654645993298445</v>
      </c>
      <c r="BI29" s="51">
        <f>(BI28*N28)/(N28)</f>
        <v>0</v>
      </c>
      <c r="BJ29" s="51">
        <f>(BJ28*N28)/(N28)</f>
        <v>284.01243971715542</v>
      </c>
      <c r="BK29" s="51">
        <f>(BK28*N28)/(N28)</f>
        <v>368.01415258056875</v>
      </c>
      <c r="BL29" s="51">
        <f>(BL28*N28)/(N28)</f>
        <v>0.2802562022511117</v>
      </c>
      <c r="BM29" s="51">
        <f>(BM28*N28)/(N28)</f>
        <v>0.34571055132414197</v>
      </c>
    </row>
    <row r="30" spans="1:65" x14ac:dyDescent="0.35">
      <c r="A30" s="15" t="s">
        <v>10767</v>
      </c>
      <c r="B30" s="15" t="s">
        <v>10455</v>
      </c>
      <c r="C30" s="15" t="s">
        <v>10582</v>
      </c>
      <c r="D30" s="15" t="s">
        <v>10320</v>
      </c>
      <c r="E30" s="15" t="s">
        <v>10796</v>
      </c>
      <c r="F30" s="15">
        <v>187889</v>
      </c>
      <c r="G30" s="15">
        <v>0.89712274742220655</v>
      </c>
      <c r="H30" s="15">
        <v>200</v>
      </c>
      <c r="I30" s="92">
        <v>458.8619192777</v>
      </c>
      <c r="J30" s="93">
        <v>0.35861325578404402</v>
      </c>
      <c r="K30" s="15">
        <v>30</v>
      </c>
      <c r="L30" s="15">
        <v>175.56047311910999</v>
      </c>
      <c r="M30" s="15">
        <v>25.020825563937013</v>
      </c>
      <c r="N30" s="15">
        <v>65.906999331460824</v>
      </c>
      <c r="O30" s="15">
        <v>12.284702186887975</v>
      </c>
      <c r="P30" s="15">
        <v>25.518613454897487</v>
      </c>
      <c r="Q30" s="15">
        <v>28.103683689675371</v>
      </c>
      <c r="R30" s="15">
        <v>5.2560831966840018</v>
      </c>
      <c r="S30" s="15">
        <v>11.013998763027578</v>
      </c>
      <c r="T30" s="15">
        <v>11.833601729963794</v>
      </c>
      <c r="U30" s="15">
        <v>0</v>
      </c>
      <c r="V30" s="15">
        <v>8003.4560080155452</v>
      </c>
      <c r="W30" s="15">
        <v>0</v>
      </c>
      <c r="X30" s="15">
        <v>0</v>
      </c>
      <c r="Y30" s="15">
        <v>600.0173923711676</v>
      </c>
      <c r="Z30" s="15">
        <v>0</v>
      </c>
      <c r="AA30" s="15">
        <v>0</v>
      </c>
      <c r="AB30" s="15">
        <v>0</v>
      </c>
      <c r="AC30" s="15">
        <v>600.0173923711676</v>
      </c>
      <c r="AD30" s="15">
        <v>141.15547309346761</v>
      </c>
      <c r="AE30" s="15">
        <v>18.017536378206557</v>
      </c>
      <c r="AF30" s="15">
        <v>0</v>
      </c>
      <c r="AG30" s="15">
        <v>0</v>
      </c>
      <c r="AH30" s="15">
        <v>21.677167965261113</v>
      </c>
      <c r="AI30" s="15">
        <v>101.46076875</v>
      </c>
      <c r="AJ30" s="15">
        <v>0</v>
      </c>
      <c r="AK30" s="15">
        <v>0</v>
      </c>
      <c r="AL30" s="15">
        <v>0</v>
      </c>
      <c r="AM30" s="15">
        <v>0</v>
      </c>
      <c r="AN30" s="15">
        <v>0.23525230249684093</v>
      </c>
      <c r="AO30" s="15">
        <v>458.8619192777</v>
      </c>
      <c r="AP30" s="15">
        <v>39.69470434346767</v>
      </c>
      <c r="AQ30" s="15">
        <v>18.017536378206557</v>
      </c>
      <c r="AR30" s="15">
        <v>0</v>
      </c>
      <c r="AS30" s="15">
        <v>0</v>
      </c>
      <c r="AT30" s="15">
        <v>21.677167965261113</v>
      </c>
      <c r="AU30" s="15">
        <v>383.72118176172353</v>
      </c>
      <c r="AV30" s="15">
        <v>85.17934717469808</v>
      </c>
      <c r="AW30" s="15">
        <v>85.17934717469808</v>
      </c>
      <c r="AX30" s="15">
        <v>0</v>
      </c>
      <c r="AY30" s="15">
        <v>0</v>
      </c>
      <c r="AZ30" s="15">
        <v>212.56014152490951</v>
      </c>
      <c r="BA30" s="15">
        <v>76.930878417473082</v>
      </c>
      <c r="BB30" s="15">
        <v>56.51219296143185</v>
      </c>
      <c r="BC30" s="15">
        <v>79.117070146004579</v>
      </c>
      <c r="BD30" s="15">
        <v>0</v>
      </c>
      <c r="BE30" s="15">
        <v>85.981693062115966</v>
      </c>
      <c r="BF30" s="15">
        <v>29.652397106207243</v>
      </c>
      <c r="BG30" s="15">
        <v>1.4723613094253221</v>
      </c>
      <c r="BH30" s="15">
        <v>54.856934646483396</v>
      </c>
      <c r="BI30" s="15">
        <v>0</v>
      </c>
      <c r="BJ30" s="15">
        <v>423.41588610519119</v>
      </c>
      <c r="BK30" s="15">
        <v>564.5713591986588</v>
      </c>
      <c r="BL30" s="15">
        <v>0.27424866165495915</v>
      </c>
      <c r="BM30" s="15">
        <v>0.35861325578404402</v>
      </c>
    </row>
    <row r="31" spans="1:65" x14ac:dyDescent="0.35">
      <c r="A31" s="15" t="s">
        <v>10767</v>
      </c>
      <c r="B31" s="15" t="s">
        <v>10455</v>
      </c>
      <c r="C31" s="15" t="s">
        <v>10582</v>
      </c>
      <c r="D31" s="15" t="s">
        <v>10321</v>
      </c>
      <c r="E31" s="15" t="s">
        <v>10797</v>
      </c>
      <c r="F31" s="15">
        <v>187889</v>
      </c>
      <c r="G31" s="15">
        <v>0.89712274742220655</v>
      </c>
      <c r="H31" s="15">
        <v>200</v>
      </c>
      <c r="I31" s="92">
        <v>584.86392422812924</v>
      </c>
      <c r="J31" s="93">
        <v>3.6264314210147211E-2</v>
      </c>
      <c r="K31" s="15">
        <v>30</v>
      </c>
      <c r="L31" s="15">
        <v>175.56047311910999</v>
      </c>
      <c r="M31" s="15">
        <v>25.020825563937013</v>
      </c>
      <c r="N31" s="15">
        <v>65.906999331460824</v>
      </c>
      <c r="O31" s="15">
        <v>12.284702186887975</v>
      </c>
      <c r="P31" s="15">
        <v>25.518613454897487</v>
      </c>
      <c r="Q31" s="15">
        <v>28.103683689675371</v>
      </c>
      <c r="R31" s="15">
        <v>5.2560831966840018</v>
      </c>
      <c r="S31" s="15">
        <v>11.013998763027578</v>
      </c>
      <c r="T31" s="15">
        <v>11.833601729963794</v>
      </c>
      <c r="U31" s="15">
        <v>0</v>
      </c>
      <c r="V31" s="15">
        <v>0</v>
      </c>
      <c r="W31" s="15">
        <v>2000.8640020038863</v>
      </c>
      <c r="X31" s="15">
        <v>0</v>
      </c>
      <c r="Y31" s="15">
        <v>600.0173923711676</v>
      </c>
      <c r="Z31" s="15">
        <v>0</v>
      </c>
      <c r="AA31" s="15">
        <v>0</v>
      </c>
      <c r="AB31" s="15">
        <v>0</v>
      </c>
      <c r="AC31" s="15">
        <v>600.0173923711676</v>
      </c>
      <c r="AD31" s="15">
        <v>15.153468143038367</v>
      </c>
      <c r="AE31" s="15">
        <v>-20.473446476401197</v>
      </c>
      <c r="AF31" s="15">
        <v>9.2016709520308968</v>
      </c>
      <c r="AG31" s="15">
        <v>-105.89268914826249</v>
      </c>
      <c r="AH31" s="15">
        <v>0</v>
      </c>
      <c r="AI31" s="15">
        <v>101.46076875</v>
      </c>
      <c r="AJ31" s="15">
        <v>0</v>
      </c>
      <c r="AK31" s="15">
        <v>30.857164065671117</v>
      </c>
      <c r="AL31" s="15">
        <v>0</v>
      </c>
      <c r="AM31" s="15">
        <v>0</v>
      </c>
      <c r="AN31" s="15">
        <v>2.5255048163111429E-2</v>
      </c>
      <c r="AO31" s="15">
        <v>584.86392422812924</v>
      </c>
      <c r="AP31" s="15">
        <v>0</v>
      </c>
      <c r="AQ31" s="15">
        <v>0</v>
      </c>
      <c r="AR31" s="15">
        <v>0</v>
      </c>
      <c r="AS31" s="15">
        <v>0</v>
      </c>
      <c r="AT31" s="15">
        <v>0</v>
      </c>
      <c r="AU31" s="15">
        <v>406.07361334651785</v>
      </c>
      <c r="AV31" s="15">
        <v>85.17934717469808</v>
      </c>
      <c r="AW31" s="15">
        <v>85.17934717469808</v>
      </c>
      <c r="AX31" s="15">
        <v>0</v>
      </c>
      <c r="AY31" s="15">
        <v>0</v>
      </c>
      <c r="AZ31" s="15">
        <v>212.56014152490951</v>
      </c>
      <c r="BA31" s="15">
        <v>76.930878417473082</v>
      </c>
      <c r="BB31" s="15">
        <v>56.51219296143185</v>
      </c>
      <c r="BC31" s="15">
        <v>79.117070146004579</v>
      </c>
      <c r="BD31" s="15">
        <v>0</v>
      </c>
      <c r="BE31" s="15">
        <v>108.33412464691027</v>
      </c>
      <c r="BF31" s="15">
        <v>37.49535555701226</v>
      </c>
      <c r="BG31" s="15">
        <v>1.4723613094253221</v>
      </c>
      <c r="BH31" s="15">
        <v>69.366407780472684</v>
      </c>
      <c r="BI31" s="15">
        <v>0</v>
      </c>
      <c r="BJ31" s="15">
        <v>406.07361334651785</v>
      </c>
      <c r="BK31" s="15">
        <v>421.22708148955621</v>
      </c>
      <c r="BL31" s="15">
        <v>3.534845720816774E-2</v>
      </c>
      <c r="BM31" s="15">
        <v>3.6264314210147211E-2</v>
      </c>
    </row>
    <row r="32" spans="1:65" x14ac:dyDescent="0.35">
      <c r="A32" s="15" t="s">
        <v>10767</v>
      </c>
      <c r="B32" s="15" t="s">
        <v>10455</v>
      </c>
      <c r="C32" s="15" t="s">
        <v>10582</v>
      </c>
      <c r="D32" s="15" t="s">
        <v>10322</v>
      </c>
      <c r="E32" s="15" t="s">
        <v>10798</v>
      </c>
      <c r="F32" s="15">
        <v>187889</v>
      </c>
      <c r="G32" s="15">
        <v>0.89712274742220655</v>
      </c>
      <c r="H32" s="15">
        <v>200</v>
      </c>
      <c r="I32" s="92">
        <v>484.41327472341499</v>
      </c>
      <c r="J32" s="93">
        <v>0.22270625963282525</v>
      </c>
      <c r="K32" s="15">
        <v>30</v>
      </c>
      <c r="L32" s="15">
        <v>175.56047311910999</v>
      </c>
      <c r="M32" s="15">
        <v>25.020825563937013</v>
      </c>
      <c r="N32" s="15">
        <v>65.906999331460824</v>
      </c>
      <c r="O32" s="15">
        <v>12.284702186887975</v>
      </c>
      <c r="P32" s="15">
        <v>25.518613454897487</v>
      </c>
      <c r="Q32" s="15">
        <v>28.103683689675371</v>
      </c>
      <c r="R32" s="15">
        <v>5.2560831966840018</v>
      </c>
      <c r="S32" s="15">
        <v>11.013998763027578</v>
      </c>
      <c r="T32" s="15">
        <v>11.833601729963794</v>
      </c>
      <c r="U32" s="15">
        <v>0</v>
      </c>
      <c r="V32" s="15">
        <v>0</v>
      </c>
      <c r="W32" s="15">
        <v>0</v>
      </c>
      <c r="X32" s="15">
        <v>2000864.0020038863</v>
      </c>
      <c r="Y32" s="15">
        <v>600.0173923711676</v>
      </c>
      <c r="Z32" s="15">
        <v>0</v>
      </c>
      <c r="AA32" s="15">
        <v>0</v>
      </c>
      <c r="AB32" s="15">
        <v>0</v>
      </c>
      <c r="AC32" s="15">
        <v>600.0173923711676</v>
      </c>
      <c r="AD32" s="15">
        <v>115.60411764775262</v>
      </c>
      <c r="AE32" s="15">
        <v>-20.473446476401197</v>
      </c>
      <c r="AF32" s="15">
        <v>0</v>
      </c>
      <c r="AG32" s="15">
        <v>0</v>
      </c>
      <c r="AH32" s="15">
        <v>0</v>
      </c>
      <c r="AI32" s="15">
        <v>101.46076875</v>
      </c>
      <c r="AJ32" s="15">
        <v>0</v>
      </c>
      <c r="AK32" s="15">
        <v>34.616795374153916</v>
      </c>
      <c r="AL32" s="15">
        <v>0</v>
      </c>
      <c r="AM32" s="15">
        <v>0</v>
      </c>
      <c r="AN32" s="15">
        <v>0.19266794449224986</v>
      </c>
      <c r="AO32" s="15">
        <v>484.41327472341499</v>
      </c>
      <c r="AP32" s="15">
        <v>0</v>
      </c>
      <c r="AQ32" s="15">
        <v>0</v>
      </c>
      <c r="AR32" s="15">
        <v>0</v>
      </c>
      <c r="AS32" s="15">
        <v>0</v>
      </c>
      <c r="AT32" s="15">
        <v>0</v>
      </c>
      <c r="AU32" s="15">
        <v>392.2951432535549</v>
      </c>
      <c r="AV32" s="15">
        <v>85.17934717469808</v>
      </c>
      <c r="AW32" s="15">
        <v>85.17934717469808</v>
      </c>
      <c r="AX32" s="15">
        <v>0</v>
      </c>
      <c r="AY32" s="15">
        <v>0</v>
      </c>
      <c r="AZ32" s="15">
        <v>212.56014152490951</v>
      </c>
      <c r="BA32" s="15">
        <v>76.930878417473082</v>
      </c>
      <c r="BB32" s="15">
        <v>56.51219296143185</v>
      </c>
      <c r="BC32" s="15">
        <v>79.117070146004579</v>
      </c>
      <c r="BD32" s="15">
        <v>0</v>
      </c>
      <c r="BE32" s="15">
        <v>94.555654553947278</v>
      </c>
      <c r="BF32" s="15">
        <v>32.660804647200685</v>
      </c>
      <c r="BG32" s="15">
        <v>1.4723613094253221</v>
      </c>
      <c r="BH32" s="15">
        <v>60.422488597321262</v>
      </c>
      <c r="BI32" s="15">
        <v>0</v>
      </c>
      <c r="BJ32" s="15">
        <v>392.2951432535549</v>
      </c>
      <c r="BK32" s="15">
        <v>507.89926090130751</v>
      </c>
      <c r="BL32" s="15">
        <v>0.17979790236381149</v>
      </c>
      <c r="BM32" s="15">
        <v>0.22270625963282525</v>
      </c>
    </row>
    <row r="33" spans="1:65" x14ac:dyDescent="0.35">
      <c r="A33" s="15" t="s">
        <v>10767</v>
      </c>
      <c r="B33" s="15" t="s">
        <v>10455</v>
      </c>
      <c r="C33" s="15" t="s">
        <v>10582</v>
      </c>
      <c r="D33" s="15" t="s">
        <v>10323</v>
      </c>
      <c r="E33" s="15" t="s">
        <v>10799</v>
      </c>
      <c r="F33" s="15">
        <v>187889</v>
      </c>
      <c r="G33" s="15">
        <v>0.89712274742220655</v>
      </c>
      <c r="H33" s="15">
        <v>200</v>
      </c>
      <c r="I33" s="92">
        <v>404.8495357100993</v>
      </c>
      <c r="J33" s="93">
        <v>0.3206598518705015</v>
      </c>
      <c r="K33" s="15">
        <v>30</v>
      </c>
      <c r="L33" s="15">
        <v>129.57733553254852</v>
      </c>
      <c r="M33" s="15">
        <v>21.469614594072713</v>
      </c>
      <c r="N33" s="15">
        <v>65.906999331460824</v>
      </c>
      <c r="O33" s="15">
        <v>9.2612515460568758</v>
      </c>
      <c r="P33" s="15">
        <v>26.598417255194306</v>
      </c>
      <c r="Q33" s="15">
        <v>30.047330530209649</v>
      </c>
      <c r="R33" s="15">
        <v>5.2560831966840018</v>
      </c>
      <c r="S33" s="15">
        <v>12.957645603561854</v>
      </c>
      <c r="T33" s="15">
        <v>11.833601729963794</v>
      </c>
      <c r="U33" s="15">
        <v>0</v>
      </c>
      <c r="V33" s="15">
        <v>0</v>
      </c>
      <c r="W33" s="15">
        <v>0</v>
      </c>
      <c r="X33" s="15">
        <v>0</v>
      </c>
      <c r="Y33" s="15">
        <v>488.85124857351263</v>
      </c>
      <c r="Z33" s="15">
        <v>0</v>
      </c>
      <c r="AA33" s="15">
        <v>0</v>
      </c>
      <c r="AB33" s="15">
        <v>0</v>
      </c>
      <c r="AC33" s="15">
        <v>488.85124857351263</v>
      </c>
      <c r="AD33" s="15">
        <v>84.001712863413331</v>
      </c>
      <c r="AE33" s="15">
        <v>-17.459055886586672</v>
      </c>
      <c r="AF33" s="15">
        <v>0</v>
      </c>
      <c r="AG33" s="15">
        <v>0</v>
      </c>
      <c r="AH33" s="15">
        <v>0</v>
      </c>
      <c r="AI33" s="15">
        <v>101.46076875</v>
      </c>
      <c r="AJ33" s="15">
        <v>0</v>
      </c>
      <c r="AK33" s="15">
        <v>0</v>
      </c>
      <c r="AL33" s="15">
        <v>0</v>
      </c>
      <c r="AM33" s="15">
        <v>0</v>
      </c>
      <c r="AN33" s="15">
        <v>0.17183491523962283</v>
      </c>
      <c r="AO33" s="15">
        <v>404.8495357100993</v>
      </c>
      <c r="AP33" s="15">
        <v>0</v>
      </c>
      <c r="AQ33" s="15">
        <v>0</v>
      </c>
      <c r="AR33" s="15">
        <v>0</v>
      </c>
      <c r="AS33" s="15">
        <v>0</v>
      </c>
      <c r="AT33" s="15">
        <v>0</v>
      </c>
      <c r="AU33" s="15">
        <v>334.66852786074105</v>
      </c>
      <c r="AV33" s="15">
        <v>81.864767824120335</v>
      </c>
      <c r="AW33" s="15">
        <v>81.864767824120335</v>
      </c>
      <c r="AX33" s="15">
        <v>0</v>
      </c>
      <c r="AY33" s="15">
        <v>0</v>
      </c>
      <c r="AZ33" s="15">
        <v>174.57709689460276</v>
      </c>
      <c r="BA33" s="15">
        <v>76.930878417473082</v>
      </c>
      <c r="BB33" s="15">
        <v>40.685924365470704</v>
      </c>
      <c r="BC33" s="15">
        <v>56.960294111658982</v>
      </c>
      <c r="BD33" s="15">
        <v>0</v>
      </c>
      <c r="BE33" s="15">
        <v>78.226663142017941</v>
      </c>
      <c r="BF33" s="15">
        <v>26.931333976348288</v>
      </c>
      <c r="BG33" s="15">
        <v>1.4723613094253221</v>
      </c>
      <c r="BH33" s="15">
        <v>49.822967856244333</v>
      </c>
      <c r="BI33" s="15">
        <v>0</v>
      </c>
      <c r="BJ33" s="15">
        <v>334.66852786074105</v>
      </c>
      <c r="BK33" s="15">
        <v>418.67024072415438</v>
      </c>
      <c r="BL33" s="15">
        <v>0.26555929340358386</v>
      </c>
      <c r="BM33" s="15">
        <v>0.3206598518705015</v>
      </c>
    </row>
    <row r="34" spans="1:65" x14ac:dyDescent="0.35">
      <c r="A34" s="15" t="s">
        <v>10767</v>
      </c>
      <c r="B34" s="15" t="s">
        <v>10455</v>
      </c>
      <c r="C34" s="15" t="s">
        <v>10582</v>
      </c>
      <c r="D34" s="15" t="s">
        <v>10324</v>
      </c>
      <c r="E34" s="15" t="s">
        <v>10800</v>
      </c>
      <c r="F34" s="15">
        <v>187889</v>
      </c>
      <c r="G34" s="15">
        <v>0.89712274742220655</v>
      </c>
      <c r="H34" s="15">
        <v>200</v>
      </c>
      <c r="I34" s="92">
        <v>522.70696671113092</v>
      </c>
      <c r="J34" s="93">
        <v>7.3194551594033611E-2</v>
      </c>
      <c r="K34" s="15">
        <v>30</v>
      </c>
      <c r="L34" s="15">
        <v>196.37167594605947</v>
      </c>
      <c r="M34" s="15">
        <v>24.312508837763932</v>
      </c>
      <c r="N34" s="15">
        <v>65.906999331460824</v>
      </c>
      <c r="O34" s="15">
        <v>14.769593782682044</v>
      </c>
      <c r="P34" s="15">
        <v>23.055586506131625</v>
      </c>
      <c r="Q34" s="15">
        <v>28.081819042647162</v>
      </c>
      <c r="R34" s="15">
        <v>5.2560831966840018</v>
      </c>
      <c r="S34" s="15">
        <v>0</v>
      </c>
      <c r="T34" s="15">
        <v>22.825735845963166</v>
      </c>
      <c r="U34" s="15">
        <v>0</v>
      </c>
      <c r="V34" s="15">
        <v>0</v>
      </c>
      <c r="W34" s="15">
        <v>0</v>
      </c>
      <c r="X34" s="15">
        <v>0</v>
      </c>
      <c r="Y34" s="15">
        <v>606.37125780591555</v>
      </c>
      <c r="Z34" s="15">
        <v>0</v>
      </c>
      <c r="AA34" s="15">
        <v>0</v>
      </c>
      <c r="AB34" s="15">
        <v>0</v>
      </c>
      <c r="AC34" s="15">
        <v>606.37125780591555</v>
      </c>
      <c r="AD34" s="15">
        <v>83.66429109478463</v>
      </c>
      <c r="AE34" s="15">
        <v>-17.796477655215423</v>
      </c>
      <c r="AF34" s="15">
        <v>0</v>
      </c>
      <c r="AG34" s="15">
        <v>0</v>
      </c>
      <c r="AH34" s="15">
        <v>0</v>
      </c>
      <c r="AI34" s="15">
        <v>101.46076875</v>
      </c>
      <c r="AJ34" s="15">
        <v>0</v>
      </c>
      <c r="AK34" s="15">
        <v>0</v>
      </c>
      <c r="AL34" s="15">
        <v>0</v>
      </c>
      <c r="AM34" s="15">
        <v>0</v>
      </c>
      <c r="AN34" s="15">
        <v>0.13797535753510848</v>
      </c>
      <c r="AO34" s="15">
        <v>522.70696671113092</v>
      </c>
      <c r="AP34" s="15">
        <v>0</v>
      </c>
      <c r="AQ34" s="15">
        <v>0</v>
      </c>
      <c r="AR34" s="15">
        <v>0</v>
      </c>
      <c r="AS34" s="15">
        <v>0</v>
      </c>
      <c r="AT34" s="15">
        <v>0</v>
      </c>
      <c r="AU34" s="15">
        <v>360.9662687546296</v>
      </c>
      <c r="AV34" s="15">
        <v>93.181953462820005</v>
      </c>
      <c r="AW34" s="15">
        <v>93.181953462820005</v>
      </c>
      <c r="AX34" s="15">
        <v>0</v>
      </c>
      <c r="AY34" s="15">
        <v>0</v>
      </c>
      <c r="AZ34" s="15">
        <v>172.56000944928161</v>
      </c>
      <c r="BA34" s="15">
        <v>76.930878417473082</v>
      </c>
      <c r="BB34" s="15">
        <v>39.845471263253557</v>
      </c>
      <c r="BC34" s="15">
        <v>55.783659768554976</v>
      </c>
      <c r="BD34" s="15">
        <v>0</v>
      </c>
      <c r="BE34" s="15">
        <v>95.224305842527968</v>
      </c>
      <c r="BF34" s="15">
        <v>32.895419134421978</v>
      </c>
      <c r="BG34" s="15">
        <v>1.4723613094253221</v>
      </c>
      <c r="BH34" s="15">
        <v>60.85652539868066</v>
      </c>
      <c r="BI34" s="15">
        <v>0</v>
      </c>
      <c r="BJ34" s="15">
        <v>360.9662687546296</v>
      </c>
      <c r="BK34" s="15">
        <v>444.63055984941423</v>
      </c>
      <c r="BL34" s="15">
        <v>6.3095507168224874E-2</v>
      </c>
      <c r="BM34" s="15">
        <v>7.3194551594033611E-2</v>
      </c>
    </row>
    <row r="35" spans="1:65" x14ac:dyDescent="0.35">
      <c r="A35" s="15" t="s">
        <v>10767</v>
      </c>
      <c r="B35" s="15" t="s">
        <v>10455</v>
      </c>
      <c r="C35" s="15" t="s">
        <v>10582</v>
      </c>
      <c r="D35" s="15" t="s">
        <v>10325</v>
      </c>
      <c r="E35" s="15" t="s">
        <v>10801</v>
      </c>
      <c r="F35" s="15">
        <v>187889</v>
      </c>
      <c r="G35" s="15">
        <v>0.89712274742220655</v>
      </c>
      <c r="H35" s="15">
        <v>200</v>
      </c>
      <c r="I35" s="92">
        <v>737.37536971085535</v>
      </c>
      <c r="J35" s="93">
        <v>0.18704157874685412</v>
      </c>
      <c r="K35" s="15">
        <v>30</v>
      </c>
      <c r="L35" s="15">
        <v>348.47501527205617</v>
      </c>
      <c r="M35" s="15">
        <v>39.331121829617622</v>
      </c>
      <c r="N35" s="15">
        <v>65.906999331460824</v>
      </c>
      <c r="O35" s="15">
        <v>48.164818881549159</v>
      </c>
      <c r="P35" s="15">
        <v>12.130183226955371</v>
      </c>
      <c r="Q35" s="15">
        <v>5.6119972229563118</v>
      </c>
      <c r="R35" s="15">
        <v>5.6119972229563118</v>
      </c>
      <c r="S35" s="15">
        <v>0</v>
      </c>
      <c r="T35" s="15">
        <v>0</v>
      </c>
      <c r="U35" s="15">
        <v>41789.579481751876</v>
      </c>
      <c r="V35" s="15">
        <v>0</v>
      </c>
      <c r="W35" s="15">
        <v>0</v>
      </c>
      <c r="X35" s="15">
        <v>0</v>
      </c>
      <c r="Y35" s="15">
        <v>1024.8267212890587</v>
      </c>
      <c r="Z35" s="15">
        <v>0</v>
      </c>
      <c r="AA35" s="15">
        <v>0</v>
      </c>
      <c r="AB35" s="15">
        <v>0</v>
      </c>
      <c r="AC35" s="15">
        <v>1024.8267212890587</v>
      </c>
      <c r="AD35" s="15">
        <v>287.45135157820334</v>
      </c>
      <c r="AE35" s="15">
        <v>27.690506260525446</v>
      </c>
      <c r="AF35" s="15">
        <v>0</v>
      </c>
      <c r="AG35" s="15">
        <v>0</v>
      </c>
      <c r="AH35" s="15">
        <v>127.20248690249093</v>
      </c>
      <c r="AI35" s="15">
        <v>123.00035822944253</v>
      </c>
      <c r="AJ35" s="15">
        <v>9.558000185744346</v>
      </c>
      <c r="AK35" s="15">
        <v>0</v>
      </c>
      <c r="AL35" s="15">
        <v>0</v>
      </c>
      <c r="AM35" s="15">
        <v>0</v>
      </c>
      <c r="AN35" s="15">
        <v>0.28048776013240379</v>
      </c>
      <c r="AO35" s="15">
        <v>737.37536971085535</v>
      </c>
      <c r="AP35" s="15">
        <v>154.89299316301637</v>
      </c>
      <c r="AQ35" s="15">
        <v>27.690506260525446</v>
      </c>
      <c r="AR35" s="15">
        <v>0</v>
      </c>
      <c r="AS35" s="15">
        <v>0</v>
      </c>
      <c r="AT35" s="15">
        <v>127.20248690249093</v>
      </c>
      <c r="AU35" s="15">
        <v>520.4022298276027</v>
      </c>
      <c r="AV35" s="15">
        <v>136.97451929708416</v>
      </c>
      <c r="AW35" s="15">
        <v>136.97451929708416</v>
      </c>
      <c r="AX35" s="15">
        <v>0</v>
      </c>
      <c r="AY35" s="15">
        <v>0</v>
      </c>
      <c r="AZ35" s="15">
        <v>252.24559044813913</v>
      </c>
      <c r="BA35" s="15">
        <v>82.718698010625403</v>
      </c>
      <c r="BB35" s="15">
        <v>70.636205182297374</v>
      </c>
      <c r="BC35" s="15">
        <v>98.890687255216321</v>
      </c>
      <c r="BD35" s="15">
        <v>0</v>
      </c>
      <c r="BE35" s="15">
        <v>131.18212008237941</v>
      </c>
      <c r="BF35" s="15">
        <v>45.473328809157721</v>
      </c>
      <c r="BG35" s="15">
        <v>1.5831329762799125</v>
      </c>
      <c r="BH35" s="15">
        <v>84.125658296941779</v>
      </c>
      <c r="BI35" s="15">
        <v>0</v>
      </c>
      <c r="BJ35" s="15">
        <v>675.2952229906191</v>
      </c>
      <c r="BK35" s="15">
        <v>962.74657456882244</v>
      </c>
      <c r="BL35" s="15">
        <v>0.13457870527252039</v>
      </c>
      <c r="BM35" s="15">
        <v>0.18704157874685412</v>
      </c>
    </row>
    <row r="36" spans="1:65" x14ac:dyDescent="0.35">
      <c r="A36" s="15" t="s">
        <v>10767</v>
      </c>
      <c r="B36" s="15" t="s">
        <v>10455</v>
      </c>
      <c r="C36" s="15" t="s">
        <v>10582</v>
      </c>
      <c r="D36" s="15" t="s">
        <v>10326</v>
      </c>
      <c r="E36" s="15" t="s">
        <v>10802</v>
      </c>
      <c r="F36" s="15">
        <v>187889</v>
      </c>
      <c r="G36" s="15">
        <v>0.89712274742220655</v>
      </c>
      <c r="H36" s="15">
        <v>200</v>
      </c>
      <c r="I36" s="92">
        <v>685.17979574992773</v>
      </c>
      <c r="J36" s="93">
        <v>0.28202179776196695</v>
      </c>
      <c r="K36" s="15">
        <v>30</v>
      </c>
      <c r="L36" s="15">
        <v>392.46733284055205</v>
      </c>
      <c r="M36" s="15">
        <v>34.047941101912357</v>
      </c>
      <c r="N36" s="15">
        <v>65.906999331460824</v>
      </c>
      <c r="O36" s="15">
        <v>48.164818881549159</v>
      </c>
      <c r="P36" s="15">
        <v>12.130183226955371</v>
      </c>
      <c r="Q36" s="15">
        <v>5.6119972229563118</v>
      </c>
      <c r="R36" s="15">
        <v>5.6119972229563118</v>
      </c>
      <c r="S36" s="15">
        <v>0</v>
      </c>
      <c r="T36" s="15">
        <v>0</v>
      </c>
      <c r="U36" s="15">
        <v>41789.579481751876</v>
      </c>
      <c r="V36" s="15">
        <v>0</v>
      </c>
      <c r="W36" s="15">
        <v>0</v>
      </c>
      <c r="X36" s="15">
        <v>0</v>
      </c>
      <c r="Y36" s="15">
        <v>984.21343807358994</v>
      </c>
      <c r="Z36" s="15">
        <v>0</v>
      </c>
      <c r="AA36" s="15">
        <v>0</v>
      </c>
      <c r="AB36" s="15">
        <v>0</v>
      </c>
      <c r="AC36" s="15">
        <v>984.21343807358994</v>
      </c>
      <c r="AD36" s="15">
        <v>299.03364232366221</v>
      </c>
      <c r="AE36" s="15">
        <v>29.664992244645646</v>
      </c>
      <c r="AF36" s="15">
        <v>0</v>
      </c>
      <c r="AG36" s="15">
        <v>0</v>
      </c>
      <c r="AH36" s="15">
        <v>135.61587660943164</v>
      </c>
      <c r="AI36" s="15">
        <v>123.00035822944253</v>
      </c>
      <c r="AJ36" s="15">
        <v>10.752415240142383</v>
      </c>
      <c r="AK36" s="15">
        <v>0</v>
      </c>
      <c r="AL36" s="15">
        <v>0</v>
      </c>
      <c r="AM36" s="15">
        <v>0</v>
      </c>
      <c r="AN36" s="15">
        <v>0.30383007461162442</v>
      </c>
      <c r="AO36" s="15">
        <v>685.17979574992773</v>
      </c>
      <c r="AP36" s="15">
        <v>165.28086885407728</v>
      </c>
      <c r="AQ36" s="15">
        <v>29.664992244645646</v>
      </c>
      <c r="AR36" s="15">
        <v>0</v>
      </c>
      <c r="AS36" s="15">
        <v>0</v>
      </c>
      <c r="AT36" s="15">
        <v>135.61587660943164</v>
      </c>
      <c r="AU36" s="15">
        <v>513.13456468342224</v>
      </c>
      <c r="AV36" s="15">
        <v>136.97451929708416</v>
      </c>
      <c r="AW36" s="15">
        <v>136.97451929708416</v>
      </c>
      <c r="AX36" s="15">
        <v>0</v>
      </c>
      <c r="AY36" s="15">
        <v>0</v>
      </c>
      <c r="AZ36" s="15">
        <v>252.24559044813913</v>
      </c>
      <c r="BA36" s="15">
        <v>82.718698010625403</v>
      </c>
      <c r="BB36" s="15">
        <v>70.636205182297374</v>
      </c>
      <c r="BC36" s="15">
        <v>98.890687255216321</v>
      </c>
      <c r="BD36" s="15">
        <v>0</v>
      </c>
      <c r="BE36" s="15">
        <v>123.91445493819896</v>
      </c>
      <c r="BF36" s="15">
        <v>42.923270863831249</v>
      </c>
      <c r="BG36" s="15">
        <v>1.5831329762799125</v>
      </c>
      <c r="BH36" s="15">
        <v>79.408051098087796</v>
      </c>
      <c r="BI36" s="15">
        <v>0</v>
      </c>
      <c r="BJ36" s="15">
        <v>678.41543353749955</v>
      </c>
      <c r="BK36" s="15">
        <v>977.44907586116176</v>
      </c>
      <c r="BL36" s="15">
        <v>0.19633509390584408</v>
      </c>
      <c r="BM36" s="15">
        <v>0.28202179776196695</v>
      </c>
    </row>
    <row r="37" spans="1:65" s="56" customFormat="1" x14ac:dyDescent="0.35">
      <c r="A37" s="55" t="s">
        <v>10767</v>
      </c>
      <c r="B37" s="55" t="s">
        <v>10455</v>
      </c>
      <c r="C37" s="55" t="s">
        <v>10803</v>
      </c>
      <c r="D37" s="55" t="s">
        <v>10323</v>
      </c>
      <c r="E37" s="55" t="s">
        <v>10804</v>
      </c>
      <c r="F37" s="55">
        <v>187889</v>
      </c>
      <c r="G37" s="55">
        <v>0.89712274742220655</v>
      </c>
      <c r="H37" s="55">
        <v>200</v>
      </c>
      <c r="I37" s="55">
        <v>404.8495357100993</v>
      </c>
      <c r="J37" s="94">
        <v>0.3206598518705015</v>
      </c>
      <c r="K37" s="55">
        <v>30</v>
      </c>
      <c r="L37" s="55">
        <v>129.57733553254852</v>
      </c>
      <c r="M37" s="55">
        <v>21.469614594072713</v>
      </c>
      <c r="N37" s="55">
        <v>65.906999331460824</v>
      </c>
      <c r="O37" s="55">
        <v>9.2612515460568758</v>
      </c>
      <c r="P37" s="55">
        <v>26.598417255194306</v>
      </c>
      <c r="Q37" s="55">
        <v>30.047330530209649</v>
      </c>
      <c r="R37" s="55">
        <v>5.2560831966840018</v>
      </c>
      <c r="S37" s="55">
        <v>12.957645603561854</v>
      </c>
      <c r="T37" s="55">
        <v>11.833601729963794</v>
      </c>
      <c r="U37" s="55">
        <v>0</v>
      </c>
      <c r="V37" s="55">
        <v>0</v>
      </c>
      <c r="W37" s="55">
        <v>0</v>
      </c>
      <c r="X37" s="55">
        <v>0</v>
      </c>
      <c r="Y37" s="55">
        <v>488.85124857351263</v>
      </c>
      <c r="Z37" s="55">
        <v>0</v>
      </c>
      <c r="AA37" s="55">
        <v>0</v>
      </c>
      <c r="AB37" s="55">
        <v>0</v>
      </c>
      <c r="AC37" s="55">
        <v>488.85124857351263</v>
      </c>
      <c r="AD37" s="55">
        <v>84.001712863413331</v>
      </c>
      <c r="AE37" s="55">
        <v>-17.459055886586672</v>
      </c>
      <c r="AF37" s="55">
        <v>0</v>
      </c>
      <c r="AG37" s="55">
        <v>0</v>
      </c>
      <c r="AH37" s="55">
        <v>0</v>
      </c>
      <c r="AI37" s="55">
        <v>101.46076875</v>
      </c>
      <c r="AJ37" s="55">
        <v>0</v>
      </c>
      <c r="AK37" s="55">
        <v>0</v>
      </c>
      <c r="AL37" s="55">
        <v>0</v>
      </c>
      <c r="AM37" s="55">
        <v>0</v>
      </c>
      <c r="AN37" s="55">
        <v>0.17183491523962283</v>
      </c>
      <c r="AO37" s="55">
        <v>404.8495357100993</v>
      </c>
      <c r="AP37" s="55">
        <v>0</v>
      </c>
      <c r="AQ37" s="55">
        <v>0</v>
      </c>
      <c r="AR37" s="55">
        <v>0</v>
      </c>
      <c r="AS37" s="55">
        <v>0</v>
      </c>
      <c r="AT37" s="55">
        <v>0</v>
      </c>
      <c r="AU37" s="55">
        <v>334.66852786074105</v>
      </c>
      <c r="AV37" s="55">
        <v>81.864767824120335</v>
      </c>
      <c r="AW37" s="55">
        <v>81.864767824120335</v>
      </c>
      <c r="AX37" s="55">
        <v>0</v>
      </c>
      <c r="AY37" s="55">
        <v>0</v>
      </c>
      <c r="AZ37" s="55">
        <v>174.57709689460276</v>
      </c>
      <c r="BA37" s="55">
        <v>76.930878417473082</v>
      </c>
      <c r="BB37" s="55">
        <v>40.685924365470704</v>
      </c>
      <c r="BC37" s="55">
        <v>56.960294111658982</v>
      </c>
      <c r="BD37" s="55">
        <v>0</v>
      </c>
      <c r="BE37" s="55">
        <v>78.226663142017941</v>
      </c>
      <c r="BF37" s="55">
        <v>26.931333976348288</v>
      </c>
      <c r="BG37" s="55">
        <v>1.4723613094253221</v>
      </c>
      <c r="BH37" s="55">
        <v>49.822967856244333</v>
      </c>
      <c r="BI37" s="55">
        <v>0</v>
      </c>
      <c r="BJ37" s="55">
        <v>334.66852786074105</v>
      </c>
      <c r="BK37" s="55">
        <v>418.67024072415438</v>
      </c>
      <c r="BL37" s="55">
        <v>0.26555929340358386</v>
      </c>
      <c r="BM37" s="55">
        <v>0.3206598518705015</v>
      </c>
    </row>
    <row r="38" spans="1:65" s="52" customFormat="1" x14ac:dyDescent="0.35">
      <c r="A38" s="15" t="s">
        <v>10767</v>
      </c>
      <c r="B38" s="15" t="s">
        <v>10455</v>
      </c>
      <c r="C38" s="15" t="s">
        <v>10585</v>
      </c>
      <c r="D38" s="15" t="s">
        <v>10320</v>
      </c>
      <c r="E38" s="15" t="s">
        <v>10805</v>
      </c>
      <c r="F38" s="15">
        <v>1429</v>
      </c>
      <c r="G38" s="15">
        <v>0.89726506705522591</v>
      </c>
      <c r="H38" s="15">
        <v>200</v>
      </c>
      <c r="I38" s="92">
        <v>16406.338681761044</v>
      </c>
      <c r="J38" s="93">
        <v>-0.68018934273575482</v>
      </c>
      <c r="K38" s="15">
        <v>30</v>
      </c>
      <c r="L38" s="15">
        <v>37.466948322338901</v>
      </c>
      <c r="M38" s="15">
        <v>7.9413672126506878</v>
      </c>
      <c r="N38" s="15">
        <v>0.5013387848310602</v>
      </c>
      <c r="O38" s="15">
        <v>9.344679212919306E-2</v>
      </c>
      <c r="P38" s="15">
        <v>0.19411399077221925</v>
      </c>
      <c r="Q38" s="15">
        <v>0.21377800192964791</v>
      </c>
      <c r="R38" s="15">
        <v>3.9981768090277051E-2</v>
      </c>
      <c r="S38" s="15">
        <v>8.3780855022954015E-2</v>
      </c>
      <c r="T38" s="15">
        <v>9.0015378816416858E-2</v>
      </c>
      <c r="U38" s="15">
        <v>0</v>
      </c>
      <c r="V38" s="15">
        <v>60.880376139230698</v>
      </c>
      <c r="W38" s="15">
        <v>0</v>
      </c>
      <c r="X38" s="15">
        <v>0</v>
      </c>
      <c r="Y38" s="15">
        <v>16548.633562511044</v>
      </c>
      <c r="Z38" s="15">
        <v>0</v>
      </c>
      <c r="AA38" s="15">
        <v>0</v>
      </c>
      <c r="AB38" s="15">
        <v>0</v>
      </c>
      <c r="AC38" s="15">
        <v>16548.633562511044</v>
      </c>
      <c r="AD38" s="15">
        <v>142.29488074999972</v>
      </c>
      <c r="AE38" s="15">
        <v>0</v>
      </c>
      <c r="AF38" s="15">
        <v>0</v>
      </c>
      <c r="AG38" s="15">
        <v>0</v>
      </c>
      <c r="AH38" s="15">
        <v>40.834111999999998</v>
      </c>
      <c r="AI38" s="15">
        <v>101.46076874999997</v>
      </c>
      <c r="AJ38" s="15">
        <v>0</v>
      </c>
      <c r="AK38" s="15">
        <v>0</v>
      </c>
      <c r="AL38" s="15">
        <v>0</v>
      </c>
      <c r="AM38" s="15">
        <v>0</v>
      </c>
      <c r="AN38" s="15">
        <v>8.5985879264588831E-3</v>
      </c>
      <c r="AO38" s="15">
        <v>16406.338681761044</v>
      </c>
      <c r="AP38" s="15">
        <v>40.834111999999998</v>
      </c>
      <c r="AQ38" s="15">
        <v>0</v>
      </c>
      <c r="AR38" s="15">
        <v>0</v>
      </c>
      <c r="AS38" s="15">
        <v>0</v>
      </c>
      <c r="AT38" s="15">
        <v>40.834111999999998</v>
      </c>
      <c r="AU38" s="15">
        <v>5006.0878451138096</v>
      </c>
      <c r="AV38" s="15">
        <v>135.54286848762263</v>
      </c>
      <c r="AW38" s="15">
        <v>135.54286848762263</v>
      </c>
      <c r="AX38" s="15">
        <v>0</v>
      </c>
      <c r="AY38" s="15">
        <v>0</v>
      </c>
      <c r="AZ38" s="15">
        <v>1539.4008625249851</v>
      </c>
      <c r="BA38" s="15">
        <v>76.930878417473082</v>
      </c>
      <c r="BB38" s="15">
        <v>609.36249337813001</v>
      </c>
      <c r="BC38" s="15">
        <v>853.10749072938199</v>
      </c>
      <c r="BD38" s="15">
        <v>0</v>
      </c>
      <c r="BE38" s="15">
        <v>3331.1441141012019</v>
      </c>
      <c r="BF38" s="15">
        <v>1168.3058781725531</v>
      </c>
      <c r="BG38" s="15">
        <v>1.4723613094253221</v>
      </c>
      <c r="BH38" s="15">
        <v>2161.3658746192232</v>
      </c>
      <c r="BI38" s="15">
        <v>0</v>
      </c>
      <c r="BJ38" s="15">
        <v>5046.9219571138092</v>
      </c>
      <c r="BK38" s="51">
        <v>5189.2168378638089</v>
      </c>
      <c r="BL38" s="51">
        <v>-0.67434067486560112</v>
      </c>
      <c r="BM38" s="51">
        <v>-0.68018934273575482</v>
      </c>
    </row>
    <row r="39" spans="1:65" x14ac:dyDescent="0.35">
      <c r="A39" s="15" t="s">
        <v>10767</v>
      </c>
      <c r="B39" s="15" t="s">
        <v>10455</v>
      </c>
      <c r="C39" s="15" t="s">
        <v>10585</v>
      </c>
      <c r="D39" s="15" t="s">
        <v>10321</v>
      </c>
      <c r="E39" s="15" t="s">
        <v>10806</v>
      </c>
      <c r="F39" s="15">
        <v>1429</v>
      </c>
      <c r="G39" s="15">
        <v>0.89726506705522591</v>
      </c>
      <c r="H39" s="15">
        <v>200</v>
      </c>
      <c r="I39" s="92">
        <v>30442.785227679742</v>
      </c>
      <c r="J39" s="93">
        <v>-0.76929666950942766</v>
      </c>
      <c r="K39" s="15">
        <v>30</v>
      </c>
      <c r="L39" s="15">
        <v>37.466948322338901</v>
      </c>
      <c r="M39" s="15">
        <v>7.9413672126506878</v>
      </c>
      <c r="N39" s="15">
        <v>0.5013387848310602</v>
      </c>
      <c r="O39" s="15">
        <v>9.344679212919306E-2</v>
      </c>
      <c r="P39" s="15">
        <v>0.19411399077221925</v>
      </c>
      <c r="Q39" s="15">
        <v>0.21377800192964791</v>
      </c>
      <c r="R39" s="15">
        <v>3.9981768090277051E-2</v>
      </c>
      <c r="S39" s="15">
        <v>8.3780855022954015E-2</v>
      </c>
      <c r="T39" s="15">
        <v>9.0015378816416858E-2</v>
      </c>
      <c r="U39" s="15">
        <v>0</v>
      </c>
      <c r="V39" s="15">
        <v>0</v>
      </c>
      <c r="W39" s="15">
        <v>15.220094034807675</v>
      </c>
      <c r="X39" s="15">
        <v>0</v>
      </c>
      <c r="Y39" s="15">
        <v>16548.633562511044</v>
      </c>
      <c r="Z39" s="15">
        <v>0</v>
      </c>
      <c r="AA39" s="15">
        <v>0</v>
      </c>
      <c r="AB39" s="15">
        <v>0</v>
      </c>
      <c r="AC39" s="15">
        <v>16548.633562511044</v>
      </c>
      <c r="AD39" s="15">
        <v>-13894.151665168698</v>
      </c>
      <c r="AE39" s="15">
        <v>0</v>
      </c>
      <c r="AF39" s="15">
        <v>1209.6700666958855</v>
      </c>
      <c r="AG39" s="15">
        <v>-13920.864700808881</v>
      </c>
      <c r="AH39" s="15">
        <v>0</v>
      </c>
      <c r="AI39" s="15">
        <v>101.46076874999997</v>
      </c>
      <c r="AJ39" s="15">
        <v>0</v>
      </c>
      <c r="AK39" s="15">
        <v>-1284.4177998057032</v>
      </c>
      <c r="AL39" s="15">
        <v>0</v>
      </c>
      <c r="AM39" s="15">
        <v>0</v>
      </c>
      <c r="AN39" s="15">
        <v>-0.83959510086949063</v>
      </c>
      <c r="AO39" s="15">
        <v>30442.785227679742</v>
      </c>
      <c r="AP39" s="15">
        <v>0</v>
      </c>
      <c r="AQ39" s="15">
        <v>0</v>
      </c>
      <c r="AR39" s="15">
        <v>0</v>
      </c>
      <c r="AS39" s="15">
        <v>0</v>
      </c>
      <c r="AT39" s="15">
        <v>0</v>
      </c>
      <c r="AU39" s="15">
        <v>6823.2519414349108</v>
      </c>
      <c r="AV39" s="15">
        <v>135.54286848762263</v>
      </c>
      <c r="AW39" s="15">
        <v>135.54286848762263</v>
      </c>
      <c r="AX39" s="15">
        <v>0</v>
      </c>
      <c r="AY39" s="15">
        <v>0</v>
      </c>
      <c r="AZ39" s="15">
        <v>1539.4008625249851</v>
      </c>
      <c r="BA39" s="15">
        <v>76.930878417473082</v>
      </c>
      <c r="BB39" s="15">
        <v>609.36249337813001</v>
      </c>
      <c r="BC39" s="15">
        <v>853.10749072938199</v>
      </c>
      <c r="BD39" s="15">
        <v>0</v>
      </c>
      <c r="BE39" s="15">
        <v>5148.3082104223031</v>
      </c>
      <c r="BF39" s="15">
        <v>1805.9073154782029</v>
      </c>
      <c r="BG39" s="15">
        <v>1.4723613094253221</v>
      </c>
      <c r="BH39" s="15">
        <v>3340.9285336346752</v>
      </c>
      <c r="BI39" s="15">
        <v>0</v>
      </c>
      <c r="BJ39" s="15">
        <v>6823.2519414349108</v>
      </c>
      <c r="BK39" s="15">
        <v>-7070.8997237337871</v>
      </c>
      <c r="BL39" s="15">
        <v>-1.4151943843447587</v>
      </c>
      <c r="BM39" s="15">
        <v>-0.76929666950942766</v>
      </c>
    </row>
    <row r="40" spans="1:65" x14ac:dyDescent="0.35">
      <c r="A40" s="15" t="s">
        <v>10767</v>
      </c>
      <c r="B40" s="15" t="s">
        <v>10455</v>
      </c>
      <c r="C40" s="15" t="s">
        <v>10585</v>
      </c>
      <c r="D40" s="15" t="s">
        <v>10322</v>
      </c>
      <c r="E40" s="15" t="s">
        <v>10807</v>
      </c>
      <c r="F40" s="15">
        <v>1429</v>
      </c>
      <c r="G40" s="15">
        <v>0.89726506705522591</v>
      </c>
      <c r="H40" s="15">
        <v>200</v>
      </c>
      <c r="I40" s="92">
        <v>17237.341942490984</v>
      </c>
      <c r="J40" s="93">
        <v>-0.69763860788616272</v>
      </c>
      <c r="K40" s="15">
        <v>30</v>
      </c>
      <c r="L40" s="15">
        <v>37.466948322338901</v>
      </c>
      <c r="M40" s="15">
        <v>7.9413672126506878</v>
      </c>
      <c r="N40" s="15">
        <v>0.5013387848310602</v>
      </c>
      <c r="O40" s="15">
        <v>9.344679212919306E-2</v>
      </c>
      <c r="P40" s="15">
        <v>0.19411399077221925</v>
      </c>
      <c r="Q40" s="15">
        <v>0.21377800192964791</v>
      </c>
      <c r="R40" s="15">
        <v>3.9981768090277051E-2</v>
      </c>
      <c r="S40" s="15">
        <v>8.3780855022954015E-2</v>
      </c>
      <c r="T40" s="15">
        <v>9.0015378816416858E-2</v>
      </c>
      <c r="U40" s="15">
        <v>0</v>
      </c>
      <c r="V40" s="15">
        <v>0</v>
      </c>
      <c r="W40" s="15">
        <v>0</v>
      </c>
      <c r="X40" s="15">
        <v>15220.094034807675</v>
      </c>
      <c r="Y40" s="15">
        <v>16548.633562511044</v>
      </c>
      <c r="Z40" s="15">
        <v>0</v>
      </c>
      <c r="AA40" s="15">
        <v>0</v>
      </c>
      <c r="AB40" s="15">
        <v>0</v>
      </c>
      <c r="AC40" s="15">
        <v>16548.633562511044</v>
      </c>
      <c r="AD40" s="15">
        <v>-688.70837997994022</v>
      </c>
      <c r="AE40" s="15">
        <v>0</v>
      </c>
      <c r="AF40" s="15">
        <v>0</v>
      </c>
      <c r="AG40" s="15">
        <v>0</v>
      </c>
      <c r="AH40" s="15">
        <v>0</v>
      </c>
      <c r="AI40" s="15">
        <v>101.46076874999997</v>
      </c>
      <c r="AJ40" s="15">
        <v>0</v>
      </c>
      <c r="AK40" s="15">
        <v>-790.16914872993766</v>
      </c>
      <c r="AL40" s="15">
        <v>0</v>
      </c>
      <c r="AM40" s="15">
        <v>0</v>
      </c>
      <c r="AN40" s="15">
        <v>-4.1617235488259706E-2</v>
      </c>
      <c r="AO40" s="15">
        <v>17237.341942490984</v>
      </c>
      <c r="AP40" s="15">
        <v>0</v>
      </c>
      <c r="AQ40" s="15">
        <v>0</v>
      </c>
      <c r="AR40" s="15">
        <v>0</v>
      </c>
      <c r="AS40" s="15">
        <v>0</v>
      </c>
      <c r="AT40" s="15">
        <v>0</v>
      </c>
      <c r="AU40" s="15">
        <v>5011.9067060738107</v>
      </c>
      <c r="AV40" s="15">
        <v>135.54286848762263</v>
      </c>
      <c r="AW40" s="15">
        <v>135.54286848762263</v>
      </c>
      <c r="AX40" s="15">
        <v>0</v>
      </c>
      <c r="AY40" s="15">
        <v>0</v>
      </c>
      <c r="AZ40" s="15">
        <v>1539.4008625249851</v>
      </c>
      <c r="BA40" s="15">
        <v>76.930878417473082</v>
      </c>
      <c r="BB40" s="15">
        <v>609.36249337813001</v>
      </c>
      <c r="BC40" s="15">
        <v>853.10749072938199</v>
      </c>
      <c r="BD40" s="15">
        <v>0</v>
      </c>
      <c r="BE40" s="15">
        <v>3336.9629750612025</v>
      </c>
      <c r="BF40" s="15">
        <v>1170.3475837725534</v>
      </c>
      <c r="BG40" s="15">
        <v>1.4723613094253221</v>
      </c>
      <c r="BH40" s="15">
        <v>2165.1430299792237</v>
      </c>
      <c r="BI40" s="15">
        <v>0</v>
      </c>
      <c r="BJ40" s="15">
        <v>5011.9067060738107</v>
      </c>
      <c r="BK40" s="15">
        <v>4323.1983260938705</v>
      </c>
      <c r="BL40" s="15">
        <v>-0.72667239811626283</v>
      </c>
      <c r="BM40" s="15">
        <v>-0.69763860788616272</v>
      </c>
    </row>
    <row r="41" spans="1:65" x14ac:dyDescent="0.35">
      <c r="A41" s="15" t="s">
        <v>10767</v>
      </c>
      <c r="B41" s="15" t="s">
        <v>10455</v>
      </c>
      <c r="C41" s="15" t="s">
        <v>10585</v>
      </c>
      <c r="D41" s="15" t="s">
        <v>10323</v>
      </c>
      <c r="E41" s="15" t="s">
        <v>10808</v>
      </c>
      <c r="F41" s="15">
        <v>1429</v>
      </c>
      <c r="G41" s="15">
        <v>0.89726506705522591</v>
      </c>
      <c r="H41" s="15">
        <v>200</v>
      </c>
      <c r="I41" s="92">
        <v>16450.915429709206</v>
      </c>
      <c r="J41" s="93">
        <v>-0.68338263194136228</v>
      </c>
      <c r="K41" s="15">
        <v>30</v>
      </c>
      <c r="L41" s="15">
        <v>37.470610894370687</v>
      </c>
      <c r="M41" s="15">
        <v>7.941949323034649</v>
      </c>
      <c r="N41" s="15">
        <v>0.5013387848310602</v>
      </c>
      <c r="O41" s="15">
        <v>7.0448126044460574E-2</v>
      </c>
      <c r="P41" s="15">
        <v>0.20232780008819509</v>
      </c>
      <c r="Q41" s="15">
        <v>0.22856285869840451</v>
      </c>
      <c r="R41" s="15">
        <v>3.9981768090277051E-2</v>
      </c>
      <c r="S41" s="15">
        <v>9.85657117917106E-2</v>
      </c>
      <c r="T41" s="15">
        <v>9.0015378816416858E-2</v>
      </c>
      <c r="U41" s="15">
        <v>0</v>
      </c>
      <c r="V41" s="15">
        <v>0</v>
      </c>
      <c r="W41" s="15">
        <v>0</v>
      </c>
      <c r="X41" s="15">
        <v>0</v>
      </c>
      <c r="Y41" s="15">
        <v>16552.376198459206</v>
      </c>
      <c r="Z41" s="15">
        <v>0</v>
      </c>
      <c r="AA41" s="15">
        <v>0</v>
      </c>
      <c r="AB41" s="15">
        <v>0</v>
      </c>
      <c r="AC41" s="15">
        <v>16552.376198459206</v>
      </c>
      <c r="AD41" s="15">
        <v>101.46076874999926</v>
      </c>
      <c r="AE41" s="15">
        <v>0</v>
      </c>
      <c r="AF41" s="15">
        <v>0</v>
      </c>
      <c r="AG41" s="15">
        <v>0</v>
      </c>
      <c r="AH41" s="15">
        <v>0</v>
      </c>
      <c r="AI41" s="15">
        <v>101.46076874999997</v>
      </c>
      <c r="AJ41" s="15">
        <v>0</v>
      </c>
      <c r="AK41" s="15">
        <v>0</v>
      </c>
      <c r="AL41" s="15">
        <v>0</v>
      </c>
      <c r="AM41" s="15">
        <v>0</v>
      </c>
      <c r="AN41" s="15">
        <v>6.1296799645868269E-3</v>
      </c>
      <c r="AO41" s="15">
        <v>16450.915429709206</v>
      </c>
      <c r="AP41" s="15">
        <v>0</v>
      </c>
      <c r="AQ41" s="15">
        <v>0</v>
      </c>
      <c r="AR41" s="15">
        <v>0</v>
      </c>
      <c r="AS41" s="15">
        <v>0</v>
      </c>
      <c r="AT41" s="15">
        <v>0</v>
      </c>
      <c r="AU41" s="15">
        <v>5008.6455455097621</v>
      </c>
      <c r="AV41" s="15">
        <v>131.88190119480794</v>
      </c>
      <c r="AW41" s="15">
        <v>131.88190119480794</v>
      </c>
      <c r="AX41" s="15">
        <v>0</v>
      </c>
      <c r="AY41" s="15">
        <v>0</v>
      </c>
      <c r="AZ41" s="15">
        <v>1539.5440081409856</v>
      </c>
      <c r="BA41" s="15">
        <v>76.930878417473082</v>
      </c>
      <c r="BB41" s="15">
        <v>609.42213738479688</v>
      </c>
      <c r="BC41" s="15">
        <v>853.19099233871566</v>
      </c>
      <c r="BD41" s="15">
        <v>0</v>
      </c>
      <c r="BE41" s="15">
        <v>3337.219636173968</v>
      </c>
      <c r="BF41" s="15">
        <v>1170.4376403033484</v>
      </c>
      <c r="BG41" s="15">
        <v>1.4723613094253221</v>
      </c>
      <c r="BH41" s="15">
        <v>2165.3096345611943</v>
      </c>
      <c r="BI41" s="15">
        <v>0</v>
      </c>
      <c r="BJ41" s="15">
        <v>5008.6455455097621</v>
      </c>
      <c r="BK41" s="15">
        <v>5110.1063142597613</v>
      </c>
      <c r="BL41" s="15">
        <v>-0.67919371511420468</v>
      </c>
      <c r="BM41" s="15">
        <v>-0.68338263194136228</v>
      </c>
    </row>
    <row r="42" spans="1:65" x14ac:dyDescent="0.35">
      <c r="A42" s="15" t="s">
        <v>10767</v>
      </c>
      <c r="B42" s="15" t="s">
        <v>10455</v>
      </c>
      <c r="C42" s="15" t="s">
        <v>10585</v>
      </c>
      <c r="D42" s="15" t="s">
        <v>10324</v>
      </c>
      <c r="E42" s="15" t="s">
        <v>10809</v>
      </c>
      <c r="F42" s="15">
        <v>1429</v>
      </c>
      <c r="G42" s="15">
        <v>0.89726506705522591</v>
      </c>
      <c r="H42" s="15">
        <v>200</v>
      </c>
      <c r="I42" s="92">
        <v>16438.628861998754</v>
      </c>
      <c r="J42" s="93">
        <v>-0.68249461520973254</v>
      </c>
      <c r="K42" s="15">
        <v>30</v>
      </c>
      <c r="L42" s="15">
        <v>37.458594014256626</v>
      </c>
      <c r="M42" s="15">
        <v>7.9400394218404777</v>
      </c>
      <c r="N42" s="15">
        <v>0.5013387848310602</v>
      </c>
      <c r="O42" s="15">
        <v>0.11234876833367853</v>
      </c>
      <c r="P42" s="15">
        <v>0.17537833370960151</v>
      </c>
      <c r="Q42" s="15">
        <v>0.21361168278778017</v>
      </c>
      <c r="R42" s="15">
        <v>3.9981768090277051E-2</v>
      </c>
      <c r="S42" s="15">
        <v>0</v>
      </c>
      <c r="T42" s="15">
        <v>0.17362991469750316</v>
      </c>
      <c r="U42" s="15">
        <v>0</v>
      </c>
      <c r="V42" s="15">
        <v>0</v>
      </c>
      <c r="W42" s="15">
        <v>0</v>
      </c>
      <c r="X42" s="15">
        <v>0</v>
      </c>
      <c r="Y42" s="15">
        <v>16540.089630748753</v>
      </c>
      <c r="Z42" s="15">
        <v>0</v>
      </c>
      <c r="AA42" s="15">
        <v>0</v>
      </c>
      <c r="AB42" s="15">
        <v>0</v>
      </c>
      <c r="AC42" s="15">
        <v>16540.089630748753</v>
      </c>
      <c r="AD42" s="15">
        <v>101.46076874999926</v>
      </c>
      <c r="AE42" s="15">
        <v>0</v>
      </c>
      <c r="AF42" s="15">
        <v>0</v>
      </c>
      <c r="AG42" s="15">
        <v>0</v>
      </c>
      <c r="AH42" s="15">
        <v>0</v>
      </c>
      <c r="AI42" s="15">
        <v>101.46076874999997</v>
      </c>
      <c r="AJ42" s="15">
        <v>0</v>
      </c>
      <c r="AK42" s="15">
        <v>0</v>
      </c>
      <c r="AL42" s="15">
        <v>0</v>
      </c>
      <c r="AM42" s="15">
        <v>0</v>
      </c>
      <c r="AN42" s="15">
        <v>6.1342333091943613E-3</v>
      </c>
      <c r="AO42" s="15">
        <v>16438.628861998754</v>
      </c>
      <c r="AP42" s="15">
        <v>0</v>
      </c>
      <c r="AQ42" s="15">
        <v>0</v>
      </c>
      <c r="AR42" s="15">
        <v>0</v>
      </c>
      <c r="AS42" s="15">
        <v>0</v>
      </c>
      <c r="AT42" s="15">
        <v>0</v>
      </c>
      <c r="AU42" s="15">
        <v>5019.3531822533105</v>
      </c>
      <c r="AV42" s="15">
        <v>143.90130177172119</v>
      </c>
      <c r="AW42" s="15">
        <v>143.90130177172119</v>
      </c>
      <c r="AX42" s="15">
        <v>0</v>
      </c>
      <c r="AY42" s="15">
        <v>0</v>
      </c>
      <c r="AZ42" s="15">
        <v>1539.0743481066152</v>
      </c>
      <c r="BA42" s="15">
        <v>76.930878417473082</v>
      </c>
      <c r="BB42" s="15">
        <v>609.22644570380919</v>
      </c>
      <c r="BC42" s="15">
        <v>852.91702398533278</v>
      </c>
      <c r="BD42" s="15">
        <v>0</v>
      </c>
      <c r="BE42" s="15">
        <v>3336.3775323749742</v>
      </c>
      <c r="BF42" s="15">
        <v>1170.1421652861575</v>
      </c>
      <c r="BG42" s="15">
        <v>1.4723613094253221</v>
      </c>
      <c r="BH42" s="15">
        <v>2164.7630057793913</v>
      </c>
      <c r="BI42" s="15">
        <v>0</v>
      </c>
      <c r="BJ42" s="15">
        <v>5019.3531822533105</v>
      </c>
      <c r="BK42" s="15">
        <v>5120.8139510033097</v>
      </c>
      <c r="BL42" s="15">
        <v>-0.67830803400776718</v>
      </c>
      <c r="BM42" s="15">
        <v>-0.68249461520973254</v>
      </c>
    </row>
    <row r="43" spans="1:65" x14ac:dyDescent="0.35">
      <c r="A43" s="15" t="s">
        <v>10767</v>
      </c>
      <c r="B43" s="15" t="s">
        <v>10455</v>
      </c>
      <c r="C43" s="15" t="s">
        <v>10585</v>
      </c>
      <c r="D43" s="15" t="s">
        <v>10325</v>
      </c>
      <c r="E43" s="15" t="s">
        <v>10810</v>
      </c>
      <c r="F43" s="15">
        <v>1429</v>
      </c>
      <c r="G43" s="15">
        <v>0.89726506705522591</v>
      </c>
      <c r="H43" s="15">
        <v>200</v>
      </c>
      <c r="I43" s="92">
        <v>334669.71744157409</v>
      </c>
      <c r="J43" s="93">
        <v>-1.7998208391402435</v>
      </c>
      <c r="K43" s="15">
        <v>30</v>
      </c>
      <c r="L43" s="15">
        <v>37.421536285366173</v>
      </c>
      <c r="M43" s="15">
        <v>7.9341496567775627</v>
      </c>
      <c r="N43" s="15">
        <v>0.5013387848310602</v>
      </c>
      <c r="O43" s="15">
        <v>0.36637826049770406</v>
      </c>
      <c r="P43" s="15">
        <v>9.227140334815663E-2</v>
      </c>
      <c r="Q43" s="15">
        <v>4.2689120985199613E-2</v>
      </c>
      <c r="R43" s="15">
        <v>4.2689120985199613E-2</v>
      </c>
      <c r="S43" s="15">
        <v>0</v>
      </c>
      <c r="T43" s="15">
        <v>0</v>
      </c>
      <c r="U43" s="15">
        <v>317.88333877281553</v>
      </c>
      <c r="V43" s="15">
        <v>0</v>
      </c>
      <c r="W43" s="15">
        <v>0</v>
      </c>
      <c r="X43" s="15">
        <v>0</v>
      </c>
      <c r="Y43" s="15">
        <v>16502.072704112659</v>
      </c>
      <c r="Z43" s="15">
        <v>0</v>
      </c>
      <c r="AA43" s="15">
        <v>0</v>
      </c>
      <c r="AB43" s="15">
        <v>0</v>
      </c>
      <c r="AC43" s="15">
        <v>16502.072704112659</v>
      </c>
      <c r="AD43" s="15">
        <v>-318167.64473746141</v>
      </c>
      <c r="AE43" s="15">
        <v>0</v>
      </c>
      <c r="AF43" s="15">
        <v>0</v>
      </c>
      <c r="AG43" s="15">
        <v>0</v>
      </c>
      <c r="AH43" s="15">
        <v>-318290.64509569085</v>
      </c>
      <c r="AI43" s="15">
        <v>123.00035822944251</v>
      </c>
      <c r="AJ43" s="15">
        <v>0</v>
      </c>
      <c r="AK43" s="15">
        <v>0</v>
      </c>
      <c r="AL43" s="15">
        <v>0</v>
      </c>
      <c r="AM43" s="15">
        <v>0</v>
      </c>
      <c r="AN43" s="15">
        <v>-19.280465578009931</v>
      </c>
      <c r="AO43" s="15">
        <v>334669.71744157409</v>
      </c>
      <c r="AP43" s="15">
        <v>-318290.64509569085</v>
      </c>
      <c r="AQ43" s="15">
        <v>0</v>
      </c>
      <c r="AR43" s="15">
        <v>0</v>
      </c>
      <c r="AS43" s="15">
        <v>0</v>
      </c>
      <c r="AT43" s="15">
        <v>-318290.64509569085</v>
      </c>
      <c r="AU43" s="15">
        <v>50414.830856742825</v>
      </c>
      <c r="AV43" s="15">
        <v>181.10868425188229</v>
      </c>
      <c r="AW43" s="15">
        <v>181.10868425188229</v>
      </c>
      <c r="AX43" s="15">
        <v>0</v>
      </c>
      <c r="AY43" s="15">
        <v>0</v>
      </c>
      <c r="AZ43" s="15">
        <v>1543.4138271938118</v>
      </c>
      <c r="BA43" s="15">
        <v>82.718698010625431</v>
      </c>
      <c r="BB43" s="15">
        <v>608.62297049299434</v>
      </c>
      <c r="BC43" s="15">
        <v>852.07215869019194</v>
      </c>
      <c r="BD43" s="15">
        <v>0</v>
      </c>
      <c r="BE43" s="15">
        <v>48690.308345297133</v>
      </c>
      <c r="BF43" s="15">
        <v>17083.763232393281</v>
      </c>
      <c r="BG43" s="15">
        <v>1.5831329762799125</v>
      </c>
      <c r="BH43" s="15">
        <v>31604.961979927568</v>
      </c>
      <c r="BI43" s="15">
        <v>0</v>
      </c>
      <c r="BJ43" s="15">
        <v>-267875.81423894805</v>
      </c>
      <c r="BK43" s="15">
        <v>-586043.4589764094</v>
      </c>
      <c r="BL43" s="15">
        <v>-36.501204574768657</v>
      </c>
      <c r="BM43" s="15">
        <v>-1.7998208391402435</v>
      </c>
    </row>
    <row r="44" spans="1:65" x14ac:dyDescent="0.35">
      <c r="A44" s="15" t="s">
        <v>10767</v>
      </c>
      <c r="B44" s="15" t="s">
        <v>10455</v>
      </c>
      <c r="C44" s="15" t="s">
        <v>10585</v>
      </c>
      <c r="D44" s="15" t="s">
        <v>10326</v>
      </c>
      <c r="E44" s="15" t="s">
        <v>10811</v>
      </c>
      <c r="F44" s="15">
        <v>1429</v>
      </c>
      <c r="G44" s="15">
        <v>0.89726506705522591</v>
      </c>
      <c r="H44" s="15">
        <v>200</v>
      </c>
      <c r="I44" s="92">
        <v>334669.71744157409</v>
      </c>
      <c r="J44" s="93">
        <v>-1.7998208391402435</v>
      </c>
      <c r="K44" s="15">
        <v>30</v>
      </c>
      <c r="L44" s="15">
        <v>37.421536285366173</v>
      </c>
      <c r="M44" s="15">
        <v>7.9341496567775627</v>
      </c>
      <c r="N44" s="15">
        <v>0.5013387848310602</v>
      </c>
      <c r="O44" s="15">
        <v>0.36637826049770406</v>
      </c>
      <c r="P44" s="15">
        <v>9.227140334815663E-2</v>
      </c>
      <c r="Q44" s="15">
        <v>4.2689120985199613E-2</v>
      </c>
      <c r="R44" s="15">
        <v>4.2689120985199613E-2</v>
      </c>
      <c r="S44" s="15">
        <v>0</v>
      </c>
      <c r="T44" s="15">
        <v>0</v>
      </c>
      <c r="U44" s="15">
        <v>317.88333877281553</v>
      </c>
      <c r="V44" s="15">
        <v>0</v>
      </c>
      <c r="W44" s="15">
        <v>0</v>
      </c>
      <c r="X44" s="15">
        <v>0</v>
      </c>
      <c r="Y44" s="15">
        <v>16502.072704112659</v>
      </c>
      <c r="Z44" s="15">
        <v>0</v>
      </c>
      <c r="AA44" s="15">
        <v>0</v>
      </c>
      <c r="AB44" s="15">
        <v>0</v>
      </c>
      <c r="AC44" s="15">
        <v>16502.072704112659</v>
      </c>
      <c r="AD44" s="15">
        <v>-318167.64473746141</v>
      </c>
      <c r="AE44" s="15">
        <v>0</v>
      </c>
      <c r="AF44" s="15">
        <v>0</v>
      </c>
      <c r="AG44" s="15">
        <v>0</v>
      </c>
      <c r="AH44" s="15">
        <v>-318290.64509569085</v>
      </c>
      <c r="AI44" s="15">
        <v>123.00035822944251</v>
      </c>
      <c r="AJ44" s="15">
        <v>0</v>
      </c>
      <c r="AK44" s="15">
        <v>0</v>
      </c>
      <c r="AL44" s="15">
        <v>0</v>
      </c>
      <c r="AM44" s="15">
        <v>0</v>
      </c>
      <c r="AN44" s="15">
        <v>-19.280465578009931</v>
      </c>
      <c r="AO44" s="15">
        <v>334669.71744157409</v>
      </c>
      <c r="AP44" s="15">
        <v>-318290.64509569085</v>
      </c>
      <c r="AQ44" s="15">
        <v>0</v>
      </c>
      <c r="AR44" s="15">
        <v>0</v>
      </c>
      <c r="AS44" s="15">
        <v>0</v>
      </c>
      <c r="AT44" s="15">
        <v>-318290.64509569085</v>
      </c>
      <c r="AU44" s="15">
        <v>50414.830856742825</v>
      </c>
      <c r="AV44" s="15">
        <v>181.10868425188229</v>
      </c>
      <c r="AW44" s="15">
        <v>181.10868425188229</v>
      </c>
      <c r="AX44" s="15">
        <v>0</v>
      </c>
      <c r="AY44" s="15">
        <v>0</v>
      </c>
      <c r="AZ44" s="15">
        <v>1543.4138271938118</v>
      </c>
      <c r="BA44" s="15">
        <v>82.718698010625431</v>
      </c>
      <c r="BB44" s="15">
        <v>608.62297049299434</v>
      </c>
      <c r="BC44" s="15">
        <v>852.07215869019194</v>
      </c>
      <c r="BD44" s="15">
        <v>0</v>
      </c>
      <c r="BE44" s="15">
        <v>48690.308345297133</v>
      </c>
      <c r="BF44" s="15">
        <v>17083.763232393281</v>
      </c>
      <c r="BG44" s="15">
        <v>1.5831329762799125</v>
      </c>
      <c r="BH44" s="15">
        <v>31604.961979927568</v>
      </c>
      <c r="BI44" s="15">
        <v>0</v>
      </c>
      <c r="BJ44" s="15">
        <v>-267875.81423894805</v>
      </c>
      <c r="BK44" s="15">
        <v>-586043.4589764094</v>
      </c>
      <c r="BL44" s="15">
        <v>-36.501204574768657</v>
      </c>
      <c r="BM44" s="15">
        <v>-1.7998208391402435</v>
      </c>
    </row>
    <row r="45" spans="1:65" s="56" customFormat="1" x14ac:dyDescent="0.35">
      <c r="A45" s="55" t="s">
        <v>10767</v>
      </c>
      <c r="B45" s="55" t="s">
        <v>10455</v>
      </c>
      <c r="C45" s="55" t="s">
        <v>10812</v>
      </c>
      <c r="D45" s="55" t="s">
        <v>10320</v>
      </c>
      <c r="E45" s="55" t="s">
        <v>10813</v>
      </c>
      <c r="F45" s="55">
        <v>1429</v>
      </c>
      <c r="G45" s="55">
        <v>0.89726506705522591</v>
      </c>
      <c r="H45" s="55">
        <v>200</v>
      </c>
      <c r="I45" s="55">
        <v>16406.338681761044</v>
      </c>
      <c r="J45" s="94">
        <v>-0.68018934273575482</v>
      </c>
      <c r="K45" s="55">
        <v>30</v>
      </c>
      <c r="L45" s="55">
        <v>37.466948322338901</v>
      </c>
      <c r="M45" s="55">
        <v>7.9413672126506878</v>
      </c>
      <c r="N45" s="55">
        <v>0.5013387848310602</v>
      </c>
      <c r="O45" s="55">
        <v>9.344679212919306E-2</v>
      </c>
      <c r="P45" s="55">
        <v>0.19411399077221925</v>
      </c>
      <c r="Q45" s="55">
        <v>0.21377800192964791</v>
      </c>
      <c r="R45" s="55">
        <v>3.9981768090277051E-2</v>
      </c>
      <c r="S45" s="55">
        <v>8.3780855022954015E-2</v>
      </c>
      <c r="T45" s="55">
        <v>9.0015378816416858E-2</v>
      </c>
      <c r="U45" s="55">
        <v>0</v>
      </c>
      <c r="V45" s="55">
        <v>60.880376139230698</v>
      </c>
      <c r="W45" s="55">
        <v>0</v>
      </c>
      <c r="X45" s="55">
        <v>0</v>
      </c>
      <c r="Y45" s="55">
        <v>16548.633562511044</v>
      </c>
      <c r="Z45" s="55">
        <v>0</v>
      </c>
      <c r="AA45" s="55">
        <v>0</v>
      </c>
      <c r="AB45" s="55">
        <v>0</v>
      </c>
      <c r="AC45" s="55">
        <v>16548.633562511044</v>
      </c>
      <c r="AD45" s="55">
        <v>142.29488074999972</v>
      </c>
      <c r="AE45" s="55">
        <v>0</v>
      </c>
      <c r="AF45" s="55">
        <v>0</v>
      </c>
      <c r="AG45" s="55">
        <v>0</v>
      </c>
      <c r="AH45" s="55">
        <v>40.834111999999998</v>
      </c>
      <c r="AI45" s="55">
        <v>101.46076874999997</v>
      </c>
      <c r="AJ45" s="55">
        <v>0</v>
      </c>
      <c r="AK45" s="55">
        <v>0</v>
      </c>
      <c r="AL45" s="55">
        <v>0</v>
      </c>
      <c r="AM45" s="55">
        <v>0</v>
      </c>
      <c r="AN45" s="55">
        <v>8.5985879264588831E-3</v>
      </c>
      <c r="AO45" s="55">
        <v>16406.338681761044</v>
      </c>
      <c r="AP45" s="55">
        <v>40.834111999999998</v>
      </c>
      <c r="AQ45" s="55">
        <v>0</v>
      </c>
      <c r="AR45" s="55">
        <v>0</v>
      </c>
      <c r="AS45" s="55">
        <v>0</v>
      </c>
      <c r="AT45" s="55">
        <v>40.834111999999998</v>
      </c>
      <c r="AU45" s="55">
        <v>5006.0878451138096</v>
      </c>
      <c r="AV45" s="55">
        <v>135.54286848762263</v>
      </c>
      <c r="AW45" s="55">
        <v>135.54286848762263</v>
      </c>
      <c r="AX45" s="55">
        <v>0</v>
      </c>
      <c r="AY45" s="55">
        <v>0</v>
      </c>
      <c r="AZ45" s="55">
        <v>1539.4008625249851</v>
      </c>
      <c r="BA45" s="55">
        <v>76.930878417473082</v>
      </c>
      <c r="BB45" s="55">
        <v>609.36249337813001</v>
      </c>
      <c r="BC45" s="55">
        <v>853.10749072938199</v>
      </c>
      <c r="BD45" s="55">
        <v>0</v>
      </c>
      <c r="BE45" s="55">
        <v>3331.1441141012019</v>
      </c>
      <c r="BF45" s="55">
        <v>1168.3058781725531</v>
      </c>
      <c r="BG45" s="55">
        <v>1.4723613094253221</v>
      </c>
      <c r="BH45" s="55">
        <v>2161.3658746192232</v>
      </c>
      <c r="BI45" s="55">
        <v>0</v>
      </c>
      <c r="BJ45" s="55">
        <v>5046.9219571138092</v>
      </c>
      <c r="BK45" s="55">
        <v>5189.2168378638089</v>
      </c>
      <c r="BL45" s="55">
        <v>-0.67434067486560112</v>
      </c>
      <c r="BM45" s="55">
        <v>-0.68018934273575482</v>
      </c>
    </row>
    <row r="46" spans="1:65" s="52" customFormat="1" x14ac:dyDescent="0.35">
      <c r="A46" s="51" t="s">
        <v>10767</v>
      </c>
      <c r="B46" s="51" t="s">
        <v>10814</v>
      </c>
      <c r="C46" s="51" t="s">
        <v>9780</v>
      </c>
      <c r="D46" s="51" t="s">
        <v>9780</v>
      </c>
      <c r="E46" s="51" t="s">
        <v>10013</v>
      </c>
      <c r="F46" s="51">
        <f>F37</f>
        <v>187889</v>
      </c>
      <c r="G46" s="51">
        <f>G37</f>
        <v>0.89712274742220655</v>
      </c>
      <c r="H46" s="51">
        <f>(H37*N37+H45*N45)/(N37+N45)</f>
        <v>199.99999999999997</v>
      </c>
      <c r="I46" s="51">
        <f>(I37*N37+I45*N45)/(N37+N45)</f>
        <v>525.65013622987817</v>
      </c>
      <c r="J46" s="95">
        <f>(J37*N37+J45*N45)/(N37+N45)</f>
        <v>0.31310410611242551</v>
      </c>
      <c r="K46" s="51">
        <f>K37</f>
        <v>30</v>
      </c>
      <c r="L46" s="51">
        <f t="shared" ref="L46:W46" si="3">L37+L45</f>
        <v>167.04428385488742</v>
      </c>
      <c r="M46" s="51">
        <f t="shared" si="3"/>
        <v>29.410981806723399</v>
      </c>
      <c r="N46" s="51">
        <f t="shared" si="3"/>
        <v>66.408338116291887</v>
      </c>
      <c r="O46" s="51">
        <f t="shared" si="3"/>
        <v>9.3546983381860684</v>
      </c>
      <c r="P46" s="51">
        <f t="shared" si="3"/>
        <v>26.792531245966526</v>
      </c>
      <c r="Q46" s="51">
        <f t="shared" si="3"/>
        <v>30.261108532139296</v>
      </c>
      <c r="R46" s="51">
        <f t="shared" si="3"/>
        <v>5.2960649647742786</v>
      </c>
      <c r="S46" s="51">
        <f t="shared" si="3"/>
        <v>13.041426458584809</v>
      </c>
      <c r="T46" s="51">
        <f t="shared" si="3"/>
        <v>11.923617108780212</v>
      </c>
      <c r="U46" s="51">
        <f t="shared" si="3"/>
        <v>0</v>
      </c>
      <c r="V46" s="51">
        <f t="shared" si="3"/>
        <v>60.880376139230698</v>
      </c>
      <c r="W46" s="51">
        <f t="shared" si="3"/>
        <v>0</v>
      </c>
      <c r="X46" s="51">
        <f>(X37*N37+X45*N45)/(N37+N45)</f>
        <v>0</v>
      </c>
      <c r="Y46" s="51">
        <f>(Y37*N37+Y45*N45)/(N37+N45)</f>
        <v>610.09192374025884</v>
      </c>
      <c r="Z46" s="51">
        <f>(Z37*N37+Z45*N45)/(N37+N45)</f>
        <v>0</v>
      </c>
      <c r="AA46" s="51">
        <f>(AA37*N37+AA45*N45)/(N37+N45)</f>
        <v>0</v>
      </c>
      <c r="AB46" s="51">
        <f>(AB37*N37+AB45*N45)/(N37+N45)</f>
        <v>0</v>
      </c>
      <c r="AC46" s="51">
        <f>(AC37*N37+AC45*N45)/(N37+N45)</f>
        <v>610.09192374025884</v>
      </c>
      <c r="AD46" s="51">
        <f>(AD37*N37+AD45*N45)/(N37+N45)</f>
        <v>84.441787510380649</v>
      </c>
      <c r="AE46" s="51">
        <f>(AE37*N37+AE45*N45)/(N37+N45)</f>
        <v>-17.327251626598247</v>
      </c>
      <c r="AF46" s="51">
        <f>(AF37*N37+AF45*N45)/(N37+N45)</f>
        <v>0</v>
      </c>
      <c r="AG46" s="51">
        <f>(AG37*N37+AG45*N45)/(N37+N45)</f>
        <v>0</v>
      </c>
      <c r="AH46" s="51">
        <f>(AH37*N37+AH45*N45)/(N37+N45)</f>
        <v>0.30827038697890718</v>
      </c>
      <c r="AI46" s="51">
        <f>(AI37*N37+AI45*N45)/(N37+N45)</f>
        <v>101.46076874999999</v>
      </c>
      <c r="AJ46" s="51">
        <f>(AJ37*N37+AJ45*N45)/(N37+N45)</f>
        <v>0</v>
      </c>
      <c r="AK46" s="51">
        <f>(AK37*N37+AK45*N45)/(N37+N45)</f>
        <v>0</v>
      </c>
      <c r="AL46" s="51">
        <f>(AL37*N37+AL45*N45)/(N37+N45)</f>
        <v>0</v>
      </c>
      <c r="AM46" s="51">
        <f>(AM37*N37+AM45*N45)/(N37+N45)</f>
        <v>0</v>
      </c>
      <c r="AN46" s="51">
        <f>(AN37*N37+AN45*N45)/(N37+N45)</f>
        <v>0.17060258953630289</v>
      </c>
      <c r="AO46" s="51">
        <f>(AO37*N37+AO45*N45)/(N37+N45)</f>
        <v>525.65013622987817</v>
      </c>
      <c r="AP46" s="51">
        <f>(AP37*N37+AP45*N45)/(N37+N45)</f>
        <v>0.30827038697890718</v>
      </c>
      <c r="AQ46" s="51">
        <f>(AQ37*N37+AQ45*N45)/(N37+N45)</f>
        <v>0</v>
      </c>
      <c r="AR46" s="51">
        <f>(AR37*N37+AR45*N45)/(N37+N45)</f>
        <v>0</v>
      </c>
      <c r="AS46" s="51">
        <f>(AS37*N37+AS45*N45)/(N37+N45)</f>
        <v>0</v>
      </c>
      <c r="AT46" s="51">
        <f>(AT37*N37+AT45*N45)/(N37+N45)</f>
        <v>0.30827038697890718</v>
      </c>
      <c r="AU46" s="51">
        <f>(AU37*N37+AU45*N45)/(N37+N45)</f>
        <v>369.9346367618075</v>
      </c>
      <c r="AV46" s="51">
        <f>(AV37*N37+AV45*N45)/(N37+N45)</f>
        <v>82.270001783018003</v>
      </c>
      <c r="AW46" s="51">
        <f>(AW37*N37+AW45*N45)/(N37+N45)</f>
        <v>82.270001783018003</v>
      </c>
      <c r="AX46" s="51">
        <f>(AX37*N37+AX45*N45)/(N37+N45)</f>
        <v>0</v>
      </c>
      <c r="AY46" s="51">
        <f>(AY37*N37+AY45*N45)/(N37+N45)</f>
        <v>0</v>
      </c>
      <c r="AZ46" s="51">
        <f>(AZ37*N37+AZ45*N45)/(N37+N45)</f>
        <v>184.88060858573215</v>
      </c>
      <c r="BA46" s="51">
        <f>(BA37*N37+BA45*N45)/(N37+N45)</f>
        <v>76.930878417473082</v>
      </c>
      <c r="BB46" s="51">
        <f>(BB37*N37+BB45*N45)/(N37+N45)</f>
        <v>44.979054236774616</v>
      </c>
      <c r="BC46" s="51">
        <f>(BC37*N37+BC45*N45)/(N37+N45)</f>
        <v>62.970675931484465</v>
      </c>
      <c r="BD46" s="51">
        <f>(BD37*N37+BD45*N45)/(N37+N45)</f>
        <v>0</v>
      </c>
      <c r="BE46" s="51">
        <f>(BE37*N37+BE45*N45)/(N37+N45)</f>
        <v>102.78402639305736</v>
      </c>
      <c r="BF46" s="51">
        <f>(BF37*N37+BF45*N45)/(N37+N45)</f>
        <v>35.547952660923521</v>
      </c>
      <c r="BG46" s="51">
        <f>(BG37*N37+BG45*N45)/(N37+N45)</f>
        <v>1.4723613094253218</v>
      </c>
      <c r="BH46" s="51">
        <f>(BH37*N37+BH45*N45)/(N37+N45)</f>
        <v>65.763712422708522</v>
      </c>
      <c r="BI46" s="51">
        <f>(BI37*N37+BI45*N45)/(N37+N45)</f>
        <v>0</v>
      </c>
      <c r="BJ46" s="51">
        <f>(BJ37*N37+BJ45*N45)/(N37+N45)</f>
        <v>370.24290714878646</v>
      </c>
      <c r="BK46" s="51">
        <f>(BK37*N37+BK45*N45)/(N37+N45)</f>
        <v>454.68469465916706</v>
      </c>
      <c r="BL46" s="51">
        <f>(BL37*N37+BL45*N45)/(N37+N45)</f>
        <v>0.25846367376724144</v>
      </c>
      <c r="BM46" s="51">
        <f>(BM37*N37+BM45*N45)/(N37+N45)</f>
        <v>0.31310410611242551</v>
      </c>
    </row>
    <row r="47" spans="1:65" s="52" customFormat="1" x14ac:dyDescent="0.35">
      <c r="A47" s="15" t="s">
        <v>10778</v>
      </c>
      <c r="B47" s="15" t="s">
        <v>10455</v>
      </c>
      <c r="C47" s="15" t="s">
        <v>10582</v>
      </c>
      <c r="D47" s="15" t="s">
        <v>10320</v>
      </c>
      <c r="E47" s="15" t="s">
        <v>10815</v>
      </c>
      <c r="F47" s="15">
        <v>187889</v>
      </c>
      <c r="G47" s="15">
        <v>0.89712274742220655</v>
      </c>
      <c r="H47" s="15">
        <v>200</v>
      </c>
      <c r="I47" s="92">
        <v>439.50445422770002</v>
      </c>
      <c r="J47" s="93">
        <v>0.4184518043182554</v>
      </c>
      <c r="K47" s="15">
        <v>30</v>
      </c>
      <c r="L47" s="15">
        <v>175.56047311910999</v>
      </c>
      <c r="M47" s="15">
        <v>25.020825563937013</v>
      </c>
      <c r="N47" s="15">
        <v>65.906999331460824</v>
      </c>
      <c r="O47" s="15">
        <v>12.284702186887975</v>
      </c>
      <c r="P47" s="15">
        <v>25.518613454897487</v>
      </c>
      <c r="Q47" s="15">
        <v>28.103683689675371</v>
      </c>
      <c r="R47" s="15">
        <v>5.2560831966840018</v>
      </c>
      <c r="S47" s="15">
        <v>11.013998763027578</v>
      </c>
      <c r="T47" s="15">
        <v>11.833601729963794</v>
      </c>
      <c r="U47" s="15">
        <v>0</v>
      </c>
      <c r="V47" s="15">
        <v>8003.4560080155452</v>
      </c>
      <c r="W47" s="15">
        <v>0</v>
      </c>
      <c r="X47" s="15">
        <v>0</v>
      </c>
      <c r="Y47" s="15">
        <v>600.0173923711676</v>
      </c>
      <c r="Z47" s="15">
        <v>0</v>
      </c>
      <c r="AA47" s="15">
        <v>0</v>
      </c>
      <c r="AB47" s="15">
        <v>0</v>
      </c>
      <c r="AC47" s="15">
        <v>600.0173923711676</v>
      </c>
      <c r="AD47" s="15">
        <v>160.51293814346758</v>
      </c>
      <c r="AE47" s="15">
        <v>18.017536378206557</v>
      </c>
      <c r="AF47" s="15">
        <v>0</v>
      </c>
      <c r="AG47" s="15">
        <v>0</v>
      </c>
      <c r="AH47" s="15">
        <v>21.677167965261113</v>
      </c>
      <c r="AI47" s="15">
        <v>101.46076875</v>
      </c>
      <c r="AJ47" s="15">
        <v>0</v>
      </c>
      <c r="AK47" s="15">
        <v>0</v>
      </c>
      <c r="AL47" s="15">
        <v>0</v>
      </c>
      <c r="AM47" s="15">
        <v>19.357465050000005</v>
      </c>
      <c r="AN47" s="15">
        <v>0.26751380907334621</v>
      </c>
      <c r="AO47" s="15">
        <v>439.50445422770002</v>
      </c>
      <c r="AP47" s="15">
        <v>39.69470434346767</v>
      </c>
      <c r="AQ47" s="15">
        <v>18.017536378206557</v>
      </c>
      <c r="AR47" s="15">
        <v>0</v>
      </c>
      <c r="AS47" s="15">
        <v>0</v>
      </c>
      <c r="AT47" s="15">
        <v>21.677167965261113</v>
      </c>
      <c r="AU47" s="15">
        <v>383.72118176172353</v>
      </c>
      <c r="AV47" s="15">
        <v>85.17934717469808</v>
      </c>
      <c r="AW47" s="15">
        <v>85.17934717469808</v>
      </c>
      <c r="AX47" s="15">
        <v>0</v>
      </c>
      <c r="AY47" s="15">
        <v>0</v>
      </c>
      <c r="AZ47" s="15">
        <v>212.56014152490951</v>
      </c>
      <c r="BA47" s="15">
        <v>76.930878417473082</v>
      </c>
      <c r="BB47" s="15">
        <v>56.51219296143185</v>
      </c>
      <c r="BC47" s="15">
        <v>79.117070146004579</v>
      </c>
      <c r="BD47" s="15">
        <v>0</v>
      </c>
      <c r="BE47" s="15">
        <v>85.981693062115966</v>
      </c>
      <c r="BF47" s="15">
        <v>29.652397106207243</v>
      </c>
      <c r="BG47" s="15">
        <v>1.4723613094253221</v>
      </c>
      <c r="BH47" s="15">
        <v>54.856934646483396</v>
      </c>
      <c r="BI47" s="15">
        <v>0</v>
      </c>
      <c r="BJ47" s="15">
        <v>423.41588610519119</v>
      </c>
      <c r="BK47" s="51">
        <v>583.92882424865877</v>
      </c>
      <c r="BL47" s="51">
        <v>0.30651016823146443</v>
      </c>
      <c r="BM47" s="51">
        <v>0.4184518043182554</v>
      </c>
    </row>
    <row r="48" spans="1:65" x14ac:dyDescent="0.35">
      <c r="A48" s="15" t="s">
        <v>10778</v>
      </c>
      <c r="B48" s="15" t="s">
        <v>10455</v>
      </c>
      <c r="C48" s="15" t="s">
        <v>10582</v>
      </c>
      <c r="D48" s="15" t="s">
        <v>10321</v>
      </c>
      <c r="E48" s="15" t="s">
        <v>10816</v>
      </c>
      <c r="F48" s="15">
        <v>187889</v>
      </c>
      <c r="G48" s="15">
        <v>0.89712274742220655</v>
      </c>
      <c r="H48" s="15">
        <v>200</v>
      </c>
      <c r="I48" s="92">
        <v>409.28761908861384</v>
      </c>
      <c r="J48" s="93">
        <v>0.43701636173003894</v>
      </c>
      <c r="K48" s="15">
        <v>30</v>
      </c>
      <c r="L48" s="15">
        <v>175.56047311910999</v>
      </c>
      <c r="M48" s="15">
        <v>25.020825563937013</v>
      </c>
      <c r="N48" s="15">
        <v>65.906999331460824</v>
      </c>
      <c r="O48" s="15">
        <v>12.284702186887975</v>
      </c>
      <c r="P48" s="15">
        <v>25.518613454897487</v>
      </c>
      <c r="Q48" s="15">
        <v>28.103683689675371</v>
      </c>
      <c r="R48" s="15">
        <v>5.2560831966840018</v>
      </c>
      <c r="S48" s="15">
        <v>11.013998763027578</v>
      </c>
      <c r="T48" s="15">
        <v>11.833601729963794</v>
      </c>
      <c r="U48" s="15">
        <v>0</v>
      </c>
      <c r="V48" s="15">
        <v>0</v>
      </c>
      <c r="W48" s="15">
        <v>2000.8640020038863</v>
      </c>
      <c r="X48" s="15">
        <v>0</v>
      </c>
      <c r="Y48" s="15">
        <v>600.0173923711676</v>
      </c>
      <c r="Z48" s="15">
        <v>0</v>
      </c>
      <c r="AA48" s="15">
        <v>0</v>
      </c>
      <c r="AB48" s="15">
        <v>0</v>
      </c>
      <c r="AC48" s="15">
        <v>600.0173923711676</v>
      </c>
      <c r="AD48" s="15">
        <v>190.72977328255377</v>
      </c>
      <c r="AE48" s="15">
        <v>-20.473446476401197</v>
      </c>
      <c r="AF48" s="15">
        <v>9.2016709520308968</v>
      </c>
      <c r="AG48" s="15">
        <v>19.865963922951263</v>
      </c>
      <c r="AH48" s="15">
        <v>0</v>
      </c>
      <c r="AI48" s="15">
        <v>101.46076875</v>
      </c>
      <c r="AJ48" s="15">
        <v>0</v>
      </c>
      <c r="AK48" s="15">
        <v>61.317351083972859</v>
      </c>
      <c r="AL48" s="15">
        <v>0</v>
      </c>
      <c r="AM48" s="15">
        <v>19.357465050000005</v>
      </c>
      <c r="AN48" s="15">
        <v>0.31787374117410472</v>
      </c>
      <c r="AO48" s="15">
        <v>409.28761908861384</v>
      </c>
      <c r="AP48" s="15">
        <v>0</v>
      </c>
      <c r="AQ48" s="15">
        <v>0</v>
      </c>
      <c r="AR48" s="15">
        <v>0</v>
      </c>
      <c r="AS48" s="15">
        <v>0</v>
      </c>
      <c r="AT48" s="15">
        <v>0</v>
      </c>
      <c r="AU48" s="15">
        <v>388.1530052838699</v>
      </c>
      <c r="AV48" s="15">
        <v>85.17934717469808</v>
      </c>
      <c r="AW48" s="15">
        <v>85.17934717469808</v>
      </c>
      <c r="AX48" s="15">
        <v>0</v>
      </c>
      <c r="AY48" s="15">
        <v>0</v>
      </c>
      <c r="AZ48" s="15">
        <v>212.56014152490951</v>
      </c>
      <c r="BA48" s="15">
        <v>76.930878417473082</v>
      </c>
      <c r="BB48" s="15">
        <v>56.51219296143185</v>
      </c>
      <c r="BC48" s="15">
        <v>79.117070146004579</v>
      </c>
      <c r="BD48" s="15">
        <v>0</v>
      </c>
      <c r="BE48" s="15">
        <v>90.413516584262311</v>
      </c>
      <c r="BF48" s="15">
        <v>31.207422903451572</v>
      </c>
      <c r="BG48" s="15">
        <v>1.4723613094253221</v>
      </c>
      <c r="BH48" s="15">
        <v>57.733732371385408</v>
      </c>
      <c r="BI48" s="15">
        <v>0</v>
      </c>
      <c r="BJ48" s="15">
        <v>388.1530052838699</v>
      </c>
      <c r="BK48" s="15">
        <v>578.88277856642367</v>
      </c>
      <c r="BL48" s="15">
        <v>0.29810033587261564</v>
      </c>
      <c r="BM48" s="15">
        <v>0.43701636173003894</v>
      </c>
    </row>
    <row r="49" spans="1:65" x14ac:dyDescent="0.35">
      <c r="A49" s="15" t="s">
        <v>10778</v>
      </c>
      <c r="B49" s="15" t="s">
        <v>10455</v>
      </c>
      <c r="C49" s="15" t="s">
        <v>10582</v>
      </c>
      <c r="D49" s="15" t="s">
        <v>10322</v>
      </c>
      <c r="E49" s="15" t="s">
        <v>10817</v>
      </c>
      <c r="F49" s="15">
        <v>187889</v>
      </c>
      <c r="G49" s="15">
        <v>0.89712274742220655</v>
      </c>
      <c r="H49" s="15">
        <v>200</v>
      </c>
      <c r="I49" s="92">
        <v>416.56657459341494</v>
      </c>
      <c r="J49" s="93">
        <v>0.4218499019794324</v>
      </c>
      <c r="K49" s="15">
        <v>30</v>
      </c>
      <c r="L49" s="15">
        <v>175.56047311910999</v>
      </c>
      <c r="M49" s="15">
        <v>25.020825563937013</v>
      </c>
      <c r="N49" s="15">
        <v>65.906999331460824</v>
      </c>
      <c r="O49" s="15">
        <v>12.284702186887975</v>
      </c>
      <c r="P49" s="15">
        <v>25.518613454897487</v>
      </c>
      <c r="Q49" s="15">
        <v>28.103683689675371</v>
      </c>
      <c r="R49" s="15">
        <v>5.2560831966840018</v>
      </c>
      <c r="S49" s="15">
        <v>11.013998763027578</v>
      </c>
      <c r="T49" s="15">
        <v>11.833601729963794</v>
      </c>
      <c r="U49" s="15">
        <v>0</v>
      </c>
      <c r="V49" s="15">
        <v>0</v>
      </c>
      <c r="W49" s="15">
        <v>0</v>
      </c>
      <c r="X49" s="15">
        <v>2000864.0020038863</v>
      </c>
      <c r="Y49" s="15">
        <v>600.0173923711676</v>
      </c>
      <c r="Z49" s="15">
        <v>0</v>
      </c>
      <c r="AA49" s="15">
        <v>0</v>
      </c>
      <c r="AB49" s="15">
        <v>0</v>
      </c>
      <c r="AC49" s="15">
        <v>600.0173923711676</v>
      </c>
      <c r="AD49" s="15">
        <v>183.45081777775266</v>
      </c>
      <c r="AE49" s="15">
        <v>-20.473446476401197</v>
      </c>
      <c r="AF49" s="15">
        <v>0</v>
      </c>
      <c r="AG49" s="15">
        <v>0</v>
      </c>
      <c r="AH49" s="15">
        <v>0</v>
      </c>
      <c r="AI49" s="15">
        <v>101.46076875</v>
      </c>
      <c r="AJ49" s="15">
        <v>0</v>
      </c>
      <c r="AK49" s="15">
        <v>83.106030454153924</v>
      </c>
      <c r="AL49" s="15">
        <v>0</v>
      </c>
      <c r="AM49" s="15">
        <v>19.357465050000005</v>
      </c>
      <c r="AN49" s="15">
        <v>0.30574250031784239</v>
      </c>
      <c r="AO49" s="15">
        <v>416.56657459341494</v>
      </c>
      <c r="AP49" s="15">
        <v>0</v>
      </c>
      <c r="AQ49" s="15">
        <v>0</v>
      </c>
      <c r="AR49" s="15">
        <v>0</v>
      </c>
      <c r="AS49" s="15">
        <v>0</v>
      </c>
      <c r="AT49" s="15">
        <v>0</v>
      </c>
      <c r="AU49" s="15">
        <v>392.2951432535549</v>
      </c>
      <c r="AV49" s="15">
        <v>85.17934717469808</v>
      </c>
      <c r="AW49" s="15">
        <v>85.17934717469808</v>
      </c>
      <c r="AX49" s="15">
        <v>0</v>
      </c>
      <c r="AY49" s="15">
        <v>0</v>
      </c>
      <c r="AZ49" s="15">
        <v>212.56014152490951</v>
      </c>
      <c r="BA49" s="15">
        <v>76.930878417473082</v>
      </c>
      <c r="BB49" s="15">
        <v>56.51219296143185</v>
      </c>
      <c r="BC49" s="15">
        <v>79.117070146004579</v>
      </c>
      <c r="BD49" s="15">
        <v>0</v>
      </c>
      <c r="BE49" s="15">
        <v>94.555654553947278</v>
      </c>
      <c r="BF49" s="15">
        <v>32.660804647200685</v>
      </c>
      <c r="BG49" s="15">
        <v>1.4723613094253221</v>
      </c>
      <c r="BH49" s="15">
        <v>60.422488597321262</v>
      </c>
      <c r="BI49" s="15">
        <v>0</v>
      </c>
      <c r="BJ49" s="15">
        <v>392.2951432535549</v>
      </c>
      <c r="BK49" s="15">
        <v>575.74596103130762</v>
      </c>
      <c r="BL49" s="15">
        <v>0.29287245818940405</v>
      </c>
      <c r="BM49" s="15">
        <v>0.4218499019794324</v>
      </c>
    </row>
    <row r="50" spans="1:65" x14ac:dyDescent="0.35">
      <c r="A50" s="15" t="s">
        <v>10778</v>
      </c>
      <c r="B50" s="15" t="s">
        <v>10455</v>
      </c>
      <c r="C50" s="15" t="s">
        <v>10582</v>
      </c>
      <c r="D50" s="15" t="s">
        <v>10323</v>
      </c>
      <c r="E50" s="15" t="s">
        <v>10818</v>
      </c>
      <c r="F50" s="15">
        <v>187889</v>
      </c>
      <c r="G50" s="15">
        <v>0.89712274742220655</v>
      </c>
      <c r="H50" s="15">
        <v>200</v>
      </c>
      <c r="I50" s="92">
        <v>385.49207066009927</v>
      </c>
      <c r="J50" s="93">
        <v>0.38697672028687558</v>
      </c>
      <c r="K50" s="15">
        <v>30</v>
      </c>
      <c r="L50" s="15">
        <v>129.57733553254852</v>
      </c>
      <c r="M50" s="15">
        <v>21.469614594072713</v>
      </c>
      <c r="N50" s="15">
        <v>65.906999331460824</v>
      </c>
      <c r="O50" s="15">
        <v>9.2612515460568758</v>
      </c>
      <c r="P50" s="15">
        <v>26.598417255194306</v>
      </c>
      <c r="Q50" s="15">
        <v>30.047330530209649</v>
      </c>
      <c r="R50" s="15">
        <v>5.2560831966840018</v>
      </c>
      <c r="S50" s="15">
        <v>12.957645603561854</v>
      </c>
      <c r="T50" s="15">
        <v>11.833601729963794</v>
      </c>
      <c r="U50" s="15">
        <v>0</v>
      </c>
      <c r="V50" s="15">
        <v>0</v>
      </c>
      <c r="W50" s="15">
        <v>0</v>
      </c>
      <c r="X50" s="15">
        <v>0</v>
      </c>
      <c r="Y50" s="15">
        <v>488.85124857351263</v>
      </c>
      <c r="Z50" s="15">
        <v>0</v>
      </c>
      <c r="AA50" s="15">
        <v>0</v>
      </c>
      <c r="AB50" s="15">
        <v>0</v>
      </c>
      <c r="AC50" s="15">
        <v>488.85124857351263</v>
      </c>
      <c r="AD50" s="15">
        <v>103.35917791341336</v>
      </c>
      <c r="AE50" s="15">
        <v>-17.459055886586672</v>
      </c>
      <c r="AF50" s="15">
        <v>0</v>
      </c>
      <c r="AG50" s="15">
        <v>0</v>
      </c>
      <c r="AH50" s="15">
        <v>0</v>
      </c>
      <c r="AI50" s="15">
        <v>101.46076875</v>
      </c>
      <c r="AJ50" s="15">
        <v>0</v>
      </c>
      <c r="AK50" s="15">
        <v>0</v>
      </c>
      <c r="AL50" s="15">
        <v>0</v>
      </c>
      <c r="AM50" s="15">
        <v>19.357465050000005</v>
      </c>
      <c r="AN50" s="15">
        <v>0.21143277881568176</v>
      </c>
      <c r="AO50" s="15">
        <v>385.49207066009927</v>
      </c>
      <c r="AP50" s="15">
        <v>0</v>
      </c>
      <c r="AQ50" s="15">
        <v>0</v>
      </c>
      <c r="AR50" s="15">
        <v>0</v>
      </c>
      <c r="AS50" s="15">
        <v>0</v>
      </c>
      <c r="AT50" s="15">
        <v>0</v>
      </c>
      <c r="AU50" s="15">
        <v>334.66852786074099</v>
      </c>
      <c r="AV50" s="15">
        <v>81.864767824120335</v>
      </c>
      <c r="AW50" s="15">
        <v>81.864767824120335</v>
      </c>
      <c r="AX50" s="15">
        <v>0</v>
      </c>
      <c r="AY50" s="15">
        <v>0</v>
      </c>
      <c r="AZ50" s="15">
        <v>174.57709689460276</v>
      </c>
      <c r="BA50" s="15">
        <v>76.930878417473082</v>
      </c>
      <c r="BB50" s="15">
        <v>40.685924365470704</v>
      </c>
      <c r="BC50" s="15">
        <v>56.960294111658982</v>
      </c>
      <c r="BD50" s="15">
        <v>0</v>
      </c>
      <c r="BE50" s="15">
        <v>78.226663142017927</v>
      </c>
      <c r="BF50" s="15">
        <v>26.931333976348284</v>
      </c>
      <c r="BG50" s="15">
        <v>1.4723613094253221</v>
      </c>
      <c r="BH50" s="15">
        <v>49.822967856244318</v>
      </c>
      <c r="BI50" s="15">
        <v>0</v>
      </c>
      <c r="BJ50" s="15">
        <v>334.66852786074099</v>
      </c>
      <c r="BK50" s="15">
        <v>438.02770577415436</v>
      </c>
      <c r="BL50" s="15">
        <v>0.30515715697964269</v>
      </c>
      <c r="BM50" s="15">
        <v>0.38697672028687558</v>
      </c>
    </row>
    <row r="51" spans="1:65" x14ac:dyDescent="0.35">
      <c r="A51" s="15" t="s">
        <v>10778</v>
      </c>
      <c r="B51" s="15" t="s">
        <v>10455</v>
      </c>
      <c r="C51" s="15" t="s">
        <v>10582</v>
      </c>
      <c r="D51" s="15" t="s">
        <v>10324</v>
      </c>
      <c r="E51" s="15" t="s">
        <v>10819</v>
      </c>
      <c r="F51" s="15">
        <v>187889</v>
      </c>
      <c r="G51" s="15">
        <v>0.89712274742220655</v>
      </c>
      <c r="H51" s="15">
        <v>200</v>
      </c>
      <c r="I51" s="92">
        <v>485.36851355363098</v>
      </c>
      <c r="J51" s="93">
        <v>0.15575331544996349</v>
      </c>
      <c r="K51" s="15">
        <v>30</v>
      </c>
      <c r="L51" s="15">
        <v>196.37167594605947</v>
      </c>
      <c r="M51" s="15">
        <v>24.312508837763932</v>
      </c>
      <c r="N51" s="15">
        <v>65.906999331460824</v>
      </c>
      <c r="O51" s="15">
        <v>14.769593782682044</v>
      </c>
      <c r="P51" s="15">
        <v>23.055586506131625</v>
      </c>
      <c r="Q51" s="15">
        <v>28.081819042647162</v>
      </c>
      <c r="R51" s="15">
        <v>5.2560831966840018</v>
      </c>
      <c r="S51" s="15">
        <v>0</v>
      </c>
      <c r="T51" s="15">
        <v>22.825735845963166</v>
      </c>
      <c r="U51" s="15">
        <v>0</v>
      </c>
      <c r="V51" s="15">
        <v>0</v>
      </c>
      <c r="W51" s="15">
        <v>0</v>
      </c>
      <c r="X51" s="15">
        <v>0</v>
      </c>
      <c r="Y51" s="15">
        <v>606.37125780591555</v>
      </c>
      <c r="Z51" s="15">
        <v>0</v>
      </c>
      <c r="AA51" s="15">
        <v>0</v>
      </c>
      <c r="AB51" s="15">
        <v>0</v>
      </c>
      <c r="AC51" s="15">
        <v>606.37125780591555</v>
      </c>
      <c r="AD51" s="15">
        <v>121.00274425228457</v>
      </c>
      <c r="AE51" s="15">
        <v>-17.796477655215423</v>
      </c>
      <c r="AF51" s="15">
        <v>0</v>
      </c>
      <c r="AG51" s="15">
        <v>0</v>
      </c>
      <c r="AH51" s="15">
        <v>0</v>
      </c>
      <c r="AI51" s="15">
        <v>101.46076875</v>
      </c>
      <c r="AJ51" s="15">
        <v>0</v>
      </c>
      <c r="AK51" s="15">
        <v>0</v>
      </c>
      <c r="AL51" s="15">
        <v>0</v>
      </c>
      <c r="AM51" s="15">
        <v>37.338453157500012</v>
      </c>
      <c r="AN51" s="15">
        <v>0.19955224244981373</v>
      </c>
      <c r="AO51" s="15">
        <v>485.36851355363098</v>
      </c>
      <c r="AP51" s="15">
        <v>0</v>
      </c>
      <c r="AQ51" s="15">
        <v>0</v>
      </c>
      <c r="AR51" s="15">
        <v>0</v>
      </c>
      <c r="AS51" s="15">
        <v>0</v>
      </c>
      <c r="AT51" s="15">
        <v>0</v>
      </c>
      <c r="AU51" s="15">
        <v>360.9662687546296</v>
      </c>
      <c r="AV51" s="15">
        <v>93.181953462820005</v>
      </c>
      <c r="AW51" s="15">
        <v>93.181953462820005</v>
      </c>
      <c r="AX51" s="15">
        <v>0</v>
      </c>
      <c r="AY51" s="15">
        <v>0</v>
      </c>
      <c r="AZ51" s="15">
        <v>172.56000944928161</v>
      </c>
      <c r="BA51" s="15">
        <v>76.930878417473082</v>
      </c>
      <c r="BB51" s="15">
        <v>39.845471263253557</v>
      </c>
      <c r="BC51" s="15">
        <v>55.783659768554976</v>
      </c>
      <c r="BD51" s="15">
        <v>0</v>
      </c>
      <c r="BE51" s="15">
        <v>95.224305842527968</v>
      </c>
      <c r="BF51" s="15">
        <v>32.895419134421978</v>
      </c>
      <c r="BG51" s="15">
        <v>1.4723613094253221</v>
      </c>
      <c r="BH51" s="15">
        <v>60.85652539868066</v>
      </c>
      <c r="BI51" s="15">
        <v>0</v>
      </c>
      <c r="BJ51" s="15">
        <v>360.9662687546296</v>
      </c>
      <c r="BK51" s="15">
        <v>481.96901300691417</v>
      </c>
      <c r="BL51" s="15">
        <v>0.12467239208293006</v>
      </c>
      <c r="BM51" s="15">
        <v>0.15575331544996349</v>
      </c>
    </row>
    <row r="52" spans="1:65" x14ac:dyDescent="0.35">
      <c r="A52" s="15" t="s">
        <v>10778</v>
      </c>
      <c r="B52" s="15" t="s">
        <v>10455</v>
      </c>
      <c r="C52" s="15" t="s">
        <v>10582</v>
      </c>
      <c r="D52" s="15" t="s">
        <v>10325</v>
      </c>
      <c r="E52" s="15" t="s">
        <v>10820</v>
      </c>
      <c r="F52" s="15">
        <v>187889</v>
      </c>
      <c r="G52" s="15">
        <v>0.89712274742220655</v>
      </c>
      <c r="H52" s="15">
        <v>200</v>
      </c>
      <c r="I52" s="92">
        <v>726.95254137945005</v>
      </c>
      <c r="J52" s="93">
        <v>0.20406102622555961</v>
      </c>
      <c r="K52" s="15">
        <v>30</v>
      </c>
      <c r="L52" s="15">
        <v>348.47501527205617</v>
      </c>
      <c r="M52" s="15">
        <v>39.331121829617622</v>
      </c>
      <c r="N52" s="15">
        <v>65.906999331460824</v>
      </c>
      <c r="O52" s="15">
        <v>48.164818881549159</v>
      </c>
      <c r="P52" s="15">
        <v>12.130183226955371</v>
      </c>
      <c r="Q52" s="15">
        <v>5.6119972229563118</v>
      </c>
      <c r="R52" s="15">
        <v>5.6119972229563118</v>
      </c>
      <c r="S52" s="15">
        <v>0</v>
      </c>
      <c r="T52" s="15">
        <v>0</v>
      </c>
      <c r="U52" s="15">
        <v>41789.579481751876</v>
      </c>
      <c r="V52" s="15">
        <v>0</v>
      </c>
      <c r="W52" s="15">
        <v>0</v>
      </c>
      <c r="X52" s="15">
        <v>0</v>
      </c>
      <c r="Y52" s="15">
        <v>1024.8267212890587</v>
      </c>
      <c r="Z52" s="15">
        <v>0</v>
      </c>
      <c r="AA52" s="15">
        <v>0</v>
      </c>
      <c r="AB52" s="15">
        <v>0</v>
      </c>
      <c r="AC52" s="15">
        <v>1024.8267212890587</v>
      </c>
      <c r="AD52" s="15">
        <v>297.87417990960864</v>
      </c>
      <c r="AE52" s="15">
        <v>27.690506260525446</v>
      </c>
      <c r="AF52" s="15">
        <v>0</v>
      </c>
      <c r="AG52" s="15">
        <v>0</v>
      </c>
      <c r="AH52" s="15">
        <v>127.20248690249093</v>
      </c>
      <c r="AI52" s="15">
        <v>123.00035822944253</v>
      </c>
      <c r="AJ52" s="15">
        <v>19.980828517149657</v>
      </c>
      <c r="AK52" s="15">
        <v>0</v>
      </c>
      <c r="AL52" s="15">
        <v>0</v>
      </c>
      <c r="AM52" s="15">
        <v>0</v>
      </c>
      <c r="AN52" s="15">
        <v>0.29065809245775059</v>
      </c>
      <c r="AO52" s="15">
        <v>726.95254137945005</v>
      </c>
      <c r="AP52" s="15">
        <v>154.89299316301637</v>
      </c>
      <c r="AQ52" s="15">
        <v>27.690506260525446</v>
      </c>
      <c r="AR52" s="15">
        <v>0</v>
      </c>
      <c r="AS52" s="15">
        <v>0</v>
      </c>
      <c r="AT52" s="15">
        <v>127.20248690249093</v>
      </c>
      <c r="AU52" s="15">
        <v>520.4022298276027</v>
      </c>
      <c r="AV52" s="15">
        <v>136.97451929708416</v>
      </c>
      <c r="AW52" s="15">
        <v>136.97451929708416</v>
      </c>
      <c r="AX52" s="15">
        <v>0</v>
      </c>
      <c r="AY52" s="15">
        <v>0</v>
      </c>
      <c r="AZ52" s="15">
        <v>252.24559044813913</v>
      </c>
      <c r="BA52" s="15">
        <v>82.718698010625403</v>
      </c>
      <c r="BB52" s="15">
        <v>70.636205182297374</v>
      </c>
      <c r="BC52" s="15">
        <v>98.890687255216321</v>
      </c>
      <c r="BD52" s="15">
        <v>0</v>
      </c>
      <c r="BE52" s="15">
        <v>131.18212008237944</v>
      </c>
      <c r="BF52" s="15">
        <v>45.473328809157728</v>
      </c>
      <c r="BG52" s="15">
        <v>1.5831329762799125</v>
      </c>
      <c r="BH52" s="15">
        <v>84.125658296941793</v>
      </c>
      <c r="BI52" s="15">
        <v>0</v>
      </c>
      <c r="BJ52" s="15">
        <v>675.2952229906191</v>
      </c>
      <c r="BK52" s="15">
        <v>973.16940290022774</v>
      </c>
      <c r="BL52" s="15">
        <v>0.14474903759786742</v>
      </c>
      <c r="BM52" s="15">
        <v>0.20406102622555961</v>
      </c>
    </row>
    <row r="53" spans="1:65" x14ac:dyDescent="0.35">
      <c r="A53" s="15" t="s">
        <v>10778</v>
      </c>
      <c r="B53" s="15" t="s">
        <v>10455</v>
      </c>
      <c r="C53" s="15" t="s">
        <v>10582</v>
      </c>
      <c r="D53" s="15" t="s">
        <v>10326</v>
      </c>
      <c r="E53" s="15" t="s">
        <v>10821</v>
      </c>
      <c r="F53" s="15">
        <v>187889</v>
      </c>
      <c r="G53" s="15">
        <v>0.89712274742220655</v>
      </c>
      <c r="H53" s="15">
        <v>200</v>
      </c>
      <c r="I53" s="92">
        <v>674.75696741852244</v>
      </c>
      <c r="J53" s="93">
        <v>0.30182491764128239</v>
      </c>
      <c r="K53" s="15">
        <v>30</v>
      </c>
      <c r="L53" s="15">
        <v>392.46733284055205</v>
      </c>
      <c r="M53" s="15">
        <v>34.047941101912357</v>
      </c>
      <c r="N53" s="15">
        <v>65.906999331460824</v>
      </c>
      <c r="O53" s="15">
        <v>48.164818881549159</v>
      </c>
      <c r="P53" s="15">
        <v>12.130183226955371</v>
      </c>
      <c r="Q53" s="15">
        <v>5.6119972229563118</v>
      </c>
      <c r="R53" s="15">
        <v>5.6119972229563118</v>
      </c>
      <c r="S53" s="15">
        <v>0</v>
      </c>
      <c r="T53" s="15">
        <v>0</v>
      </c>
      <c r="U53" s="15">
        <v>41789.579481751876</v>
      </c>
      <c r="V53" s="15">
        <v>0</v>
      </c>
      <c r="W53" s="15">
        <v>0</v>
      </c>
      <c r="X53" s="15">
        <v>0</v>
      </c>
      <c r="Y53" s="15">
        <v>984.21343807358994</v>
      </c>
      <c r="Z53" s="15">
        <v>0</v>
      </c>
      <c r="AA53" s="15">
        <v>0</v>
      </c>
      <c r="AB53" s="15">
        <v>0</v>
      </c>
      <c r="AC53" s="15">
        <v>984.21343807358994</v>
      </c>
      <c r="AD53" s="15">
        <v>309.45647065506751</v>
      </c>
      <c r="AE53" s="15">
        <v>29.664992244645646</v>
      </c>
      <c r="AF53" s="15">
        <v>0</v>
      </c>
      <c r="AG53" s="15">
        <v>0</v>
      </c>
      <c r="AH53" s="15">
        <v>135.61587660943164</v>
      </c>
      <c r="AI53" s="15">
        <v>123.00035822944253</v>
      </c>
      <c r="AJ53" s="15">
        <v>21.175243571547693</v>
      </c>
      <c r="AK53" s="15">
        <v>0</v>
      </c>
      <c r="AL53" s="15">
        <v>0</v>
      </c>
      <c r="AM53" s="15">
        <v>0</v>
      </c>
      <c r="AN53" s="15">
        <v>0.31442008276250477</v>
      </c>
      <c r="AO53" s="15">
        <v>674.75696741852244</v>
      </c>
      <c r="AP53" s="15">
        <v>165.28086885407728</v>
      </c>
      <c r="AQ53" s="15">
        <v>29.664992244645646</v>
      </c>
      <c r="AR53" s="15">
        <v>0</v>
      </c>
      <c r="AS53" s="15">
        <v>0</v>
      </c>
      <c r="AT53" s="15">
        <v>135.61587660943164</v>
      </c>
      <c r="AU53" s="15">
        <v>513.13456468342224</v>
      </c>
      <c r="AV53" s="15">
        <v>136.97451929708416</v>
      </c>
      <c r="AW53" s="15">
        <v>136.97451929708416</v>
      </c>
      <c r="AX53" s="15">
        <v>0</v>
      </c>
      <c r="AY53" s="15">
        <v>0</v>
      </c>
      <c r="AZ53" s="15">
        <v>252.24559044813913</v>
      </c>
      <c r="BA53" s="15">
        <v>82.718698010625403</v>
      </c>
      <c r="BB53" s="15">
        <v>70.636205182297374</v>
      </c>
      <c r="BC53" s="15">
        <v>98.890687255216321</v>
      </c>
      <c r="BD53" s="15">
        <v>0</v>
      </c>
      <c r="BE53" s="15">
        <v>123.91445493819896</v>
      </c>
      <c r="BF53" s="15">
        <v>42.923270863831249</v>
      </c>
      <c r="BG53" s="15">
        <v>1.5831329762799125</v>
      </c>
      <c r="BH53" s="15">
        <v>79.408051098087796</v>
      </c>
      <c r="BI53" s="15">
        <v>0</v>
      </c>
      <c r="BJ53" s="15">
        <v>678.41543353749955</v>
      </c>
      <c r="BK53" s="15">
        <v>987.87190419256706</v>
      </c>
      <c r="BL53" s="15">
        <v>0.20692510205672421</v>
      </c>
      <c r="BM53" s="15">
        <v>0.30182491764128239</v>
      </c>
    </row>
    <row r="54" spans="1:65" s="56" customFormat="1" x14ac:dyDescent="0.35">
      <c r="A54" s="55" t="s">
        <v>10778</v>
      </c>
      <c r="B54" s="55" t="s">
        <v>10455</v>
      </c>
      <c r="C54" s="55" t="s">
        <v>10803</v>
      </c>
      <c r="D54" s="55" t="s">
        <v>10323</v>
      </c>
      <c r="E54" s="55" t="s">
        <v>10822</v>
      </c>
      <c r="F54" s="55">
        <v>187889</v>
      </c>
      <c r="G54" s="55">
        <v>0.89712274742220655</v>
      </c>
      <c r="H54" s="55">
        <v>200</v>
      </c>
      <c r="I54" s="55">
        <v>385.49207066009927</v>
      </c>
      <c r="J54" s="94">
        <v>0.38697672028687558</v>
      </c>
      <c r="K54" s="55">
        <v>30</v>
      </c>
      <c r="L54" s="55">
        <v>129.57733553254852</v>
      </c>
      <c r="M54" s="55">
        <v>21.469614594072713</v>
      </c>
      <c r="N54" s="55">
        <v>65.906999331460824</v>
      </c>
      <c r="O54" s="55">
        <v>9.2612515460568758</v>
      </c>
      <c r="P54" s="55">
        <v>26.598417255194306</v>
      </c>
      <c r="Q54" s="55">
        <v>30.047330530209649</v>
      </c>
      <c r="R54" s="55">
        <v>5.2560831966840018</v>
      </c>
      <c r="S54" s="55">
        <v>12.957645603561854</v>
      </c>
      <c r="T54" s="55">
        <v>11.833601729963794</v>
      </c>
      <c r="U54" s="55">
        <v>0</v>
      </c>
      <c r="V54" s="55">
        <v>0</v>
      </c>
      <c r="W54" s="55">
        <v>0</v>
      </c>
      <c r="X54" s="55">
        <v>0</v>
      </c>
      <c r="Y54" s="55">
        <v>488.85124857351263</v>
      </c>
      <c r="Z54" s="55">
        <v>0</v>
      </c>
      <c r="AA54" s="55">
        <v>0</v>
      </c>
      <c r="AB54" s="55">
        <v>0</v>
      </c>
      <c r="AC54" s="55">
        <v>488.85124857351263</v>
      </c>
      <c r="AD54" s="55">
        <v>103.35917791341336</v>
      </c>
      <c r="AE54" s="55">
        <v>-17.459055886586672</v>
      </c>
      <c r="AF54" s="55">
        <v>0</v>
      </c>
      <c r="AG54" s="55">
        <v>0</v>
      </c>
      <c r="AH54" s="55">
        <v>0</v>
      </c>
      <c r="AI54" s="55">
        <v>101.46076875</v>
      </c>
      <c r="AJ54" s="55">
        <v>0</v>
      </c>
      <c r="AK54" s="55">
        <v>0</v>
      </c>
      <c r="AL54" s="55">
        <v>0</v>
      </c>
      <c r="AM54" s="55">
        <v>19.357465050000005</v>
      </c>
      <c r="AN54" s="55">
        <v>0.21143277881568176</v>
      </c>
      <c r="AO54" s="55">
        <v>385.49207066009927</v>
      </c>
      <c r="AP54" s="55">
        <v>0</v>
      </c>
      <c r="AQ54" s="55">
        <v>0</v>
      </c>
      <c r="AR54" s="55">
        <v>0</v>
      </c>
      <c r="AS54" s="55">
        <v>0</v>
      </c>
      <c r="AT54" s="55">
        <v>0</v>
      </c>
      <c r="AU54" s="55">
        <v>334.66852786074099</v>
      </c>
      <c r="AV54" s="55">
        <v>81.864767824120335</v>
      </c>
      <c r="AW54" s="55">
        <v>81.864767824120335</v>
      </c>
      <c r="AX54" s="55">
        <v>0</v>
      </c>
      <c r="AY54" s="55">
        <v>0</v>
      </c>
      <c r="AZ54" s="55">
        <v>174.57709689460276</v>
      </c>
      <c r="BA54" s="55">
        <v>76.930878417473082</v>
      </c>
      <c r="BB54" s="55">
        <v>40.685924365470704</v>
      </c>
      <c r="BC54" s="55">
        <v>56.960294111658982</v>
      </c>
      <c r="BD54" s="55">
        <v>0</v>
      </c>
      <c r="BE54" s="55">
        <v>78.226663142017927</v>
      </c>
      <c r="BF54" s="55">
        <v>26.931333976348284</v>
      </c>
      <c r="BG54" s="55">
        <v>1.4723613094253221</v>
      </c>
      <c r="BH54" s="55">
        <v>49.822967856244318</v>
      </c>
      <c r="BI54" s="55">
        <v>0</v>
      </c>
      <c r="BJ54" s="55">
        <v>334.66852786074099</v>
      </c>
      <c r="BK54" s="55">
        <v>438.02770577415436</v>
      </c>
      <c r="BL54" s="55">
        <v>0.30515715697964269</v>
      </c>
      <c r="BM54" s="55">
        <v>0.38697672028687558</v>
      </c>
    </row>
    <row r="55" spans="1:65" s="56" customFormat="1" x14ac:dyDescent="0.35">
      <c r="A55" s="15" t="s">
        <v>10778</v>
      </c>
      <c r="B55" s="15" t="s">
        <v>10455</v>
      </c>
      <c r="C55" s="15" t="s">
        <v>10585</v>
      </c>
      <c r="D55" s="15" t="s">
        <v>10320</v>
      </c>
      <c r="E55" s="15" t="s">
        <v>10823</v>
      </c>
      <c r="F55" s="15">
        <v>1429</v>
      </c>
      <c r="G55" s="15">
        <v>0.89726506705522591</v>
      </c>
      <c r="H55" s="15">
        <v>200</v>
      </c>
      <c r="I55" s="92">
        <v>16386.981216711043</v>
      </c>
      <c r="J55" s="93">
        <v>-0.67981155969330542</v>
      </c>
      <c r="K55" s="15">
        <v>30</v>
      </c>
      <c r="L55" s="15">
        <v>37.466948322338901</v>
      </c>
      <c r="M55" s="15">
        <v>7.9413672126506878</v>
      </c>
      <c r="N55" s="15">
        <v>0.5013387848310602</v>
      </c>
      <c r="O55" s="15">
        <v>9.344679212919306E-2</v>
      </c>
      <c r="P55" s="15">
        <v>0.19411399077221925</v>
      </c>
      <c r="Q55" s="15">
        <v>0.21377800192964791</v>
      </c>
      <c r="R55" s="15">
        <v>3.9981768090277051E-2</v>
      </c>
      <c r="S55" s="15">
        <v>8.3780855022954015E-2</v>
      </c>
      <c r="T55" s="15">
        <v>9.0015378816416858E-2</v>
      </c>
      <c r="U55" s="15">
        <v>0</v>
      </c>
      <c r="V55" s="15">
        <v>60.880376139230698</v>
      </c>
      <c r="W55" s="15">
        <v>0</v>
      </c>
      <c r="X55" s="15">
        <v>0</v>
      </c>
      <c r="Y55" s="15">
        <v>16548.633562511044</v>
      </c>
      <c r="Z55" s="15">
        <v>0</v>
      </c>
      <c r="AA55" s="15">
        <v>0</v>
      </c>
      <c r="AB55" s="15">
        <v>0</v>
      </c>
      <c r="AC55" s="15">
        <v>16548.633562511044</v>
      </c>
      <c r="AD55" s="15">
        <v>161.65234580000106</v>
      </c>
      <c r="AE55" s="15">
        <v>0</v>
      </c>
      <c r="AF55" s="15">
        <v>0</v>
      </c>
      <c r="AG55" s="15">
        <v>0</v>
      </c>
      <c r="AH55" s="15">
        <v>40.834111999999998</v>
      </c>
      <c r="AI55" s="15">
        <v>101.46076874999997</v>
      </c>
      <c r="AJ55" s="15">
        <v>0</v>
      </c>
      <c r="AK55" s="15">
        <v>0</v>
      </c>
      <c r="AL55" s="15">
        <v>0</v>
      </c>
      <c r="AM55" s="15">
        <v>19.357465049999998</v>
      </c>
      <c r="AN55" s="15">
        <v>9.7683198548915336E-3</v>
      </c>
      <c r="AO55" s="15">
        <v>16386.981216711043</v>
      </c>
      <c r="AP55" s="15">
        <v>40.834111999999998</v>
      </c>
      <c r="AQ55" s="15">
        <v>0</v>
      </c>
      <c r="AR55" s="15">
        <v>0</v>
      </c>
      <c r="AS55" s="15">
        <v>0</v>
      </c>
      <c r="AT55" s="15">
        <v>40.834111999999998</v>
      </c>
      <c r="AU55" s="15">
        <v>5006.0878451138096</v>
      </c>
      <c r="AV55" s="15">
        <v>135.54286848762263</v>
      </c>
      <c r="AW55" s="15">
        <v>135.54286848762263</v>
      </c>
      <c r="AX55" s="15">
        <v>0</v>
      </c>
      <c r="AY55" s="15">
        <v>0</v>
      </c>
      <c r="AZ55" s="15">
        <v>1539.4008625249851</v>
      </c>
      <c r="BA55" s="15">
        <v>76.930878417473082</v>
      </c>
      <c r="BB55" s="15">
        <v>609.36249337813001</v>
      </c>
      <c r="BC55" s="15">
        <v>853.10749072938199</v>
      </c>
      <c r="BD55" s="15">
        <v>0</v>
      </c>
      <c r="BE55" s="15">
        <v>3331.1441141012019</v>
      </c>
      <c r="BF55" s="15">
        <v>1168.3058781725531</v>
      </c>
      <c r="BG55" s="15">
        <v>1.4723613094253221</v>
      </c>
      <c r="BH55" s="15">
        <v>2161.3658746192232</v>
      </c>
      <c r="BI55" s="15">
        <v>0</v>
      </c>
      <c r="BJ55" s="15">
        <v>5046.9219571138092</v>
      </c>
      <c r="BK55" s="55">
        <v>5208.5743029138102</v>
      </c>
      <c r="BL55" s="55">
        <v>-0.6731709429371685</v>
      </c>
      <c r="BM55" s="55">
        <v>-0.67981155969330542</v>
      </c>
    </row>
    <row r="56" spans="1:65" s="52" customFormat="1" x14ac:dyDescent="0.35">
      <c r="A56" s="15" t="s">
        <v>10778</v>
      </c>
      <c r="B56" s="15" t="s">
        <v>10455</v>
      </c>
      <c r="C56" s="15" t="s">
        <v>10585</v>
      </c>
      <c r="D56" s="15" t="s">
        <v>10321</v>
      </c>
      <c r="E56" s="15" t="s">
        <v>10824</v>
      </c>
      <c r="F56" s="15">
        <v>1429</v>
      </c>
      <c r="G56" s="15">
        <v>0.89726506705522591</v>
      </c>
      <c r="H56" s="15">
        <v>200</v>
      </c>
      <c r="I56" s="92">
        <v>16212.589193788821</v>
      </c>
      <c r="J56" s="93">
        <v>-0.71211427684288731</v>
      </c>
      <c r="K56" s="15">
        <v>30</v>
      </c>
      <c r="L56" s="15">
        <v>37.466948322338901</v>
      </c>
      <c r="M56" s="15">
        <v>7.9413672126506878</v>
      </c>
      <c r="N56" s="15">
        <v>0.5013387848310602</v>
      </c>
      <c r="O56" s="15">
        <v>9.344679212919306E-2</v>
      </c>
      <c r="P56" s="15">
        <v>0.19411399077221925</v>
      </c>
      <c r="Q56" s="15">
        <v>0.21377800192964791</v>
      </c>
      <c r="R56" s="15">
        <v>3.9981768090277051E-2</v>
      </c>
      <c r="S56" s="15">
        <v>8.3780855022954015E-2</v>
      </c>
      <c r="T56" s="15">
        <v>9.0015378816416858E-2</v>
      </c>
      <c r="U56" s="15">
        <v>0</v>
      </c>
      <c r="V56" s="15">
        <v>0</v>
      </c>
      <c r="W56" s="15">
        <v>15.220094034807675</v>
      </c>
      <c r="X56" s="15">
        <v>0</v>
      </c>
      <c r="Y56" s="15">
        <v>16548.633562511044</v>
      </c>
      <c r="Z56" s="15">
        <v>0</v>
      </c>
      <c r="AA56" s="15">
        <v>0</v>
      </c>
      <c r="AB56" s="15">
        <v>0</v>
      </c>
      <c r="AC56" s="15">
        <v>16548.633562511044</v>
      </c>
      <c r="AD56" s="15">
        <v>336.04436872222323</v>
      </c>
      <c r="AE56" s="15">
        <v>0</v>
      </c>
      <c r="AF56" s="15">
        <v>1209.6700666958855</v>
      </c>
      <c r="AG56" s="15">
        <v>2611.619349239018</v>
      </c>
      <c r="AH56" s="15">
        <v>0</v>
      </c>
      <c r="AI56" s="15">
        <v>101.46076874999997</v>
      </c>
      <c r="AJ56" s="15">
        <v>0</v>
      </c>
      <c r="AK56" s="15">
        <v>-3606.0632810126799</v>
      </c>
      <c r="AL56" s="15">
        <v>0</v>
      </c>
      <c r="AM56" s="15">
        <v>19.357465049999998</v>
      </c>
      <c r="AN56" s="15">
        <v>2.0306472280798561E-2</v>
      </c>
      <c r="AO56" s="15">
        <v>16212.589193788821</v>
      </c>
      <c r="AP56" s="15">
        <v>0</v>
      </c>
      <c r="AQ56" s="15">
        <v>0</v>
      </c>
      <c r="AR56" s="15">
        <v>0</v>
      </c>
      <c r="AS56" s="15">
        <v>0</v>
      </c>
      <c r="AT56" s="15">
        <v>0</v>
      </c>
      <c r="AU56" s="15">
        <v>4467.3729643030856</v>
      </c>
      <c r="AV56" s="15">
        <v>135.54286848762263</v>
      </c>
      <c r="AW56" s="15">
        <v>135.54286848762263</v>
      </c>
      <c r="AX56" s="15">
        <v>0</v>
      </c>
      <c r="AY56" s="15">
        <v>0</v>
      </c>
      <c r="AZ56" s="15">
        <v>1539.4008625249851</v>
      </c>
      <c r="BA56" s="15">
        <v>76.930878417473082</v>
      </c>
      <c r="BB56" s="15">
        <v>609.36249337813001</v>
      </c>
      <c r="BC56" s="15">
        <v>853.10749072938199</v>
      </c>
      <c r="BD56" s="15">
        <v>0</v>
      </c>
      <c r="BE56" s="15">
        <v>2792.4292332904784</v>
      </c>
      <c r="BF56" s="15">
        <v>979.28311297580808</v>
      </c>
      <c r="BG56" s="15">
        <v>1.4723613094253221</v>
      </c>
      <c r="BH56" s="15">
        <v>1811.6737590052448</v>
      </c>
      <c r="BI56" s="15">
        <v>0</v>
      </c>
      <c r="BJ56" s="15">
        <v>4467.3729643030856</v>
      </c>
      <c r="BK56" s="51">
        <v>4803.4173330253088</v>
      </c>
      <c r="BL56" s="51">
        <v>-0.69765374801941626</v>
      </c>
      <c r="BM56" s="51">
        <v>-0.71211427684288731</v>
      </c>
    </row>
    <row r="57" spans="1:65" x14ac:dyDescent="0.35">
      <c r="A57" s="15" t="s">
        <v>10778</v>
      </c>
      <c r="B57" s="15" t="s">
        <v>10455</v>
      </c>
      <c r="C57" s="15" t="s">
        <v>10585</v>
      </c>
      <c r="D57" s="15" t="s">
        <v>10322</v>
      </c>
      <c r="E57" s="15" t="s">
        <v>10825</v>
      </c>
      <c r="F57" s="15">
        <v>1429</v>
      </c>
      <c r="G57" s="15">
        <v>0.89726506705522591</v>
      </c>
      <c r="H57" s="15">
        <v>200</v>
      </c>
      <c r="I57" s="92">
        <v>17169.495242360983</v>
      </c>
      <c r="J57" s="93">
        <v>-0.69644380149191165</v>
      </c>
      <c r="K57" s="15">
        <v>30</v>
      </c>
      <c r="L57" s="15">
        <v>37.466948322338901</v>
      </c>
      <c r="M57" s="15">
        <v>7.9413672126506878</v>
      </c>
      <c r="N57" s="15">
        <v>0.5013387848310602</v>
      </c>
      <c r="O57" s="15">
        <v>9.344679212919306E-2</v>
      </c>
      <c r="P57" s="15">
        <v>0.19411399077221925</v>
      </c>
      <c r="Q57" s="15">
        <v>0.21377800192964791</v>
      </c>
      <c r="R57" s="15">
        <v>3.9981768090277051E-2</v>
      </c>
      <c r="S57" s="15">
        <v>8.3780855022954015E-2</v>
      </c>
      <c r="T57" s="15">
        <v>9.0015378816416858E-2</v>
      </c>
      <c r="U57" s="15">
        <v>0</v>
      </c>
      <c r="V57" s="15">
        <v>0</v>
      </c>
      <c r="W57" s="15">
        <v>0</v>
      </c>
      <c r="X57" s="15">
        <v>15220.094034807675</v>
      </c>
      <c r="Y57" s="15">
        <v>16548.633562511044</v>
      </c>
      <c r="Z57" s="15">
        <v>0</v>
      </c>
      <c r="AA57" s="15">
        <v>0</v>
      </c>
      <c r="AB57" s="15">
        <v>0</v>
      </c>
      <c r="AC57" s="15">
        <v>16548.633562511044</v>
      </c>
      <c r="AD57" s="15">
        <v>-620.86167984993881</v>
      </c>
      <c r="AE57" s="15">
        <v>0</v>
      </c>
      <c r="AF57" s="15">
        <v>0</v>
      </c>
      <c r="AG57" s="15">
        <v>0</v>
      </c>
      <c r="AH57" s="15">
        <v>0</v>
      </c>
      <c r="AI57" s="15">
        <v>101.46076874999997</v>
      </c>
      <c r="AJ57" s="15">
        <v>0</v>
      </c>
      <c r="AK57" s="15">
        <v>-741.6799136499377</v>
      </c>
      <c r="AL57" s="15">
        <v>0</v>
      </c>
      <c r="AM57" s="15">
        <v>19.357465049999998</v>
      </c>
      <c r="AN57" s="15">
        <v>-3.751739849122207E-2</v>
      </c>
      <c r="AO57" s="15">
        <v>17169.495242360983</v>
      </c>
      <c r="AP57" s="15">
        <v>0</v>
      </c>
      <c r="AQ57" s="15">
        <v>0</v>
      </c>
      <c r="AR57" s="15">
        <v>0</v>
      </c>
      <c r="AS57" s="15">
        <v>0</v>
      </c>
      <c r="AT57" s="15">
        <v>0</v>
      </c>
      <c r="AU57" s="15">
        <v>5011.9067060738098</v>
      </c>
      <c r="AV57" s="15">
        <v>135.54286848762263</v>
      </c>
      <c r="AW57" s="15">
        <v>135.54286848762263</v>
      </c>
      <c r="AX57" s="15">
        <v>0</v>
      </c>
      <c r="AY57" s="15">
        <v>0</v>
      </c>
      <c r="AZ57" s="15">
        <v>1539.4008625249851</v>
      </c>
      <c r="BA57" s="15">
        <v>76.930878417473082</v>
      </c>
      <c r="BB57" s="15">
        <v>609.36249337813001</v>
      </c>
      <c r="BC57" s="15">
        <v>853.10749072938199</v>
      </c>
      <c r="BD57" s="15">
        <v>0</v>
      </c>
      <c r="BE57" s="15">
        <v>3336.9629750612021</v>
      </c>
      <c r="BF57" s="15">
        <v>1170.3475837725532</v>
      </c>
      <c r="BG57" s="15">
        <v>1.4723613094253221</v>
      </c>
      <c r="BH57" s="15">
        <v>2165.1430299792232</v>
      </c>
      <c r="BI57" s="15">
        <v>0</v>
      </c>
      <c r="BJ57" s="15">
        <v>5011.9067060738098</v>
      </c>
      <c r="BK57" s="15">
        <v>4391.045026223871</v>
      </c>
      <c r="BL57" s="15">
        <v>-0.7225725611192253</v>
      </c>
      <c r="BM57" s="15">
        <v>-0.69644380149191165</v>
      </c>
    </row>
    <row r="58" spans="1:65" x14ac:dyDescent="0.35">
      <c r="A58" s="15" t="s">
        <v>10778</v>
      </c>
      <c r="B58" s="15" t="s">
        <v>10455</v>
      </c>
      <c r="C58" s="15" t="s">
        <v>10585</v>
      </c>
      <c r="D58" s="15" t="s">
        <v>10323</v>
      </c>
      <c r="E58" s="15" t="s">
        <v>10826</v>
      </c>
      <c r="F58" s="15">
        <v>1429</v>
      </c>
      <c r="G58" s="15">
        <v>0.89726506705522591</v>
      </c>
      <c r="H58" s="15">
        <v>200</v>
      </c>
      <c r="I58" s="92">
        <v>16431.557964659205</v>
      </c>
      <c r="J58" s="93">
        <v>-0.68300963568321071</v>
      </c>
      <c r="K58" s="15">
        <v>30</v>
      </c>
      <c r="L58" s="15">
        <v>37.470610894370687</v>
      </c>
      <c r="M58" s="15">
        <v>7.941949323034649</v>
      </c>
      <c r="N58" s="15">
        <v>0.5013387848310602</v>
      </c>
      <c r="O58" s="15">
        <v>7.0448126044460574E-2</v>
      </c>
      <c r="P58" s="15">
        <v>0.20232780008819509</v>
      </c>
      <c r="Q58" s="15">
        <v>0.22856285869840451</v>
      </c>
      <c r="R58" s="15">
        <v>3.9981768090277051E-2</v>
      </c>
      <c r="S58" s="15">
        <v>9.85657117917106E-2</v>
      </c>
      <c r="T58" s="15">
        <v>9.0015378816416858E-2</v>
      </c>
      <c r="U58" s="15">
        <v>0</v>
      </c>
      <c r="V58" s="15">
        <v>0</v>
      </c>
      <c r="W58" s="15">
        <v>0</v>
      </c>
      <c r="X58" s="15">
        <v>0</v>
      </c>
      <c r="Y58" s="15">
        <v>16552.376198459206</v>
      </c>
      <c r="Z58" s="15">
        <v>0</v>
      </c>
      <c r="AA58" s="15">
        <v>0</v>
      </c>
      <c r="AB58" s="15">
        <v>0</v>
      </c>
      <c r="AC58" s="15">
        <v>16552.376198459206</v>
      </c>
      <c r="AD58" s="15">
        <v>120.8182338000006</v>
      </c>
      <c r="AE58" s="15">
        <v>0</v>
      </c>
      <c r="AF58" s="15">
        <v>0</v>
      </c>
      <c r="AG58" s="15">
        <v>0</v>
      </c>
      <c r="AH58" s="15">
        <v>0</v>
      </c>
      <c r="AI58" s="15">
        <v>101.46076874999997</v>
      </c>
      <c r="AJ58" s="15">
        <v>0</v>
      </c>
      <c r="AK58" s="15">
        <v>0</v>
      </c>
      <c r="AL58" s="15">
        <v>0</v>
      </c>
      <c r="AM58" s="15">
        <v>19.357465049999998</v>
      </c>
      <c r="AN58" s="15">
        <v>7.2991474064761216E-3</v>
      </c>
      <c r="AO58" s="15">
        <v>16431.557964659205</v>
      </c>
      <c r="AP58" s="15">
        <v>0</v>
      </c>
      <c r="AQ58" s="15">
        <v>0</v>
      </c>
      <c r="AR58" s="15">
        <v>0</v>
      </c>
      <c r="AS58" s="15">
        <v>0</v>
      </c>
      <c r="AT58" s="15">
        <v>0</v>
      </c>
      <c r="AU58" s="15">
        <v>5008.6455455097621</v>
      </c>
      <c r="AV58" s="15">
        <v>131.88190119480794</v>
      </c>
      <c r="AW58" s="15">
        <v>131.88190119480794</v>
      </c>
      <c r="AX58" s="15">
        <v>0</v>
      </c>
      <c r="AY58" s="15">
        <v>0</v>
      </c>
      <c r="AZ58" s="15">
        <v>1539.5440081409856</v>
      </c>
      <c r="BA58" s="15">
        <v>76.930878417473082</v>
      </c>
      <c r="BB58" s="15">
        <v>609.42213738479688</v>
      </c>
      <c r="BC58" s="15">
        <v>853.19099233871566</v>
      </c>
      <c r="BD58" s="15">
        <v>0</v>
      </c>
      <c r="BE58" s="15">
        <v>3337.219636173968</v>
      </c>
      <c r="BF58" s="15">
        <v>1170.4376403033484</v>
      </c>
      <c r="BG58" s="15">
        <v>1.4723613094253221</v>
      </c>
      <c r="BH58" s="15">
        <v>2165.3096345611943</v>
      </c>
      <c r="BI58" s="15">
        <v>0</v>
      </c>
      <c r="BJ58" s="15">
        <v>5008.6455455097621</v>
      </c>
      <c r="BK58" s="15">
        <v>5129.4637793097627</v>
      </c>
      <c r="BL58" s="15">
        <v>-0.67802424767231539</v>
      </c>
      <c r="BM58" s="15">
        <v>-0.68300963568321071</v>
      </c>
    </row>
    <row r="59" spans="1:65" x14ac:dyDescent="0.35">
      <c r="A59" s="15" t="s">
        <v>10778</v>
      </c>
      <c r="B59" s="15" t="s">
        <v>10455</v>
      </c>
      <c r="C59" s="15" t="s">
        <v>10585</v>
      </c>
      <c r="D59" s="15" t="s">
        <v>10324</v>
      </c>
      <c r="E59" s="15" t="s">
        <v>10827</v>
      </c>
      <c r="F59" s="15">
        <v>1429</v>
      </c>
      <c r="G59" s="15">
        <v>0.89726506705522591</v>
      </c>
      <c r="H59" s="15">
        <v>200</v>
      </c>
      <c r="I59" s="92">
        <v>16401.290408841254</v>
      </c>
      <c r="J59" s="93">
        <v>-0.68177179647768604</v>
      </c>
      <c r="K59" s="15">
        <v>30</v>
      </c>
      <c r="L59" s="15">
        <v>37.458594014256626</v>
      </c>
      <c r="M59" s="15">
        <v>7.9400394218404777</v>
      </c>
      <c r="N59" s="15">
        <v>0.5013387848310602</v>
      </c>
      <c r="O59" s="15">
        <v>0.11234876833367853</v>
      </c>
      <c r="P59" s="15">
        <v>0.17537833370960151</v>
      </c>
      <c r="Q59" s="15">
        <v>0.21361168278778017</v>
      </c>
      <c r="R59" s="15">
        <v>3.9981768090277051E-2</v>
      </c>
      <c r="S59" s="15">
        <v>0</v>
      </c>
      <c r="T59" s="15">
        <v>0.17362991469750316</v>
      </c>
      <c r="U59" s="15">
        <v>0</v>
      </c>
      <c r="V59" s="15">
        <v>0</v>
      </c>
      <c r="W59" s="15">
        <v>0</v>
      </c>
      <c r="X59" s="15">
        <v>0</v>
      </c>
      <c r="Y59" s="15">
        <v>16540.089630748753</v>
      </c>
      <c r="Z59" s="15">
        <v>0</v>
      </c>
      <c r="AA59" s="15">
        <v>0</v>
      </c>
      <c r="AB59" s="15">
        <v>0</v>
      </c>
      <c r="AC59" s="15">
        <v>16540.089630748753</v>
      </c>
      <c r="AD59" s="15">
        <v>138.79922190749858</v>
      </c>
      <c r="AE59" s="15">
        <v>0</v>
      </c>
      <c r="AF59" s="15">
        <v>0</v>
      </c>
      <c r="AG59" s="15">
        <v>0</v>
      </c>
      <c r="AH59" s="15">
        <v>0</v>
      </c>
      <c r="AI59" s="15">
        <v>101.46076874999997</v>
      </c>
      <c r="AJ59" s="15">
        <v>0</v>
      </c>
      <c r="AK59" s="15">
        <v>0</v>
      </c>
      <c r="AL59" s="15">
        <v>0</v>
      </c>
      <c r="AM59" s="15">
        <v>37.338453157499998</v>
      </c>
      <c r="AN59" s="15">
        <v>8.3916849912025106E-3</v>
      </c>
      <c r="AO59" s="15">
        <v>16401.290408841254</v>
      </c>
      <c r="AP59" s="15">
        <v>0</v>
      </c>
      <c r="AQ59" s="15">
        <v>0</v>
      </c>
      <c r="AR59" s="15">
        <v>0</v>
      </c>
      <c r="AS59" s="15">
        <v>0</v>
      </c>
      <c r="AT59" s="15">
        <v>0</v>
      </c>
      <c r="AU59" s="15">
        <v>5019.3531822533105</v>
      </c>
      <c r="AV59" s="15">
        <v>143.90130177172119</v>
      </c>
      <c r="AW59" s="15">
        <v>143.90130177172119</v>
      </c>
      <c r="AX59" s="15">
        <v>0</v>
      </c>
      <c r="AY59" s="15">
        <v>0</v>
      </c>
      <c r="AZ59" s="15">
        <v>1539.0743481066152</v>
      </c>
      <c r="BA59" s="15">
        <v>76.930878417473082</v>
      </c>
      <c r="BB59" s="15">
        <v>609.22644570380919</v>
      </c>
      <c r="BC59" s="15">
        <v>852.91702398533278</v>
      </c>
      <c r="BD59" s="15">
        <v>0</v>
      </c>
      <c r="BE59" s="15">
        <v>3336.3775323749742</v>
      </c>
      <c r="BF59" s="15">
        <v>1170.1421652861575</v>
      </c>
      <c r="BG59" s="15">
        <v>1.4723613094253221</v>
      </c>
      <c r="BH59" s="15">
        <v>2164.7630057793913</v>
      </c>
      <c r="BI59" s="15">
        <v>0</v>
      </c>
      <c r="BJ59" s="15">
        <v>5019.3531822533105</v>
      </c>
      <c r="BK59" s="15">
        <v>5158.1524041608091</v>
      </c>
      <c r="BL59" s="15">
        <v>-0.67605058232575899</v>
      </c>
      <c r="BM59" s="15">
        <v>-0.68177179647768604</v>
      </c>
    </row>
    <row r="60" spans="1:65" x14ac:dyDescent="0.35">
      <c r="A60" s="15" t="s">
        <v>10778</v>
      </c>
      <c r="B60" s="15" t="s">
        <v>10455</v>
      </c>
      <c r="C60" s="15" t="s">
        <v>10585</v>
      </c>
      <c r="D60" s="15" t="s">
        <v>10325</v>
      </c>
      <c r="E60" s="15" t="s">
        <v>10828</v>
      </c>
      <c r="F60" s="15">
        <v>1429</v>
      </c>
      <c r="G60" s="15">
        <v>0.89726506705522591</v>
      </c>
      <c r="H60" s="15">
        <v>200</v>
      </c>
      <c r="I60" s="92">
        <v>334669.71744157409</v>
      </c>
      <c r="J60" s="93">
        <v>-1.7998208391402435</v>
      </c>
      <c r="K60" s="15">
        <v>30</v>
      </c>
      <c r="L60" s="15">
        <v>37.421536285366173</v>
      </c>
      <c r="M60" s="15">
        <v>7.9341496567775627</v>
      </c>
      <c r="N60" s="15">
        <v>0.5013387848310602</v>
      </c>
      <c r="O60" s="15">
        <v>0.36637826049770406</v>
      </c>
      <c r="P60" s="15">
        <v>9.227140334815663E-2</v>
      </c>
      <c r="Q60" s="15">
        <v>4.2689120985199613E-2</v>
      </c>
      <c r="R60" s="15">
        <v>4.2689120985199613E-2</v>
      </c>
      <c r="S60" s="15">
        <v>0</v>
      </c>
      <c r="T60" s="15">
        <v>0</v>
      </c>
      <c r="U60" s="15">
        <v>317.88333877281553</v>
      </c>
      <c r="V60" s="15">
        <v>0</v>
      </c>
      <c r="W60" s="15">
        <v>0</v>
      </c>
      <c r="X60" s="15">
        <v>0</v>
      </c>
      <c r="Y60" s="15">
        <v>16502.072704112659</v>
      </c>
      <c r="Z60" s="15">
        <v>0</v>
      </c>
      <c r="AA60" s="15">
        <v>0</v>
      </c>
      <c r="AB60" s="15">
        <v>0</v>
      </c>
      <c r="AC60" s="15">
        <v>16502.072704112659</v>
      </c>
      <c r="AD60" s="15">
        <v>-318167.64473746141</v>
      </c>
      <c r="AE60" s="15">
        <v>0</v>
      </c>
      <c r="AF60" s="15">
        <v>0</v>
      </c>
      <c r="AG60" s="15">
        <v>0</v>
      </c>
      <c r="AH60" s="15">
        <v>-318290.64509569085</v>
      </c>
      <c r="AI60" s="15">
        <v>123.00035822944251</v>
      </c>
      <c r="AJ60" s="15">
        <v>0</v>
      </c>
      <c r="AK60" s="15">
        <v>0</v>
      </c>
      <c r="AL60" s="15">
        <v>0</v>
      </c>
      <c r="AM60" s="15">
        <v>0</v>
      </c>
      <c r="AN60" s="15">
        <v>-19.280465578009931</v>
      </c>
      <c r="AO60" s="15">
        <v>334669.71744157409</v>
      </c>
      <c r="AP60" s="15">
        <v>-318290.64509569085</v>
      </c>
      <c r="AQ60" s="15">
        <v>0</v>
      </c>
      <c r="AR60" s="15">
        <v>0</v>
      </c>
      <c r="AS60" s="15">
        <v>0</v>
      </c>
      <c r="AT60" s="15">
        <v>-318290.64509569085</v>
      </c>
      <c r="AU60" s="15">
        <v>50414.830856742825</v>
      </c>
      <c r="AV60" s="15">
        <v>181.10868425188229</v>
      </c>
      <c r="AW60" s="15">
        <v>181.10868425188229</v>
      </c>
      <c r="AX60" s="15">
        <v>0</v>
      </c>
      <c r="AY60" s="15">
        <v>0</v>
      </c>
      <c r="AZ60" s="15">
        <v>1543.4138271938118</v>
      </c>
      <c r="BA60" s="15">
        <v>82.718698010625431</v>
      </c>
      <c r="BB60" s="15">
        <v>608.62297049299434</v>
      </c>
      <c r="BC60" s="15">
        <v>852.07215869019194</v>
      </c>
      <c r="BD60" s="15">
        <v>0</v>
      </c>
      <c r="BE60" s="15">
        <v>48690.308345297133</v>
      </c>
      <c r="BF60" s="15">
        <v>17083.763232393281</v>
      </c>
      <c r="BG60" s="15">
        <v>1.5831329762799125</v>
      </c>
      <c r="BH60" s="15">
        <v>31604.961979927568</v>
      </c>
      <c r="BI60" s="15">
        <v>0</v>
      </c>
      <c r="BJ60" s="15">
        <v>-267875.81423894805</v>
      </c>
      <c r="BK60" s="15">
        <v>-586043.4589764094</v>
      </c>
      <c r="BL60" s="15">
        <v>-36.501204574768657</v>
      </c>
      <c r="BM60" s="15">
        <v>-1.7998208391402435</v>
      </c>
    </row>
    <row r="61" spans="1:65" x14ac:dyDescent="0.35">
      <c r="A61" s="15" t="s">
        <v>10778</v>
      </c>
      <c r="B61" s="15" t="s">
        <v>10455</v>
      </c>
      <c r="C61" s="15" t="s">
        <v>10585</v>
      </c>
      <c r="D61" s="15" t="s">
        <v>10326</v>
      </c>
      <c r="E61" s="15" t="s">
        <v>10829</v>
      </c>
      <c r="F61" s="15">
        <v>1429</v>
      </c>
      <c r="G61" s="15">
        <v>0.89726506705522591</v>
      </c>
      <c r="H61" s="15">
        <v>200</v>
      </c>
      <c r="I61" s="92">
        <v>334669.71744157409</v>
      </c>
      <c r="J61" s="93">
        <v>-1.7998208391402435</v>
      </c>
      <c r="K61" s="15">
        <v>30</v>
      </c>
      <c r="L61" s="15">
        <v>37.421536285366173</v>
      </c>
      <c r="M61" s="15">
        <v>7.9341496567775627</v>
      </c>
      <c r="N61" s="15">
        <v>0.5013387848310602</v>
      </c>
      <c r="O61" s="15">
        <v>0.36637826049770406</v>
      </c>
      <c r="P61" s="15">
        <v>9.227140334815663E-2</v>
      </c>
      <c r="Q61" s="15">
        <v>4.2689120985199613E-2</v>
      </c>
      <c r="R61" s="15">
        <v>4.2689120985199613E-2</v>
      </c>
      <c r="S61" s="15">
        <v>0</v>
      </c>
      <c r="T61" s="15">
        <v>0</v>
      </c>
      <c r="U61" s="15">
        <v>317.88333877281553</v>
      </c>
      <c r="V61" s="15">
        <v>0</v>
      </c>
      <c r="W61" s="15">
        <v>0</v>
      </c>
      <c r="X61" s="15">
        <v>0</v>
      </c>
      <c r="Y61" s="15">
        <v>16502.072704112659</v>
      </c>
      <c r="Z61" s="15">
        <v>0</v>
      </c>
      <c r="AA61" s="15">
        <v>0</v>
      </c>
      <c r="AB61" s="15">
        <v>0</v>
      </c>
      <c r="AC61" s="15">
        <v>16502.072704112659</v>
      </c>
      <c r="AD61" s="15">
        <v>-318167.64473746141</v>
      </c>
      <c r="AE61" s="15">
        <v>0</v>
      </c>
      <c r="AF61" s="15">
        <v>0</v>
      </c>
      <c r="AG61" s="15">
        <v>0</v>
      </c>
      <c r="AH61" s="15">
        <v>-318290.64509569085</v>
      </c>
      <c r="AI61" s="15">
        <v>123.00035822944251</v>
      </c>
      <c r="AJ61" s="15">
        <v>0</v>
      </c>
      <c r="AK61" s="15">
        <v>0</v>
      </c>
      <c r="AL61" s="15">
        <v>0</v>
      </c>
      <c r="AM61" s="15">
        <v>0</v>
      </c>
      <c r="AN61" s="15">
        <v>-19.280465578009931</v>
      </c>
      <c r="AO61" s="15">
        <v>334669.71744157409</v>
      </c>
      <c r="AP61" s="15">
        <v>-318290.64509569085</v>
      </c>
      <c r="AQ61" s="15">
        <v>0</v>
      </c>
      <c r="AR61" s="15">
        <v>0</v>
      </c>
      <c r="AS61" s="15">
        <v>0</v>
      </c>
      <c r="AT61" s="15">
        <v>-318290.64509569085</v>
      </c>
      <c r="AU61" s="15">
        <v>50414.830856742825</v>
      </c>
      <c r="AV61" s="15">
        <v>181.10868425188229</v>
      </c>
      <c r="AW61" s="15">
        <v>181.10868425188229</v>
      </c>
      <c r="AX61" s="15">
        <v>0</v>
      </c>
      <c r="AY61" s="15">
        <v>0</v>
      </c>
      <c r="AZ61" s="15">
        <v>1543.4138271938118</v>
      </c>
      <c r="BA61" s="15">
        <v>82.718698010625431</v>
      </c>
      <c r="BB61" s="15">
        <v>608.62297049299434</v>
      </c>
      <c r="BC61" s="15">
        <v>852.07215869019194</v>
      </c>
      <c r="BD61" s="15">
        <v>0</v>
      </c>
      <c r="BE61" s="15">
        <v>48690.308345297133</v>
      </c>
      <c r="BF61" s="15">
        <v>17083.763232393281</v>
      </c>
      <c r="BG61" s="15">
        <v>1.5831329762799125</v>
      </c>
      <c r="BH61" s="15">
        <v>31604.961979927568</v>
      </c>
      <c r="BI61" s="15">
        <v>0</v>
      </c>
      <c r="BJ61" s="15">
        <v>-267875.81423894805</v>
      </c>
      <c r="BK61" s="15">
        <v>-586043.4589764094</v>
      </c>
      <c r="BL61" s="15">
        <v>-36.501204574768657</v>
      </c>
      <c r="BM61" s="15">
        <v>-1.7998208391402435</v>
      </c>
    </row>
    <row r="62" spans="1:65" s="56" customFormat="1" x14ac:dyDescent="0.35">
      <c r="A62" s="55" t="s">
        <v>10778</v>
      </c>
      <c r="B62" s="55" t="s">
        <v>10455</v>
      </c>
      <c r="C62" s="55" t="s">
        <v>10812</v>
      </c>
      <c r="D62" s="55" t="s">
        <v>10320</v>
      </c>
      <c r="E62" s="55" t="s">
        <v>10830</v>
      </c>
      <c r="F62" s="55">
        <v>1429</v>
      </c>
      <c r="G62" s="55">
        <v>0.89726506705522591</v>
      </c>
      <c r="H62" s="55">
        <v>200</v>
      </c>
      <c r="I62" s="55">
        <v>16386.981216711043</v>
      </c>
      <c r="J62" s="94">
        <v>-0.67981155969330542</v>
      </c>
      <c r="K62" s="55">
        <v>30</v>
      </c>
      <c r="L62" s="55">
        <v>37.466948322338901</v>
      </c>
      <c r="M62" s="55">
        <v>7.9413672126506878</v>
      </c>
      <c r="N62" s="55">
        <v>0.5013387848310602</v>
      </c>
      <c r="O62" s="55">
        <v>9.344679212919306E-2</v>
      </c>
      <c r="P62" s="55">
        <v>0.19411399077221925</v>
      </c>
      <c r="Q62" s="55">
        <v>0.21377800192964791</v>
      </c>
      <c r="R62" s="55">
        <v>3.9981768090277051E-2</v>
      </c>
      <c r="S62" s="55">
        <v>8.3780855022954015E-2</v>
      </c>
      <c r="T62" s="55">
        <v>9.0015378816416858E-2</v>
      </c>
      <c r="U62" s="55">
        <v>0</v>
      </c>
      <c r="V62" s="55">
        <v>60.880376139230698</v>
      </c>
      <c r="W62" s="55">
        <v>0</v>
      </c>
      <c r="X62" s="55">
        <v>0</v>
      </c>
      <c r="Y62" s="55">
        <v>16548.633562511044</v>
      </c>
      <c r="Z62" s="55">
        <v>0</v>
      </c>
      <c r="AA62" s="55">
        <v>0</v>
      </c>
      <c r="AB62" s="55">
        <v>0</v>
      </c>
      <c r="AC62" s="55">
        <v>16548.633562511044</v>
      </c>
      <c r="AD62" s="55">
        <v>161.65234580000106</v>
      </c>
      <c r="AE62" s="55">
        <v>0</v>
      </c>
      <c r="AF62" s="55">
        <v>0</v>
      </c>
      <c r="AG62" s="55">
        <v>0</v>
      </c>
      <c r="AH62" s="55">
        <v>40.834111999999998</v>
      </c>
      <c r="AI62" s="55">
        <v>101.46076874999997</v>
      </c>
      <c r="AJ62" s="55">
        <v>0</v>
      </c>
      <c r="AK62" s="55">
        <v>0</v>
      </c>
      <c r="AL62" s="55">
        <v>0</v>
      </c>
      <c r="AM62" s="55">
        <v>19.357465049999998</v>
      </c>
      <c r="AN62" s="55">
        <v>9.7683198548915336E-3</v>
      </c>
      <c r="AO62" s="55">
        <v>16386.981216711043</v>
      </c>
      <c r="AP62" s="55">
        <v>40.834111999999998</v>
      </c>
      <c r="AQ62" s="55">
        <v>0</v>
      </c>
      <c r="AR62" s="55">
        <v>0</v>
      </c>
      <c r="AS62" s="55">
        <v>0</v>
      </c>
      <c r="AT62" s="55">
        <v>40.834111999999998</v>
      </c>
      <c r="AU62" s="55">
        <v>5006.0878451138096</v>
      </c>
      <c r="AV62" s="55">
        <v>135.54286848762263</v>
      </c>
      <c r="AW62" s="55">
        <v>135.54286848762263</v>
      </c>
      <c r="AX62" s="55">
        <v>0</v>
      </c>
      <c r="AY62" s="55">
        <v>0</v>
      </c>
      <c r="AZ62" s="55">
        <v>1539.4008625249851</v>
      </c>
      <c r="BA62" s="55">
        <v>76.930878417473082</v>
      </c>
      <c r="BB62" s="55">
        <v>609.36249337813001</v>
      </c>
      <c r="BC62" s="55">
        <v>853.10749072938199</v>
      </c>
      <c r="BD62" s="55">
        <v>0</v>
      </c>
      <c r="BE62" s="55">
        <v>3331.1441141012019</v>
      </c>
      <c r="BF62" s="55">
        <v>1168.3058781725531</v>
      </c>
      <c r="BG62" s="55">
        <v>1.4723613094253221</v>
      </c>
      <c r="BH62" s="55">
        <v>2161.3658746192232</v>
      </c>
      <c r="BI62" s="55">
        <v>0</v>
      </c>
      <c r="BJ62" s="55">
        <v>5046.9219571138092</v>
      </c>
      <c r="BK62" s="55">
        <v>5208.5743029138102</v>
      </c>
      <c r="BL62" s="55">
        <v>-0.6731709429371685</v>
      </c>
      <c r="BM62" s="55">
        <v>-0.67981155969330542</v>
      </c>
    </row>
    <row r="63" spans="1:65" s="52" customFormat="1" x14ac:dyDescent="0.35">
      <c r="A63" s="51" t="s">
        <v>10778</v>
      </c>
      <c r="B63" s="51" t="s">
        <v>10814</v>
      </c>
      <c r="C63" s="51" t="s">
        <v>9780</v>
      </c>
      <c r="D63" s="51" t="s">
        <v>9780</v>
      </c>
      <c r="E63" s="51" t="s">
        <v>10014</v>
      </c>
      <c r="F63" s="51">
        <f>F54</f>
        <v>187889</v>
      </c>
      <c r="G63" s="51">
        <f>G54</f>
        <v>0.89712274742220655</v>
      </c>
      <c r="H63" s="51">
        <f>(H54*N54+H62*N62)/(N54+N62)</f>
        <v>199.99999999999997</v>
      </c>
      <c r="I63" s="51">
        <f>(I54*N54+I62*N62)/(N54+N62)</f>
        <v>506.29267117987803</v>
      </c>
      <c r="J63" s="95">
        <f>(J54*N54+J62*N62)/(N54+N62)</f>
        <v>0.3789231782900751</v>
      </c>
      <c r="K63" s="51">
        <f>K54</f>
        <v>30</v>
      </c>
      <c r="L63" s="51">
        <f t="shared" ref="L63:W63" si="4">L54+L62</f>
        <v>167.04428385488742</v>
      </c>
      <c r="M63" s="51">
        <f t="shared" si="4"/>
        <v>29.410981806723399</v>
      </c>
      <c r="N63" s="51">
        <f t="shared" si="4"/>
        <v>66.408338116291887</v>
      </c>
      <c r="O63" s="51">
        <f t="shared" si="4"/>
        <v>9.3546983381860684</v>
      </c>
      <c r="P63" s="51">
        <f t="shared" si="4"/>
        <v>26.792531245966526</v>
      </c>
      <c r="Q63" s="51">
        <f t="shared" si="4"/>
        <v>30.261108532139296</v>
      </c>
      <c r="R63" s="51">
        <f t="shared" si="4"/>
        <v>5.2960649647742786</v>
      </c>
      <c r="S63" s="51">
        <f t="shared" si="4"/>
        <v>13.041426458584809</v>
      </c>
      <c r="T63" s="51">
        <f t="shared" si="4"/>
        <v>11.923617108780212</v>
      </c>
      <c r="U63" s="51">
        <f t="shared" si="4"/>
        <v>0</v>
      </c>
      <c r="V63" s="51">
        <f t="shared" si="4"/>
        <v>60.880376139230698</v>
      </c>
      <c r="W63" s="51">
        <f t="shared" si="4"/>
        <v>0</v>
      </c>
      <c r="X63" s="51">
        <f>(X54*N54+X62*N62)/(N54+N62)</f>
        <v>0</v>
      </c>
      <c r="Y63" s="51">
        <f>(Y54*N54+Y62*N62)/(N54+N62)</f>
        <v>610.09192374025884</v>
      </c>
      <c r="Z63" s="51">
        <f>(Z54*N54+Z62*N62)/(N54+N62)</f>
        <v>0</v>
      </c>
      <c r="AA63" s="51">
        <f>(AA54*N54+AA62*N62)/(N54+N62)</f>
        <v>0</v>
      </c>
      <c r="AB63" s="51">
        <f>(AB54*N54+AB62*N62)/(N54+N62)</f>
        <v>0</v>
      </c>
      <c r="AC63" s="51">
        <f>(AC54*N54+AC62*N62)/(N54+N62)</f>
        <v>610.09192374025884</v>
      </c>
      <c r="AD63" s="51">
        <f>(AD54*N54+AD62*N62)/(N54+N62)</f>
        <v>103.79925256038069</v>
      </c>
      <c r="AE63" s="51">
        <f>(AE54*N54+AE62*N62)/(N54+N62)</f>
        <v>-17.327251626598247</v>
      </c>
      <c r="AF63" s="51">
        <f>(AF54*N54+AF62*N62)/(N54+N62)</f>
        <v>0</v>
      </c>
      <c r="AG63" s="51">
        <f>(AG54*N54+AG62*N62)/(N54+N62)</f>
        <v>0</v>
      </c>
      <c r="AH63" s="51">
        <f>(AH54*N54+AH62*N62)/(N54+N62)</f>
        <v>0.30827038697890718</v>
      </c>
      <c r="AI63" s="51">
        <f>(AI54*N54+AI62*N62)/(N54+N62)</f>
        <v>101.46076874999999</v>
      </c>
      <c r="AJ63" s="51">
        <f>(AJ54*N54+AJ62*N62)/(N54+N62)</f>
        <v>0</v>
      </c>
      <c r="AK63" s="51">
        <f>(AK54*N54+AK62*N62)/(N54+N62)</f>
        <v>0</v>
      </c>
      <c r="AL63" s="51">
        <f>(AL54*N54+AL62*N62)/(N54+N62)</f>
        <v>0</v>
      </c>
      <c r="AM63" s="51">
        <f>(AM54*N54+AM62*N62)/(N54+N62)</f>
        <v>19.357465050000005</v>
      </c>
      <c r="AN63" s="51">
        <f>(AN54*N54+AN62*N62)/(N54+N62)</f>
        <v>0.20991034627683444</v>
      </c>
      <c r="AO63" s="51">
        <f>(AO54*N54+AO62*N62)/(N54+N62)</f>
        <v>506.29267117987803</v>
      </c>
      <c r="AP63" s="51">
        <f>(AP54*N54+AP62*N62)/(N54+N62)</f>
        <v>0.30827038697890718</v>
      </c>
      <c r="AQ63" s="51">
        <f>(AQ54*N54+AQ62*N62)/(N54+N62)</f>
        <v>0</v>
      </c>
      <c r="AR63" s="51">
        <f>(AR54*N54+AR62*N62)/(N54+N62)</f>
        <v>0</v>
      </c>
      <c r="AS63" s="51">
        <f>(AS54*N54+AS62*N62)/(N54+N62)</f>
        <v>0</v>
      </c>
      <c r="AT63" s="51">
        <f>(AT54*N54+AT62*N62)/(N54+N62)</f>
        <v>0.30827038697890718</v>
      </c>
      <c r="AU63" s="51">
        <f>(AU54*N54+AU62*N62)/(N54+N62)</f>
        <v>369.93463676180744</v>
      </c>
      <c r="AV63" s="51">
        <f>(AV54*N54+AV62*N62)/(N54+N62)</f>
        <v>82.270001783018003</v>
      </c>
      <c r="AW63" s="51">
        <f>(AW54*N54+AW62*N62)/(N54+N62)</f>
        <v>82.270001783018003</v>
      </c>
      <c r="AX63" s="51">
        <f>(AX54*N54+AX62*N62)/(N54+N62)</f>
        <v>0</v>
      </c>
      <c r="AY63" s="51">
        <f>(AY54*N54+AY62*N62)/(N54+N62)</f>
        <v>0</v>
      </c>
      <c r="AZ63" s="51">
        <f>(AZ54*N54+AZ62*N62)/(N54+N62)</f>
        <v>184.88060858573215</v>
      </c>
      <c r="BA63" s="51">
        <f>(BA54*N54+BA62*N62)/(N54+N62)</f>
        <v>76.930878417473082</v>
      </c>
      <c r="BB63" s="51">
        <f>(BB54*N54+BB62*N62)/(N54+N62)</f>
        <v>44.979054236774616</v>
      </c>
      <c r="BC63" s="51">
        <f>(BC54*N54+BC62*N62)/(N54+N62)</f>
        <v>62.970675931484465</v>
      </c>
      <c r="BD63" s="51">
        <f>(BD54*N54+BD62*N62)/(N54+N62)</f>
        <v>0</v>
      </c>
      <c r="BE63" s="51">
        <f>(BE54*N54+BE62*N62)/(N54+N62)</f>
        <v>102.78402639305735</v>
      </c>
      <c r="BF63" s="51">
        <f>(BF54*N54+BF62*N62)/(N54+N62)</f>
        <v>35.547952660923521</v>
      </c>
      <c r="BG63" s="51">
        <f>(BG54*N54+BG62*N62)/(N54+N62)</f>
        <v>1.4723613094253218</v>
      </c>
      <c r="BH63" s="51">
        <f>(BH54*N54+BH62*N62)/(N54+N62)</f>
        <v>65.763712422708508</v>
      </c>
      <c r="BI63" s="51">
        <f>(BI54*N54+BI62*N62)/(N54+N62)</f>
        <v>0</v>
      </c>
      <c r="BJ63" s="51">
        <f>(BJ54*N54+BJ62*N62)/(N54+N62)</f>
        <v>370.2429071487864</v>
      </c>
      <c r="BK63" s="51">
        <f>(BK54*N54+BK62*N62)/(N54+N62)</f>
        <v>474.04215970916704</v>
      </c>
      <c r="BL63" s="51">
        <f>(BL54*N54+BL62*N62)/(N54+N62)</f>
        <v>0.29777143050777294</v>
      </c>
      <c r="BM63" s="51">
        <f>(BM54*N54+BM62*N62)/(N54+N62)</f>
        <v>0.3789231782900751</v>
      </c>
    </row>
    <row r="64" spans="1:65" s="56" customFormat="1" x14ac:dyDescent="0.35">
      <c r="A64" s="15" t="s">
        <v>10787</v>
      </c>
      <c r="B64" s="15" t="s">
        <v>10455</v>
      </c>
      <c r="C64" s="15" t="s">
        <v>10582</v>
      </c>
      <c r="D64" s="15" t="s">
        <v>10320</v>
      </c>
      <c r="E64" s="15" t="s">
        <v>10831</v>
      </c>
      <c r="F64" s="15">
        <v>187889</v>
      </c>
      <c r="G64" s="15">
        <v>0.89712274742220655</v>
      </c>
      <c r="H64" s="15">
        <v>200</v>
      </c>
      <c r="I64" s="92">
        <v>415.80707271270825</v>
      </c>
      <c r="J64" s="93">
        <v>0.37628670537149944</v>
      </c>
      <c r="K64" s="15">
        <v>30</v>
      </c>
      <c r="L64" s="15">
        <v>137.08497891514762</v>
      </c>
      <c r="M64" s="15">
        <v>22.821042779748876</v>
      </c>
      <c r="N64" s="15">
        <v>65.906999331460824</v>
      </c>
      <c r="O64" s="15">
        <v>12.284702186887975</v>
      </c>
      <c r="P64" s="15">
        <v>25.518613454897487</v>
      </c>
      <c r="Q64" s="15">
        <v>28.103683689675371</v>
      </c>
      <c r="R64" s="15">
        <v>5.2560831966840018</v>
      </c>
      <c r="S64" s="15">
        <v>11.013998763027578</v>
      </c>
      <c r="T64" s="15">
        <v>11.833601729963794</v>
      </c>
      <c r="U64" s="15">
        <v>0</v>
      </c>
      <c r="V64" s="15">
        <v>8003.4560080155452</v>
      </c>
      <c r="W64" s="15">
        <v>0</v>
      </c>
      <c r="X64" s="15">
        <v>0</v>
      </c>
      <c r="Y64" s="15">
        <v>556.96254580617597</v>
      </c>
      <c r="Z64" s="15">
        <v>0</v>
      </c>
      <c r="AA64" s="15">
        <v>0</v>
      </c>
      <c r="AB64" s="15">
        <v>0</v>
      </c>
      <c r="AC64" s="15">
        <v>556.96254580617597</v>
      </c>
      <c r="AD64" s="15">
        <v>141.15547309346772</v>
      </c>
      <c r="AE64" s="15">
        <v>18.017536378206557</v>
      </c>
      <c r="AF64" s="15">
        <v>0</v>
      </c>
      <c r="AG64" s="15">
        <v>0</v>
      </c>
      <c r="AH64" s="15">
        <v>21.677167965261113</v>
      </c>
      <c r="AI64" s="15">
        <v>101.46076875</v>
      </c>
      <c r="AJ64" s="15">
        <v>0</v>
      </c>
      <c r="AK64" s="15">
        <v>0</v>
      </c>
      <c r="AL64" s="15">
        <v>0</v>
      </c>
      <c r="AM64" s="15">
        <v>0</v>
      </c>
      <c r="AN64" s="15">
        <v>0.25343799893968111</v>
      </c>
      <c r="AO64" s="15">
        <v>415.80707271270825</v>
      </c>
      <c r="AP64" s="15">
        <v>39.69470434346767</v>
      </c>
      <c r="AQ64" s="15">
        <v>18.017536378206557</v>
      </c>
      <c r="AR64" s="15">
        <v>0</v>
      </c>
      <c r="AS64" s="15">
        <v>0</v>
      </c>
      <c r="AT64" s="15">
        <v>21.677167965261113</v>
      </c>
      <c r="AU64" s="15">
        <v>332.57504183047314</v>
      </c>
      <c r="AV64" s="15">
        <v>61.280874999999988</v>
      </c>
      <c r="AW64" s="15">
        <v>61.280874999999988</v>
      </c>
      <c r="AX64" s="15">
        <v>0</v>
      </c>
      <c r="AY64" s="15">
        <v>0</v>
      </c>
      <c r="AZ64" s="15">
        <v>196.11113811261188</v>
      </c>
      <c r="BA64" s="15">
        <v>76.930878417473082</v>
      </c>
      <c r="BB64" s="15">
        <v>49.658441539641174</v>
      </c>
      <c r="BC64" s="15">
        <v>69.521818155497627</v>
      </c>
      <c r="BD64" s="15">
        <v>0</v>
      </c>
      <c r="BE64" s="15">
        <v>75.183028717861248</v>
      </c>
      <c r="BF64" s="15">
        <v>25.863392073135415</v>
      </c>
      <c r="BG64" s="15">
        <v>1.4723613094253221</v>
      </c>
      <c r="BH64" s="15">
        <v>47.847275335300509</v>
      </c>
      <c r="BI64" s="15">
        <v>0</v>
      </c>
      <c r="BJ64" s="15">
        <v>372.2697461739408</v>
      </c>
      <c r="BK64" s="55">
        <v>513.42521926740847</v>
      </c>
      <c r="BL64" s="55">
        <v>0.2809213557345413</v>
      </c>
      <c r="BM64" s="55">
        <v>0.37628670537149944</v>
      </c>
    </row>
    <row r="65" spans="1:65" x14ac:dyDescent="0.35">
      <c r="A65" s="15" t="s">
        <v>10787</v>
      </c>
      <c r="B65" s="15" t="s">
        <v>10455</v>
      </c>
      <c r="C65" s="15" t="s">
        <v>10582</v>
      </c>
      <c r="D65" s="15" t="s">
        <v>10321</v>
      </c>
      <c r="E65" s="15" t="s">
        <v>10832</v>
      </c>
      <c r="F65" s="15">
        <v>187889</v>
      </c>
      <c r="G65" s="15">
        <v>0.89712274742220655</v>
      </c>
      <c r="H65" s="15">
        <v>200</v>
      </c>
      <c r="I65" s="92">
        <v>541.80907766313771</v>
      </c>
      <c r="J65" s="93">
        <v>2.4212211077581799E-2</v>
      </c>
      <c r="K65" s="15">
        <v>30</v>
      </c>
      <c r="L65" s="15">
        <v>137.08497891514762</v>
      </c>
      <c r="M65" s="15">
        <v>22.821042779748876</v>
      </c>
      <c r="N65" s="15">
        <v>65.906999331460824</v>
      </c>
      <c r="O65" s="15">
        <v>12.284702186887975</v>
      </c>
      <c r="P65" s="15">
        <v>25.518613454897487</v>
      </c>
      <c r="Q65" s="15">
        <v>28.103683689675371</v>
      </c>
      <c r="R65" s="15">
        <v>5.2560831966840018</v>
      </c>
      <c r="S65" s="15">
        <v>11.013998763027578</v>
      </c>
      <c r="T65" s="15">
        <v>11.833601729963794</v>
      </c>
      <c r="U65" s="15">
        <v>0</v>
      </c>
      <c r="V65" s="15">
        <v>0</v>
      </c>
      <c r="W65" s="15">
        <v>2000.8640020038863</v>
      </c>
      <c r="X65" s="15">
        <v>0</v>
      </c>
      <c r="Y65" s="15">
        <v>556.96254580617597</v>
      </c>
      <c r="Z65" s="15">
        <v>0</v>
      </c>
      <c r="AA65" s="15">
        <v>0</v>
      </c>
      <c r="AB65" s="15">
        <v>0</v>
      </c>
      <c r="AC65" s="15">
        <v>556.96254580617597</v>
      </c>
      <c r="AD65" s="15">
        <v>15.153468143038253</v>
      </c>
      <c r="AE65" s="15">
        <v>-20.473446476401197</v>
      </c>
      <c r="AF65" s="15">
        <v>9.2016709520308968</v>
      </c>
      <c r="AG65" s="15">
        <v>-105.89268914826249</v>
      </c>
      <c r="AH65" s="15">
        <v>0</v>
      </c>
      <c r="AI65" s="15">
        <v>101.46076875</v>
      </c>
      <c r="AJ65" s="15">
        <v>0</v>
      </c>
      <c r="AK65" s="15">
        <v>30.857164065671117</v>
      </c>
      <c r="AL65" s="15">
        <v>0</v>
      </c>
      <c r="AM65" s="15">
        <v>0</v>
      </c>
      <c r="AN65" s="15">
        <v>2.7207337831136116E-2</v>
      </c>
      <c r="AO65" s="15">
        <v>541.80907766313771</v>
      </c>
      <c r="AP65" s="15">
        <v>0</v>
      </c>
      <c r="AQ65" s="15">
        <v>0</v>
      </c>
      <c r="AR65" s="15">
        <v>0</v>
      </c>
      <c r="AS65" s="15">
        <v>0</v>
      </c>
      <c r="AT65" s="15">
        <v>0</v>
      </c>
      <c r="AU65" s="15">
        <v>354.92747341526751</v>
      </c>
      <c r="AV65" s="15">
        <v>61.280874999999988</v>
      </c>
      <c r="AW65" s="15">
        <v>61.280874999999988</v>
      </c>
      <c r="AX65" s="15">
        <v>0</v>
      </c>
      <c r="AY65" s="15">
        <v>0</v>
      </c>
      <c r="AZ65" s="15">
        <v>196.11113811261188</v>
      </c>
      <c r="BA65" s="15">
        <v>76.930878417473082</v>
      </c>
      <c r="BB65" s="15">
        <v>49.658441539641174</v>
      </c>
      <c r="BC65" s="15">
        <v>69.521818155497627</v>
      </c>
      <c r="BD65" s="15">
        <v>0</v>
      </c>
      <c r="BE65" s="15">
        <v>97.535460302655594</v>
      </c>
      <c r="BF65" s="15">
        <v>33.706350523940444</v>
      </c>
      <c r="BG65" s="15">
        <v>1.4723613094253221</v>
      </c>
      <c r="BH65" s="15">
        <v>62.356748469289819</v>
      </c>
      <c r="BI65" s="15">
        <v>0</v>
      </c>
      <c r="BJ65" s="15">
        <v>354.92747341526751</v>
      </c>
      <c r="BK65" s="15">
        <v>370.08094155830577</v>
      </c>
      <c r="BL65" s="15">
        <v>2.3553461271155256E-2</v>
      </c>
      <c r="BM65" s="15">
        <v>2.4212211077581799E-2</v>
      </c>
    </row>
    <row r="66" spans="1:65" x14ac:dyDescent="0.35">
      <c r="A66" s="15" t="s">
        <v>10787</v>
      </c>
      <c r="B66" s="15" t="s">
        <v>10455</v>
      </c>
      <c r="C66" s="15" t="s">
        <v>10582</v>
      </c>
      <c r="D66" s="15" t="s">
        <v>10322</v>
      </c>
      <c r="E66" s="15" t="s">
        <v>10833</v>
      </c>
      <c r="F66" s="15">
        <v>187889</v>
      </c>
      <c r="G66" s="15">
        <v>0.89712274742220655</v>
      </c>
      <c r="H66" s="15">
        <v>200</v>
      </c>
      <c r="I66" s="92">
        <v>441.35842815842335</v>
      </c>
      <c r="J66" s="93">
        <v>0.22609871885818353</v>
      </c>
      <c r="K66" s="15">
        <v>30</v>
      </c>
      <c r="L66" s="15">
        <v>137.08497891514762</v>
      </c>
      <c r="M66" s="15">
        <v>22.821042779748876</v>
      </c>
      <c r="N66" s="15">
        <v>65.906999331460824</v>
      </c>
      <c r="O66" s="15">
        <v>12.284702186887975</v>
      </c>
      <c r="P66" s="15">
        <v>25.518613454897487</v>
      </c>
      <c r="Q66" s="15">
        <v>28.103683689675371</v>
      </c>
      <c r="R66" s="15">
        <v>5.2560831966840018</v>
      </c>
      <c r="S66" s="15">
        <v>11.013998763027578</v>
      </c>
      <c r="T66" s="15">
        <v>11.833601729963794</v>
      </c>
      <c r="U66" s="15">
        <v>0</v>
      </c>
      <c r="V66" s="15">
        <v>0</v>
      </c>
      <c r="W66" s="15">
        <v>0</v>
      </c>
      <c r="X66" s="15">
        <v>2000864.0020038863</v>
      </c>
      <c r="Y66" s="15">
        <v>556.96254580617597</v>
      </c>
      <c r="Z66" s="15">
        <v>0</v>
      </c>
      <c r="AA66" s="15">
        <v>0</v>
      </c>
      <c r="AB66" s="15">
        <v>0</v>
      </c>
      <c r="AC66" s="15">
        <v>556.96254580617597</v>
      </c>
      <c r="AD66" s="15">
        <v>115.60411764775262</v>
      </c>
      <c r="AE66" s="15">
        <v>-20.473446476401197</v>
      </c>
      <c r="AF66" s="15">
        <v>0</v>
      </c>
      <c r="AG66" s="15">
        <v>0</v>
      </c>
      <c r="AH66" s="15">
        <v>0</v>
      </c>
      <c r="AI66" s="15">
        <v>101.46076875</v>
      </c>
      <c r="AJ66" s="15">
        <v>0</v>
      </c>
      <c r="AK66" s="15">
        <v>34.616795374153916</v>
      </c>
      <c r="AL66" s="15">
        <v>0</v>
      </c>
      <c r="AM66" s="15">
        <v>0</v>
      </c>
      <c r="AN66" s="15">
        <v>0.20756174453422416</v>
      </c>
      <c r="AO66" s="15">
        <v>441.35842815842335</v>
      </c>
      <c r="AP66" s="15">
        <v>0</v>
      </c>
      <c r="AQ66" s="15">
        <v>0</v>
      </c>
      <c r="AR66" s="15">
        <v>0</v>
      </c>
      <c r="AS66" s="15">
        <v>0</v>
      </c>
      <c r="AT66" s="15">
        <v>0</v>
      </c>
      <c r="AU66" s="15">
        <v>341.14900332230445</v>
      </c>
      <c r="AV66" s="15">
        <v>61.280874999999988</v>
      </c>
      <c r="AW66" s="15">
        <v>61.280874999999988</v>
      </c>
      <c r="AX66" s="15">
        <v>0</v>
      </c>
      <c r="AY66" s="15">
        <v>0</v>
      </c>
      <c r="AZ66" s="15">
        <v>196.11113811261188</v>
      </c>
      <c r="BA66" s="15">
        <v>76.930878417473082</v>
      </c>
      <c r="BB66" s="15">
        <v>49.658441539641174</v>
      </c>
      <c r="BC66" s="15">
        <v>69.521818155497627</v>
      </c>
      <c r="BD66" s="15">
        <v>0</v>
      </c>
      <c r="BE66" s="15">
        <v>83.756990209692574</v>
      </c>
      <c r="BF66" s="15">
        <v>28.871799614128861</v>
      </c>
      <c r="BG66" s="15">
        <v>1.4723613094253221</v>
      </c>
      <c r="BH66" s="15">
        <v>53.41282928613839</v>
      </c>
      <c r="BI66" s="15">
        <v>0</v>
      </c>
      <c r="BJ66" s="15">
        <v>341.14900332230445</v>
      </c>
      <c r="BK66" s="15">
        <v>456.75312097005707</v>
      </c>
      <c r="BL66" s="15">
        <v>0.17916927433502589</v>
      </c>
      <c r="BM66" s="15">
        <v>0.22609871885818353</v>
      </c>
    </row>
    <row r="67" spans="1:65" x14ac:dyDescent="0.35">
      <c r="A67" s="15" t="s">
        <v>10787</v>
      </c>
      <c r="B67" s="15" t="s">
        <v>10455</v>
      </c>
      <c r="C67" s="15" t="s">
        <v>10582</v>
      </c>
      <c r="D67" s="15" t="s">
        <v>10323</v>
      </c>
      <c r="E67" s="15" t="s">
        <v>10834</v>
      </c>
      <c r="F67" s="15">
        <v>187889</v>
      </c>
      <c r="G67" s="15">
        <v>0.89712274742220655</v>
      </c>
      <c r="H67" s="15">
        <v>200</v>
      </c>
      <c r="I67" s="92">
        <v>361.72281414626764</v>
      </c>
      <c r="J67" s="93">
        <v>0.34043737664211943</v>
      </c>
      <c r="K67" s="15">
        <v>30</v>
      </c>
      <c r="L67" s="15">
        <v>90.654493644415112</v>
      </c>
      <c r="M67" s="15">
        <v>19.312654785766533</v>
      </c>
      <c r="N67" s="15">
        <v>65.906999331460824</v>
      </c>
      <c r="O67" s="15">
        <v>9.2612515460568758</v>
      </c>
      <c r="P67" s="15">
        <v>26.598417255194306</v>
      </c>
      <c r="Q67" s="15">
        <v>30.047330530209649</v>
      </c>
      <c r="R67" s="15">
        <v>5.2560831966840018</v>
      </c>
      <c r="S67" s="15">
        <v>12.957645603561854</v>
      </c>
      <c r="T67" s="15">
        <v>11.833601729963794</v>
      </c>
      <c r="U67" s="15">
        <v>0</v>
      </c>
      <c r="V67" s="15">
        <v>0</v>
      </c>
      <c r="W67" s="15">
        <v>0</v>
      </c>
      <c r="X67" s="15">
        <v>0</v>
      </c>
      <c r="Y67" s="15">
        <v>445.72452700968097</v>
      </c>
      <c r="Z67" s="15">
        <v>0</v>
      </c>
      <c r="AA67" s="15">
        <v>0</v>
      </c>
      <c r="AB67" s="15">
        <v>0</v>
      </c>
      <c r="AC67" s="15">
        <v>445.72452700968097</v>
      </c>
      <c r="AD67" s="15">
        <v>84.001712863413331</v>
      </c>
      <c r="AE67" s="15">
        <v>-17.459055886586672</v>
      </c>
      <c r="AF67" s="15">
        <v>0</v>
      </c>
      <c r="AG67" s="15">
        <v>0</v>
      </c>
      <c r="AH67" s="15">
        <v>0</v>
      </c>
      <c r="AI67" s="15">
        <v>101.46076875</v>
      </c>
      <c r="AJ67" s="15">
        <v>0</v>
      </c>
      <c r="AK67" s="15">
        <v>0</v>
      </c>
      <c r="AL67" s="15">
        <v>0</v>
      </c>
      <c r="AM67" s="15">
        <v>0</v>
      </c>
      <c r="AN67" s="15">
        <v>0.18846105110475297</v>
      </c>
      <c r="AO67" s="15">
        <v>361.72281414626764</v>
      </c>
      <c r="AP67" s="15">
        <v>0</v>
      </c>
      <c r="AQ67" s="15">
        <v>0</v>
      </c>
      <c r="AR67" s="15">
        <v>0</v>
      </c>
      <c r="AS67" s="15">
        <v>0</v>
      </c>
      <c r="AT67" s="15">
        <v>0</v>
      </c>
      <c r="AU67" s="15">
        <v>284.86678006582798</v>
      </c>
      <c r="AV67" s="15">
        <v>59.642499999999991</v>
      </c>
      <c r="AW67" s="15">
        <v>59.642499999999991</v>
      </c>
      <c r="AX67" s="15">
        <v>0</v>
      </c>
      <c r="AY67" s="15">
        <v>0</v>
      </c>
      <c r="AZ67" s="15">
        <v>157.74825819368453</v>
      </c>
      <c r="BA67" s="15">
        <v>76.930878417473082</v>
      </c>
      <c r="BB67" s="15">
        <v>33.673908240088103</v>
      </c>
      <c r="BC67" s="15">
        <v>47.143471536123336</v>
      </c>
      <c r="BD67" s="15">
        <v>0</v>
      </c>
      <c r="BE67" s="15">
        <v>67.476021872143463</v>
      </c>
      <c r="BF67" s="15">
        <v>23.159179144813383</v>
      </c>
      <c r="BG67" s="15">
        <v>1.4723613094253221</v>
      </c>
      <c r="BH67" s="15">
        <v>42.844481417904753</v>
      </c>
      <c r="BI67" s="15">
        <v>0</v>
      </c>
      <c r="BJ67" s="15">
        <v>284.86678006582798</v>
      </c>
      <c r="BK67" s="15">
        <v>368.86849292924131</v>
      </c>
      <c r="BL67" s="15">
        <v>0.27627819080480093</v>
      </c>
      <c r="BM67" s="15">
        <v>0.34043737664211943</v>
      </c>
    </row>
    <row r="68" spans="1:65" x14ac:dyDescent="0.35">
      <c r="A68" s="15" t="s">
        <v>10787</v>
      </c>
      <c r="B68" s="15" t="s">
        <v>10455</v>
      </c>
      <c r="C68" s="15" t="s">
        <v>10582</v>
      </c>
      <c r="D68" s="15" t="s">
        <v>10324</v>
      </c>
      <c r="E68" s="15" t="s">
        <v>10835</v>
      </c>
      <c r="F68" s="15">
        <v>187889</v>
      </c>
      <c r="G68" s="15">
        <v>0.89712274742220655</v>
      </c>
      <c r="H68" s="15">
        <v>200</v>
      </c>
      <c r="I68" s="92">
        <v>479.89880880557706</v>
      </c>
      <c r="J68" s="93">
        <v>5.5038062628146173E-2</v>
      </c>
      <c r="K68" s="15">
        <v>30</v>
      </c>
      <c r="L68" s="15">
        <v>158.91657952295168</v>
      </c>
      <c r="M68" s="15">
        <v>22.015047064490322</v>
      </c>
      <c r="N68" s="15">
        <v>65.906999331460824</v>
      </c>
      <c r="O68" s="15">
        <v>14.769593782682044</v>
      </c>
      <c r="P68" s="15">
        <v>23.055586506131625</v>
      </c>
      <c r="Q68" s="15">
        <v>28.081819042647162</v>
      </c>
      <c r="R68" s="15">
        <v>5.2560831966840018</v>
      </c>
      <c r="S68" s="15">
        <v>0</v>
      </c>
      <c r="T68" s="15">
        <v>22.825735845963166</v>
      </c>
      <c r="U68" s="15">
        <v>0</v>
      </c>
      <c r="V68" s="15">
        <v>0</v>
      </c>
      <c r="W68" s="15">
        <v>0</v>
      </c>
      <c r="X68" s="15">
        <v>0</v>
      </c>
      <c r="Y68" s="15">
        <v>563.56309990036164</v>
      </c>
      <c r="Z68" s="15">
        <v>0</v>
      </c>
      <c r="AA68" s="15">
        <v>0</v>
      </c>
      <c r="AB68" s="15">
        <v>0</v>
      </c>
      <c r="AC68" s="15">
        <v>563.56309990036164</v>
      </c>
      <c r="AD68" s="15">
        <v>83.664291094784573</v>
      </c>
      <c r="AE68" s="15">
        <v>-17.796477655215423</v>
      </c>
      <c r="AF68" s="15">
        <v>0</v>
      </c>
      <c r="AG68" s="15">
        <v>0</v>
      </c>
      <c r="AH68" s="15">
        <v>0</v>
      </c>
      <c r="AI68" s="15">
        <v>101.46076875</v>
      </c>
      <c r="AJ68" s="15">
        <v>0</v>
      </c>
      <c r="AK68" s="15">
        <v>0</v>
      </c>
      <c r="AL68" s="15">
        <v>0</v>
      </c>
      <c r="AM68" s="15">
        <v>0</v>
      </c>
      <c r="AN68" s="15">
        <v>0.14845594239505119</v>
      </c>
      <c r="AO68" s="15">
        <v>479.89880880557706</v>
      </c>
      <c r="AP68" s="15">
        <v>0</v>
      </c>
      <c r="AQ68" s="15">
        <v>0</v>
      </c>
      <c r="AR68" s="15">
        <v>0</v>
      </c>
      <c r="AS68" s="15">
        <v>0</v>
      </c>
      <c r="AT68" s="15">
        <v>0</v>
      </c>
      <c r="AU68" s="15">
        <v>306.31150949979121</v>
      </c>
      <c r="AV68" s="15">
        <v>65.018000000000001</v>
      </c>
      <c r="AW68" s="15">
        <v>65.018000000000001</v>
      </c>
      <c r="AX68" s="15">
        <v>0</v>
      </c>
      <c r="AY68" s="15">
        <v>0</v>
      </c>
      <c r="AZ68" s="15">
        <v>156.97740838869612</v>
      </c>
      <c r="BA68" s="15">
        <v>76.930878417473082</v>
      </c>
      <c r="BB68" s="15">
        <v>33.352720821342935</v>
      </c>
      <c r="BC68" s="15">
        <v>46.693809149880103</v>
      </c>
      <c r="BD68" s="15">
        <v>0</v>
      </c>
      <c r="BE68" s="15">
        <v>84.316101111095065</v>
      </c>
      <c r="BF68" s="15">
        <v>29.067978877778856</v>
      </c>
      <c r="BG68" s="15">
        <v>1.4723613094253221</v>
      </c>
      <c r="BH68" s="15">
        <v>53.775760923890878</v>
      </c>
      <c r="BI68" s="15">
        <v>0</v>
      </c>
      <c r="BJ68" s="15">
        <v>306.31150949979121</v>
      </c>
      <c r="BK68" s="15">
        <v>389.97580059457579</v>
      </c>
      <c r="BL68" s="15">
        <v>4.6867335173086881E-2</v>
      </c>
      <c r="BM68" s="15">
        <v>5.5038062628146173E-2</v>
      </c>
    </row>
    <row r="69" spans="1:65" x14ac:dyDescent="0.35">
      <c r="A69" s="15" t="s">
        <v>10787</v>
      </c>
      <c r="B69" s="15" t="s">
        <v>10455</v>
      </c>
      <c r="C69" s="15" t="s">
        <v>10582</v>
      </c>
      <c r="D69" s="15" t="s">
        <v>10325</v>
      </c>
      <c r="E69" s="15" t="s">
        <v>10836</v>
      </c>
      <c r="F69" s="15">
        <v>187889</v>
      </c>
      <c r="G69" s="15">
        <v>0.89712274742220655</v>
      </c>
      <c r="H69" s="15">
        <v>200</v>
      </c>
      <c r="I69" s="92">
        <v>688.94226049731958</v>
      </c>
      <c r="J69" s="93">
        <v>0.16851756584233502</v>
      </c>
      <c r="K69" s="15">
        <v>30</v>
      </c>
      <c r="L69" s="15">
        <v>315.6857236042398</v>
      </c>
      <c r="M69" s="15">
        <v>36.676201902193107</v>
      </c>
      <c r="N69" s="15">
        <v>65.906999331460824</v>
      </c>
      <c r="O69" s="15">
        <v>48.164818881549159</v>
      </c>
      <c r="P69" s="15">
        <v>12.130183226955371</v>
      </c>
      <c r="Q69" s="15">
        <v>5.6119972229563118</v>
      </c>
      <c r="R69" s="15">
        <v>5.6119972229563118</v>
      </c>
      <c r="S69" s="15">
        <v>0</v>
      </c>
      <c r="T69" s="15">
        <v>0</v>
      </c>
      <c r="U69" s="15">
        <v>41789.579481751876</v>
      </c>
      <c r="V69" s="15">
        <v>0</v>
      </c>
      <c r="W69" s="15">
        <v>0</v>
      </c>
      <c r="X69" s="15">
        <v>0</v>
      </c>
      <c r="Y69" s="15">
        <v>987.76689975170052</v>
      </c>
      <c r="Z69" s="15">
        <v>0</v>
      </c>
      <c r="AA69" s="15">
        <v>0</v>
      </c>
      <c r="AB69" s="15">
        <v>0</v>
      </c>
      <c r="AC69" s="15">
        <v>987.76689975170052</v>
      </c>
      <c r="AD69" s="15">
        <v>298.82463925438094</v>
      </c>
      <c r="AE69" s="15">
        <v>29.629362537189383</v>
      </c>
      <c r="AF69" s="15">
        <v>0</v>
      </c>
      <c r="AG69" s="15">
        <v>0</v>
      </c>
      <c r="AH69" s="15">
        <v>135.4640565325181</v>
      </c>
      <c r="AI69" s="15">
        <v>123.00035822944253</v>
      </c>
      <c r="AJ69" s="15">
        <v>10.730861955230859</v>
      </c>
      <c r="AK69" s="15">
        <v>0</v>
      </c>
      <c r="AL69" s="15">
        <v>0</v>
      </c>
      <c r="AM69" s="15">
        <v>0</v>
      </c>
      <c r="AN69" s="15">
        <v>0.30252546357799381</v>
      </c>
      <c r="AO69" s="15">
        <v>688.94226049731958</v>
      </c>
      <c r="AP69" s="15">
        <v>165.09341906970749</v>
      </c>
      <c r="AQ69" s="15">
        <v>29.629362537189383</v>
      </c>
      <c r="AR69" s="15">
        <v>0</v>
      </c>
      <c r="AS69" s="15">
        <v>0</v>
      </c>
      <c r="AT69" s="15">
        <v>135.4640565325181</v>
      </c>
      <c r="AU69" s="15">
        <v>439.94771417253639</v>
      </c>
      <c r="AV69" s="15">
        <v>81.594999999999985</v>
      </c>
      <c r="AW69" s="15">
        <v>81.594999999999985</v>
      </c>
      <c r="AX69" s="15">
        <v>0</v>
      </c>
      <c r="AY69" s="15">
        <v>0</v>
      </c>
      <c r="AZ69" s="15">
        <v>239.53861019907248</v>
      </c>
      <c r="BA69" s="15">
        <v>82.718698010625403</v>
      </c>
      <c r="BB69" s="15">
        <v>65.341630078519628</v>
      </c>
      <c r="BC69" s="15">
        <v>91.478282109927463</v>
      </c>
      <c r="BD69" s="15">
        <v>0</v>
      </c>
      <c r="BE69" s="15">
        <v>118.81410397346392</v>
      </c>
      <c r="BF69" s="15">
        <v>41.133674034099649</v>
      </c>
      <c r="BG69" s="15">
        <v>1.5831329762799125</v>
      </c>
      <c r="BH69" s="15">
        <v>76.097296963084347</v>
      </c>
      <c r="BI69" s="15">
        <v>0</v>
      </c>
      <c r="BJ69" s="15">
        <v>605.04113324224386</v>
      </c>
      <c r="BK69" s="15">
        <v>903.8657724966248</v>
      </c>
      <c r="BL69" s="15">
        <v>0.11753671111484751</v>
      </c>
      <c r="BM69" s="15">
        <v>0.16851756584233502</v>
      </c>
    </row>
    <row r="70" spans="1:65" x14ac:dyDescent="0.35">
      <c r="A70" s="15" t="s">
        <v>10787</v>
      </c>
      <c r="B70" s="15" t="s">
        <v>10455</v>
      </c>
      <c r="C70" s="15" t="s">
        <v>10582</v>
      </c>
      <c r="D70" s="15" t="s">
        <v>10326</v>
      </c>
      <c r="E70" s="15" t="s">
        <v>10837</v>
      </c>
      <c r="F70" s="15">
        <v>187889</v>
      </c>
      <c r="G70" s="15">
        <v>0.89712274742220655</v>
      </c>
      <c r="H70" s="15">
        <v>200</v>
      </c>
      <c r="I70" s="92">
        <v>636.74668653639185</v>
      </c>
      <c r="J70" s="93">
        <v>0.26920384648587475</v>
      </c>
      <c r="K70" s="15">
        <v>30</v>
      </c>
      <c r="L70" s="15">
        <v>359.67804117273567</v>
      </c>
      <c r="M70" s="15">
        <v>31.393021174487881</v>
      </c>
      <c r="N70" s="15">
        <v>65.906999331460824</v>
      </c>
      <c r="O70" s="15">
        <v>48.164818881549159</v>
      </c>
      <c r="P70" s="15">
        <v>12.130183226955371</v>
      </c>
      <c r="Q70" s="15">
        <v>5.6119972229563118</v>
      </c>
      <c r="R70" s="15">
        <v>5.6119972229563118</v>
      </c>
      <c r="S70" s="15">
        <v>0</v>
      </c>
      <c r="T70" s="15">
        <v>0</v>
      </c>
      <c r="U70" s="15">
        <v>41789.579481751876</v>
      </c>
      <c r="V70" s="15">
        <v>0</v>
      </c>
      <c r="W70" s="15">
        <v>0</v>
      </c>
      <c r="X70" s="15">
        <v>0</v>
      </c>
      <c r="Y70" s="15">
        <v>947.15361653623154</v>
      </c>
      <c r="Z70" s="15">
        <v>0</v>
      </c>
      <c r="AA70" s="15">
        <v>0</v>
      </c>
      <c r="AB70" s="15">
        <v>0</v>
      </c>
      <c r="AC70" s="15">
        <v>947.15361653623154</v>
      </c>
      <c r="AD70" s="15">
        <v>310.40692999983969</v>
      </c>
      <c r="AE70" s="15">
        <v>31.603848521309555</v>
      </c>
      <c r="AF70" s="15">
        <v>0</v>
      </c>
      <c r="AG70" s="15">
        <v>0</v>
      </c>
      <c r="AH70" s="15">
        <v>143.87744623945869</v>
      </c>
      <c r="AI70" s="15">
        <v>123.00035822944253</v>
      </c>
      <c r="AJ70" s="15">
        <v>11.925277009628882</v>
      </c>
      <c r="AK70" s="15">
        <v>0</v>
      </c>
      <c r="AL70" s="15">
        <v>0</v>
      </c>
      <c r="AM70" s="15">
        <v>0</v>
      </c>
      <c r="AN70" s="15">
        <v>0.32772606743033605</v>
      </c>
      <c r="AO70" s="15">
        <v>636.74668653639185</v>
      </c>
      <c r="AP70" s="15">
        <v>175.48129476076824</v>
      </c>
      <c r="AQ70" s="15">
        <v>31.603848521309555</v>
      </c>
      <c r="AR70" s="15">
        <v>0</v>
      </c>
      <c r="AS70" s="15">
        <v>0</v>
      </c>
      <c r="AT70" s="15">
        <v>143.87744623945869</v>
      </c>
      <c r="AU70" s="15">
        <v>432.68004902835588</v>
      </c>
      <c r="AV70" s="15">
        <v>81.594999999999985</v>
      </c>
      <c r="AW70" s="15">
        <v>81.594999999999985</v>
      </c>
      <c r="AX70" s="15">
        <v>0</v>
      </c>
      <c r="AY70" s="15">
        <v>0</v>
      </c>
      <c r="AZ70" s="15">
        <v>239.53861019907248</v>
      </c>
      <c r="BA70" s="15">
        <v>82.718698010625403</v>
      </c>
      <c r="BB70" s="15">
        <v>65.341630078519628</v>
      </c>
      <c r="BC70" s="15">
        <v>91.478282109927463</v>
      </c>
      <c r="BD70" s="15">
        <v>0</v>
      </c>
      <c r="BE70" s="15">
        <v>111.54643882928343</v>
      </c>
      <c r="BF70" s="15">
        <v>38.583616088773169</v>
      </c>
      <c r="BG70" s="15">
        <v>1.5831329762799125</v>
      </c>
      <c r="BH70" s="15">
        <v>71.379689764230349</v>
      </c>
      <c r="BI70" s="15">
        <v>0</v>
      </c>
      <c r="BJ70" s="15">
        <v>608.16134378912409</v>
      </c>
      <c r="BK70" s="15">
        <v>918.56827378896378</v>
      </c>
      <c r="BL70" s="15">
        <v>0.18097872853993913</v>
      </c>
      <c r="BM70" s="15">
        <v>0.26920384648587475</v>
      </c>
    </row>
    <row r="71" spans="1:65" s="56" customFormat="1" x14ac:dyDescent="0.35">
      <c r="A71" s="55" t="s">
        <v>10787</v>
      </c>
      <c r="B71" s="55" t="s">
        <v>10455</v>
      </c>
      <c r="C71" s="55" t="s">
        <v>10803</v>
      </c>
      <c r="D71" s="55" t="s">
        <v>10323</v>
      </c>
      <c r="E71" s="55" t="s">
        <v>10838</v>
      </c>
      <c r="F71" s="55">
        <v>187889</v>
      </c>
      <c r="G71" s="55">
        <v>0.89712274742220655</v>
      </c>
      <c r="H71" s="55">
        <v>200</v>
      </c>
      <c r="I71" s="55">
        <v>361.72281414626764</v>
      </c>
      <c r="J71" s="94">
        <v>0.34043737664211943</v>
      </c>
      <c r="K71" s="55">
        <v>30</v>
      </c>
      <c r="L71" s="55">
        <v>90.654493644415112</v>
      </c>
      <c r="M71" s="55">
        <v>19.312654785766533</v>
      </c>
      <c r="N71" s="55">
        <v>65.906999331460824</v>
      </c>
      <c r="O71" s="55">
        <v>9.2612515460568758</v>
      </c>
      <c r="P71" s="55">
        <v>26.598417255194306</v>
      </c>
      <c r="Q71" s="55">
        <v>30.047330530209649</v>
      </c>
      <c r="R71" s="55">
        <v>5.2560831966840018</v>
      </c>
      <c r="S71" s="55">
        <v>12.957645603561854</v>
      </c>
      <c r="T71" s="55">
        <v>11.833601729963794</v>
      </c>
      <c r="U71" s="55">
        <v>0</v>
      </c>
      <c r="V71" s="55">
        <v>0</v>
      </c>
      <c r="W71" s="55">
        <v>0</v>
      </c>
      <c r="X71" s="55">
        <v>0</v>
      </c>
      <c r="Y71" s="55">
        <v>445.72452700968097</v>
      </c>
      <c r="Z71" s="55">
        <v>0</v>
      </c>
      <c r="AA71" s="55">
        <v>0</v>
      </c>
      <c r="AB71" s="55">
        <v>0</v>
      </c>
      <c r="AC71" s="55">
        <v>445.72452700968097</v>
      </c>
      <c r="AD71" s="55">
        <v>84.001712863413331</v>
      </c>
      <c r="AE71" s="55">
        <v>-17.459055886586672</v>
      </c>
      <c r="AF71" s="55">
        <v>0</v>
      </c>
      <c r="AG71" s="55">
        <v>0</v>
      </c>
      <c r="AH71" s="55">
        <v>0</v>
      </c>
      <c r="AI71" s="55">
        <v>101.46076875</v>
      </c>
      <c r="AJ71" s="55">
        <v>0</v>
      </c>
      <c r="AK71" s="55">
        <v>0</v>
      </c>
      <c r="AL71" s="55">
        <v>0</v>
      </c>
      <c r="AM71" s="55">
        <v>0</v>
      </c>
      <c r="AN71" s="55">
        <v>0.18846105110475297</v>
      </c>
      <c r="AO71" s="55">
        <v>361.72281414626764</v>
      </c>
      <c r="AP71" s="55">
        <v>0</v>
      </c>
      <c r="AQ71" s="55">
        <v>0</v>
      </c>
      <c r="AR71" s="55">
        <v>0</v>
      </c>
      <c r="AS71" s="55">
        <v>0</v>
      </c>
      <c r="AT71" s="55">
        <v>0</v>
      </c>
      <c r="AU71" s="55">
        <v>284.86678006582798</v>
      </c>
      <c r="AV71" s="55">
        <v>59.642499999999991</v>
      </c>
      <c r="AW71" s="55">
        <v>59.642499999999991</v>
      </c>
      <c r="AX71" s="55">
        <v>0</v>
      </c>
      <c r="AY71" s="55">
        <v>0</v>
      </c>
      <c r="AZ71" s="55">
        <v>157.74825819368453</v>
      </c>
      <c r="BA71" s="55">
        <v>76.930878417473082</v>
      </c>
      <c r="BB71" s="55">
        <v>33.673908240088103</v>
      </c>
      <c r="BC71" s="55">
        <v>47.143471536123336</v>
      </c>
      <c r="BD71" s="55">
        <v>0</v>
      </c>
      <c r="BE71" s="55">
        <v>67.476021872143463</v>
      </c>
      <c r="BF71" s="55">
        <v>23.159179144813383</v>
      </c>
      <c r="BG71" s="55">
        <v>1.4723613094253221</v>
      </c>
      <c r="BH71" s="55">
        <v>42.844481417904753</v>
      </c>
      <c r="BI71" s="55">
        <v>0</v>
      </c>
      <c r="BJ71" s="55">
        <v>284.86678006582798</v>
      </c>
      <c r="BK71" s="55">
        <v>368.86849292924131</v>
      </c>
      <c r="BL71" s="55">
        <v>0.27627819080480093</v>
      </c>
      <c r="BM71" s="55">
        <v>0.34043737664211943</v>
      </c>
    </row>
    <row r="72" spans="1:65" s="56" customFormat="1" x14ac:dyDescent="0.35">
      <c r="A72" s="15" t="s">
        <v>10787</v>
      </c>
      <c r="B72" s="15" t="s">
        <v>10455</v>
      </c>
      <c r="C72" s="15" t="s">
        <v>10585</v>
      </c>
      <c r="D72" s="15" t="s">
        <v>10320</v>
      </c>
      <c r="E72" s="15" t="s">
        <v>10839</v>
      </c>
      <c r="F72" s="15">
        <v>1429</v>
      </c>
      <c r="G72" s="15">
        <v>0.89726506705522591</v>
      </c>
      <c r="H72" s="15">
        <v>200</v>
      </c>
      <c r="I72" s="92">
        <v>12958.332503390227</v>
      </c>
      <c r="J72" s="93">
        <v>-0.82701950521639755</v>
      </c>
      <c r="K72" s="15">
        <v>30</v>
      </c>
      <c r="L72" s="15">
        <v>10</v>
      </c>
      <c r="M72" s="15">
        <v>5.0181205504999982</v>
      </c>
      <c r="N72" s="15">
        <v>0.5013387848310602</v>
      </c>
      <c r="O72" s="15">
        <v>9.344679212919306E-2</v>
      </c>
      <c r="P72" s="15">
        <v>0.19411399077221925</v>
      </c>
      <c r="Q72" s="15">
        <v>0.21377800192964791</v>
      </c>
      <c r="R72" s="15">
        <v>3.9981768090277051E-2</v>
      </c>
      <c r="S72" s="15">
        <v>8.3780855022954015E-2</v>
      </c>
      <c r="T72" s="15">
        <v>9.0015378816416858E-2</v>
      </c>
      <c r="U72" s="15">
        <v>0</v>
      </c>
      <c r="V72" s="15">
        <v>60.880376139230698</v>
      </c>
      <c r="W72" s="15">
        <v>0</v>
      </c>
      <c r="X72" s="15">
        <v>0</v>
      </c>
      <c r="Y72" s="15">
        <v>13100.627384140227</v>
      </c>
      <c r="Z72" s="15">
        <v>0</v>
      </c>
      <c r="AA72" s="15">
        <v>0</v>
      </c>
      <c r="AB72" s="15">
        <v>0</v>
      </c>
      <c r="AC72" s="15">
        <v>13100.627384140227</v>
      </c>
      <c r="AD72" s="15">
        <v>142.29488074999972</v>
      </c>
      <c r="AE72" s="15">
        <v>0</v>
      </c>
      <c r="AF72" s="15">
        <v>0</v>
      </c>
      <c r="AG72" s="15">
        <v>0</v>
      </c>
      <c r="AH72" s="15">
        <v>40.834111999999998</v>
      </c>
      <c r="AI72" s="15">
        <v>101.46076874999997</v>
      </c>
      <c r="AJ72" s="15">
        <v>0</v>
      </c>
      <c r="AK72" s="15">
        <v>0</v>
      </c>
      <c r="AL72" s="15">
        <v>0</v>
      </c>
      <c r="AM72" s="15">
        <v>0</v>
      </c>
      <c r="AN72" s="15">
        <v>1.0861684450491552E-2</v>
      </c>
      <c r="AO72" s="15">
        <v>12958.332503390227</v>
      </c>
      <c r="AP72" s="15">
        <v>40.834111999999998</v>
      </c>
      <c r="AQ72" s="15">
        <v>0</v>
      </c>
      <c r="AR72" s="15">
        <v>0</v>
      </c>
      <c r="AS72" s="15">
        <v>0</v>
      </c>
      <c r="AT72" s="15">
        <v>40.834111999999998</v>
      </c>
      <c r="AU72" s="15">
        <v>2000.7046560068807</v>
      </c>
      <c r="AV72" s="15">
        <v>61.280874999999995</v>
      </c>
      <c r="AW72" s="15">
        <v>61.280874999999995</v>
      </c>
      <c r="AX72" s="15">
        <v>0</v>
      </c>
      <c r="AY72" s="15">
        <v>0</v>
      </c>
      <c r="AZ72" s="15">
        <v>76.930878417473082</v>
      </c>
      <c r="BA72" s="15">
        <v>76.930878417473082</v>
      </c>
      <c r="BB72" s="15">
        <v>0</v>
      </c>
      <c r="BC72" s="15">
        <v>0</v>
      </c>
      <c r="BD72" s="15">
        <v>0</v>
      </c>
      <c r="BE72" s="15">
        <v>1862.4929025894075</v>
      </c>
      <c r="BF72" s="15">
        <v>652.98966360701138</v>
      </c>
      <c r="BG72" s="15">
        <v>1.4723613094253221</v>
      </c>
      <c r="BH72" s="15">
        <v>1208.030877672971</v>
      </c>
      <c r="BI72" s="15">
        <v>0</v>
      </c>
      <c r="BJ72" s="15">
        <v>2041.5387680068807</v>
      </c>
      <c r="BK72" s="55">
        <v>2183.8336487568804</v>
      </c>
      <c r="BL72" s="55">
        <v>-0.81803668031633536</v>
      </c>
      <c r="BM72" s="55">
        <v>-0.82701950521639755</v>
      </c>
    </row>
    <row r="73" spans="1:65" s="52" customFormat="1" x14ac:dyDescent="0.35">
      <c r="A73" s="15" t="s">
        <v>10787</v>
      </c>
      <c r="B73" s="15" t="s">
        <v>10455</v>
      </c>
      <c r="C73" s="15" t="s">
        <v>10585</v>
      </c>
      <c r="D73" s="15" t="s">
        <v>10321</v>
      </c>
      <c r="E73" s="15" t="s">
        <v>10840</v>
      </c>
      <c r="F73" s="15">
        <v>1429</v>
      </c>
      <c r="G73" s="15">
        <v>0.89726506705522591</v>
      </c>
      <c r="H73" s="15">
        <v>200</v>
      </c>
      <c r="I73" s="92">
        <v>26994.779049308927</v>
      </c>
      <c r="J73" s="93">
        <v>-0.85116126548067306</v>
      </c>
      <c r="K73" s="15">
        <v>30</v>
      </c>
      <c r="L73" s="15">
        <v>10</v>
      </c>
      <c r="M73" s="15">
        <v>5.0181205504999982</v>
      </c>
      <c r="N73" s="15">
        <v>0.5013387848310602</v>
      </c>
      <c r="O73" s="15">
        <v>9.344679212919306E-2</v>
      </c>
      <c r="P73" s="15">
        <v>0.19411399077221925</v>
      </c>
      <c r="Q73" s="15">
        <v>0.21377800192964791</v>
      </c>
      <c r="R73" s="15">
        <v>3.9981768090277051E-2</v>
      </c>
      <c r="S73" s="15">
        <v>8.3780855022954015E-2</v>
      </c>
      <c r="T73" s="15">
        <v>9.0015378816416858E-2</v>
      </c>
      <c r="U73" s="15">
        <v>0</v>
      </c>
      <c r="V73" s="15">
        <v>0</v>
      </c>
      <c r="W73" s="15">
        <v>15.220094034807675</v>
      </c>
      <c r="X73" s="15">
        <v>0</v>
      </c>
      <c r="Y73" s="15">
        <v>13100.627384140227</v>
      </c>
      <c r="Z73" s="15">
        <v>0</v>
      </c>
      <c r="AA73" s="15">
        <v>0</v>
      </c>
      <c r="AB73" s="15">
        <v>0</v>
      </c>
      <c r="AC73" s="15">
        <v>13100.627384140227</v>
      </c>
      <c r="AD73" s="15">
        <v>-13894.1516651687</v>
      </c>
      <c r="AE73" s="15">
        <v>0</v>
      </c>
      <c r="AF73" s="15">
        <v>1209.6700666958855</v>
      </c>
      <c r="AG73" s="15">
        <v>-13920.864700808881</v>
      </c>
      <c r="AH73" s="15">
        <v>0</v>
      </c>
      <c r="AI73" s="15">
        <v>101.46076874999997</v>
      </c>
      <c r="AJ73" s="15">
        <v>0</v>
      </c>
      <c r="AK73" s="15">
        <v>-1284.4177998057032</v>
      </c>
      <c r="AL73" s="15">
        <v>0</v>
      </c>
      <c r="AM73" s="15">
        <v>0</v>
      </c>
      <c r="AN73" s="15">
        <v>-1.0605714717135701</v>
      </c>
      <c r="AO73" s="15">
        <v>26994.779049308927</v>
      </c>
      <c r="AP73" s="15">
        <v>0</v>
      </c>
      <c r="AQ73" s="15">
        <v>0</v>
      </c>
      <c r="AR73" s="15">
        <v>0</v>
      </c>
      <c r="AS73" s="15">
        <v>0</v>
      </c>
      <c r="AT73" s="15">
        <v>0</v>
      </c>
      <c r="AU73" s="15">
        <v>3817.8687523279832</v>
      </c>
      <c r="AV73" s="15">
        <v>61.280874999999995</v>
      </c>
      <c r="AW73" s="15">
        <v>61.280874999999995</v>
      </c>
      <c r="AX73" s="15">
        <v>0</v>
      </c>
      <c r="AY73" s="15">
        <v>0</v>
      </c>
      <c r="AZ73" s="15">
        <v>76.930878417473082</v>
      </c>
      <c r="BA73" s="15">
        <v>76.930878417473082</v>
      </c>
      <c r="BB73" s="15">
        <v>0</v>
      </c>
      <c r="BC73" s="15">
        <v>0</v>
      </c>
      <c r="BD73" s="15">
        <v>0</v>
      </c>
      <c r="BE73" s="15">
        <v>3679.6569989105101</v>
      </c>
      <c r="BF73" s="15">
        <v>1290.5911009126612</v>
      </c>
      <c r="BG73" s="15">
        <v>1.4723613094253221</v>
      </c>
      <c r="BH73" s="15">
        <v>2387.5935366884232</v>
      </c>
      <c r="BI73" s="15">
        <v>0</v>
      </c>
      <c r="BJ73" s="15">
        <v>3817.8687523279832</v>
      </c>
      <c r="BK73" s="51">
        <v>-10076.282912840717</v>
      </c>
      <c r="BL73" s="51">
        <v>-1.7538786214770954</v>
      </c>
      <c r="BM73" s="51">
        <v>-0.85116126548067306</v>
      </c>
    </row>
    <row r="74" spans="1:65" x14ac:dyDescent="0.35">
      <c r="A74" s="15" t="s">
        <v>10787</v>
      </c>
      <c r="B74" s="15" t="s">
        <v>10455</v>
      </c>
      <c r="C74" s="15" t="s">
        <v>10585</v>
      </c>
      <c r="D74" s="15" t="s">
        <v>10322</v>
      </c>
      <c r="E74" s="15" t="s">
        <v>10841</v>
      </c>
      <c r="F74" s="15">
        <v>1429</v>
      </c>
      <c r="G74" s="15">
        <v>0.89726506705522591</v>
      </c>
      <c r="H74" s="15">
        <v>200</v>
      </c>
      <c r="I74" s="92">
        <v>13789.335764120166</v>
      </c>
      <c r="J74" s="93">
        <v>-0.8399833353316225</v>
      </c>
      <c r="K74" s="15">
        <v>30</v>
      </c>
      <c r="L74" s="15">
        <v>10</v>
      </c>
      <c r="M74" s="15">
        <v>5.0181205504999982</v>
      </c>
      <c r="N74" s="15">
        <v>0.5013387848310602</v>
      </c>
      <c r="O74" s="15">
        <v>9.344679212919306E-2</v>
      </c>
      <c r="P74" s="15">
        <v>0.19411399077221925</v>
      </c>
      <c r="Q74" s="15">
        <v>0.21377800192964791</v>
      </c>
      <c r="R74" s="15">
        <v>3.9981768090277051E-2</v>
      </c>
      <c r="S74" s="15">
        <v>8.3780855022954015E-2</v>
      </c>
      <c r="T74" s="15">
        <v>9.0015378816416858E-2</v>
      </c>
      <c r="U74" s="15">
        <v>0</v>
      </c>
      <c r="V74" s="15">
        <v>0</v>
      </c>
      <c r="W74" s="15">
        <v>0</v>
      </c>
      <c r="X74" s="15">
        <v>15220.094034807675</v>
      </c>
      <c r="Y74" s="15">
        <v>13100.627384140227</v>
      </c>
      <c r="Z74" s="15">
        <v>0</v>
      </c>
      <c r="AA74" s="15">
        <v>0</v>
      </c>
      <c r="AB74" s="15">
        <v>0</v>
      </c>
      <c r="AC74" s="15">
        <v>13100.627384140227</v>
      </c>
      <c r="AD74" s="15">
        <v>-688.7083799799384</v>
      </c>
      <c r="AE74" s="15">
        <v>0</v>
      </c>
      <c r="AF74" s="15">
        <v>0</v>
      </c>
      <c r="AG74" s="15">
        <v>0</v>
      </c>
      <c r="AH74" s="15">
        <v>0</v>
      </c>
      <c r="AI74" s="15">
        <v>101.46076874999997</v>
      </c>
      <c r="AJ74" s="15">
        <v>0</v>
      </c>
      <c r="AK74" s="15">
        <v>-790.16914872993766</v>
      </c>
      <c r="AL74" s="15">
        <v>0</v>
      </c>
      <c r="AM74" s="15">
        <v>0</v>
      </c>
      <c r="AN74" s="15">
        <v>-5.2570641068205394E-2</v>
      </c>
      <c r="AO74" s="15">
        <v>13789.335764120166</v>
      </c>
      <c r="AP74" s="15">
        <v>0</v>
      </c>
      <c r="AQ74" s="15">
        <v>0</v>
      </c>
      <c r="AR74" s="15">
        <v>0</v>
      </c>
      <c r="AS74" s="15">
        <v>0</v>
      </c>
      <c r="AT74" s="15">
        <v>0</v>
      </c>
      <c r="AU74" s="15">
        <v>2006.5235169668808</v>
      </c>
      <c r="AV74" s="15">
        <v>61.280874999999995</v>
      </c>
      <c r="AW74" s="15">
        <v>61.280874999999995</v>
      </c>
      <c r="AX74" s="15">
        <v>0</v>
      </c>
      <c r="AY74" s="15">
        <v>0</v>
      </c>
      <c r="AZ74" s="15">
        <v>76.930878417473082</v>
      </c>
      <c r="BA74" s="15">
        <v>76.930878417473082</v>
      </c>
      <c r="BB74" s="15">
        <v>0</v>
      </c>
      <c r="BC74" s="15">
        <v>0</v>
      </c>
      <c r="BD74" s="15">
        <v>0</v>
      </c>
      <c r="BE74" s="15">
        <v>1868.3117635494077</v>
      </c>
      <c r="BF74" s="15">
        <v>655.03136920701138</v>
      </c>
      <c r="BG74" s="15">
        <v>1.4723613094253221</v>
      </c>
      <c r="BH74" s="15">
        <v>1211.808033032971</v>
      </c>
      <c r="BI74" s="15">
        <v>0</v>
      </c>
      <c r="BJ74" s="15">
        <v>2006.5235169668808</v>
      </c>
      <c r="BK74" s="15">
        <v>1317.8151369869424</v>
      </c>
      <c r="BL74" s="15">
        <v>-0.88414179775661528</v>
      </c>
      <c r="BM74" s="15">
        <v>-0.8399833353316225</v>
      </c>
    </row>
    <row r="75" spans="1:65" x14ac:dyDescent="0.35">
      <c r="A75" s="15" t="s">
        <v>10787</v>
      </c>
      <c r="B75" s="15" t="s">
        <v>10455</v>
      </c>
      <c r="C75" s="15" t="s">
        <v>10585</v>
      </c>
      <c r="D75" s="15" t="s">
        <v>10323</v>
      </c>
      <c r="E75" s="15" t="s">
        <v>10842</v>
      </c>
      <c r="F75" s="15">
        <v>1429</v>
      </c>
      <c r="G75" s="15">
        <v>0.89726506705522591</v>
      </c>
      <c r="H75" s="15">
        <v>200</v>
      </c>
      <c r="I75" s="92">
        <v>13000.955643395264</v>
      </c>
      <c r="J75" s="93">
        <v>-0.83038630859587215</v>
      </c>
      <c r="K75" s="15">
        <v>30</v>
      </c>
      <c r="L75" s="15">
        <v>10</v>
      </c>
      <c r="M75" s="15">
        <v>5.0188873099999975</v>
      </c>
      <c r="N75" s="15">
        <v>0.5013387848310602</v>
      </c>
      <c r="O75" s="15">
        <v>7.0448126044460574E-2</v>
      </c>
      <c r="P75" s="15">
        <v>0.20232780008819509</v>
      </c>
      <c r="Q75" s="15">
        <v>0.22856285869840451</v>
      </c>
      <c r="R75" s="15">
        <v>3.9981768090277051E-2</v>
      </c>
      <c r="S75" s="15">
        <v>9.85657117917106E-2</v>
      </c>
      <c r="T75" s="15">
        <v>9.0015378816416858E-2</v>
      </c>
      <c r="U75" s="15">
        <v>0</v>
      </c>
      <c r="V75" s="15">
        <v>0</v>
      </c>
      <c r="W75" s="15">
        <v>0</v>
      </c>
      <c r="X75" s="15">
        <v>0</v>
      </c>
      <c r="Y75" s="15">
        <v>13102.416412145263</v>
      </c>
      <c r="Z75" s="15">
        <v>0</v>
      </c>
      <c r="AA75" s="15">
        <v>0</v>
      </c>
      <c r="AB75" s="15">
        <v>0</v>
      </c>
      <c r="AC75" s="15">
        <v>13102.416412145263</v>
      </c>
      <c r="AD75" s="15">
        <v>101.46076874999926</v>
      </c>
      <c r="AE75" s="15">
        <v>0</v>
      </c>
      <c r="AF75" s="15">
        <v>0</v>
      </c>
      <c r="AG75" s="15">
        <v>0</v>
      </c>
      <c r="AH75" s="15">
        <v>0</v>
      </c>
      <c r="AI75" s="15">
        <v>101.46076874999997</v>
      </c>
      <c r="AJ75" s="15">
        <v>0</v>
      </c>
      <c r="AK75" s="15">
        <v>0</v>
      </c>
      <c r="AL75" s="15">
        <v>0</v>
      </c>
      <c r="AM75" s="15">
        <v>0</v>
      </c>
      <c r="AN75" s="15">
        <v>7.7436684622502437E-3</v>
      </c>
      <c r="AO75" s="15">
        <v>13000.955643395264</v>
      </c>
      <c r="AP75" s="15">
        <v>0</v>
      </c>
      <c r="AQ75" s="15">
        <v>0</v>
      </c>
      <c r="AR75" s="15">
        <v>0</v>
      </c>
      <c r="AS75" s="15">
        <v>0</v>
      </c>
      <c r="AT75" s="15">
        <v>0</v>
      </c>
      <c r="AU75" s="15">
        <v>2005.1400784575985</v>
      </c>
      <c r="AV75" s="15">
        <v>59.642500000000005</v>
      </c>
      <c r="AW75" s="15">
        <v>59.642500000000005</v>
      </c>
      <c r="AX75" s="15">
        <v>0</v>
      </c>
      <c r="AY75" s="15">
        <v>0</v>
      </c>
      <c r="AZ75" s="15">
        <v>76.930878417473082</v>
      </c>
      <c r="BA75" s="15">
        <v>76.930878417473082</v>
      </c>
      <c r="BB75" s="15">
        <v>0</v>
      </c>
      <c r="BC75" s="15">
        <v>0</v>
      </c>
      <c r="BD75" s="15">
        <v>0</v>
      </c>
      <c r="BE75" s="15">
        <v>1868.5667000401254</v>
      </c>
      <c r="BF75" s="15">
        <v>655.12082060726323</v>
      </c>
      <c r="BG75" s="15">
        <v>1.4723613094253221</v>
      </c>
      <c r="BH75" s="15">
        <v>1211.9735181234369</v>
      </c>
      <c r="BI75" s="15">
        <v>0</v>
      </c>
      <c r="BJ75" s="15">
        <v>2005.1400784575985</v>
      </c>
      <c r="BK75" s="15">
        <v>2106.6008472075978</v>
      </c>
      <c r="BL75" s="15">
        <v>-0.82395607232651391</v>
      </c>
      <c r="BM75" s="15">
        <v>-0.83038630859587215</v>
      </c>
    </row>
    <row r="76" spans="1:65" x14ac:dyDescent="0.35">
      <c r="A76" s="15" t="s">
        <v>10787</v>
      </c>
      <c r="B76" s="15" t="s">
        <v>10455</v>
      </c>
      <c r="C76" s="15" t="s">
        <v>10585</v>
      </c>
      <c r="D76" s="15" t="s">
        <v>10324</v>
      </c>
      <c r="E76" s="15" t="s">
        <v>10843</v>
      </c>
      <c r="F76" s="15">
        <v>1429</v>
      </c>
      <c r="G76" s="15">
        <v>0.89726506705522591</v>
      </c>
      <c r="H76" s="15">
        <v>200</v>
      </c>
      <c r="I76" s="92">
        <v>12995.085851655851</v>
      </c>
      <c r="J76" s="93">
        <v>-0.82996040515937242</v>
      </c>
      <c r="K76" s="15">
        <v>30</v>
      </c>
      <c r="L76" s="15">
        <v>10</v>
      </c>
      <c r="M76" s="15">
        <v>5.0163715760000001</v>
      </c>
      <c r="N76" s="15">
        <v>0.5013387848310602</v>
      </c>
      <c r="O76" s="15">
        <v>0.11234876833367853</v>
      </c>
      <c r="P76" s="15">
        <v>0.17537833370960151</v>
      </c>
      <c r="Q76" s="15">
        <v>0.21361168278778017</v>
      </c>
      <c r="R76" s="15">
        <v>3.9981768090277051E-2</v>
      </c>
      <c r="S76" s="15">
        <v>0</v>
      </c>
      <c r="T76" s="15">
        <v>0.17362991469750316</v>
      </c>
      <c r="U76" s="15">
        <v>0</v>
      </c>
      <c r="V76" s="15">
        <v>0</v>
      </c>
      <c r="W76" s="15">
        <v>0</v>
      </c>
      <c r="X76" s="15">
        <v>0</v>
      </c>
      <c r="Y76" s="15">
        <v>13096.54662040585</v>
      </c>
      <c r="Z76" s="15">
        <v>0</v>
      </c>
      <c r="AA76" s="15">
        <v>0</v>
      </c>
      <c r="AB76" s="15">
        <v>0</v>
      </c>
      <c r="AC76" s="15">
        <v>13096.54662040585</v>
      </c>
      <c r="AD76" s="15">
        <v>101.46076874999926</v>
      </c>
      <c r="AE76" s="15">
        <v>0</v>
      </c>
      <c r="AF76" s="15">
        <v>0</v>
      </c>
      <c r="AG76" s="15">
        <v>0</v>
      </c>
      <c r="AH76" s="15">
        <v>0</v>
      </c>
      <c r="AI76" s="15">
        <v>101.46076874999997</v>
      </c>
      <c r="AJ76" s="15">
        <v>0</v>
      </c>
      <c r="AK76" s="15">
        <v>0</v>
      </c>
      <c r="AL76" s="15">
        <v>0</v>
      </c>
      <c r="AM76" s="15">
        <v>0</v>
      </c>
      <c r="AN76" s="15">
        <v>7.7471391268834414E-3</v>
      </c>
      <c r="AO76" s="15">
        <v>12995.085851655851</v>
      </c>
      <c r="AP76" s="15">
        <v>0</v>
      </c>
      <c r="AQ76" s="15">
        <v>0</v>
      </c>
      <c r="AR76" s="15">
        <v>0</v>
      </c>
      <c r="AS76" s="15">
        <v>0</v>
      </c>
      <c r="AT76" s="15">
        <v>0</v>
      </c>
      <c r="AU76" s="15">
        <v>2009.679133134732</v>
      </c>
      <c r="AV76" s="15">
        <v>65.017999999999986</v>
      </c>
      <c r="AW76" s="15">
        <v>65.017999999999986</v>
      </c>
      <c r="AX76" s="15">
        <v>0</v>
      </c>
      <c r="AY76" s="15">
        <v>0</v>
      </c>
      <c r="AZ76" s="15">
        <v>76.930878417473082</v>
      </c>
      <c r="BA76" s="15">
        <v>76.930878417473082</v>
      </c>
      <c r="BB76" s="15">
        <v>0</v>
      </c>
      <c r="BC76" s="15">
        <v>0</v>
      </c>
      <c r="BD76" s="15">
        <v>0</v>
      </c>
      <c r="BE76" s="15">
        <v>1867.730254717259</v>
      </c>
      <c r="BF76" s="15">
        <v>654.8273310202926</v>
      </c>
      <c r="BG76" s="15">
        <v>1.4723613094253221</v>
      </c>
      <c r="BH76" s="15">
        <v>1211.4305623875412</v>
      </c>
      <c r="BI76" s="15">
        <v>0</v>
      </c>
      <c r="BJ76" s="15">
        <v>2009.679133134732</v>
      </c>
      <c r="BK76" s="15">
        <v>2111.1399018847314</v>
      </c>
      <c r="BL76" s="15">
        <v>-0.82353058643079824</v>
      </c>
      <c r="BM76" s="15">
        <v>-0.82996040515937242</v>
      </c>
    </row>
    <row r="77" spans="1:65" x14ac:dyDescent="0.35">
      <c r="A77" s="15" t="s">
        <v>10787</v>
      </c>
      <c r="B77" s="15" t="s">
        <v>10455</v>
      </c>
      <c r="C77" s="15" t="s">
        <v>10585</v>
      </c>
      <c r="D77" s="15" t="s">
        <v>10325</v>
      </c>
      <c r="E77" s="15" t="s">
        <v>10844</v>
      </c>
      <c r="F77" s="15">
        <v>1429</v>
      </c>
      <c r="G77" s="15">
        <v>0.89726506705522591</v>
      </c>
      <c r="H77" s="15">
        <v>200</v>
      </c>
      <c r="I77" s="92">
        <v>184974.48753862875</v>
      </c>
      <c r="J77" s="93">
        <v>-1.7853880589329063</v>
      </c>
      <c r="K77" s="15">
        <v>30</v>
      </c>
      <c r="L77" s="15">
        <v>10</v>
      </c>
      <c r="M77" s="15">
        <v>5.0086135399999998</v>
      </c>
      <c r="N77" s="15">
        <v>0.5013387848310602</v>
      </c>
      <c r="O77" s="15">
        <v>0.36637826049770406</v>
      </c>
      <c r="P77" s="15">
        <v>9.227140334815663E-2</v>
      </c>
      <c r="Q77" s="15">
        <v>4.2689120985199613E-2</v>
      </c>
      <c r="R77" s="15">
        <v>4.2689120985199613E-2</v>
      </c>
      <c r="S77" s="15">
        <v>0</v>
      </c>
      <c r="T77" s="15">
        <v>0</v>
      </c>
      <c r="U77" s="15">
        <v>317.88333877281553</v>
      </c>
      <c r="V77" s="15">
        <v>0</v>
      </c>
      <c r="W77" s="15">
        <v>0</v>
      </c>
      <c r="X77" s="15">
        <v>0</v>
      </c>
      <c r="Y77" s="15">
        <v>13078.445320496241</v>
      </c>
      <c r="Z77" s="15">
        <v>0</v>
      </c>
      <c r="AA77" s="15">
        <v>0</v>
      </c>
      <c r="AB77" s="15">
        <v>0</v>
      </c>
      <c r="AC77" s="15">
        <v>13078.445320496241</v>
      </c>
      <c r="AD77" s="15">
        <v>-171896.0422181325</v>
      </c>
      <c r="AE77" s="15">
        <v>0</v>
      </c>
      <c r="AF77" s="15">
        <v>0</v>
      </c>
      <c r="AG77" s="15">
        <v>0</v>
      </c>
      <c r="AH77" s="15">
        <v>-172019.04257636194</v>
      </c>
      <c r="AI77" s="15">
        <v>123.00035822944251</v>
      </c>
      <c r="AJ77" s="15">
        <v>0</v>
      </c>
      <c r="AK77" s="15">
        <v>0</v>
      </c>
      <c r="AL77" s="15">
        <v>0</v>
      </c>
      <c r="AM77" s="15">
        <v>0</v>
      </c>
      <c r="AN77" s="15">
        <v>-13.143461474640334</v>
      </c>
      <c r="AO77" s="15">
        <v>184974.48753862875</v>
      </c>
      <c r="AP77" s="15">
        <v>-172019.04257636194</v>
      </c>
      <c r="AQ77" s="15">
        <v>0</v>
      </c>
      <c r="AR77" s="15">
        <v>0</v>
      </c>
      <c r="AS77" s="15">
        <v>0</v>
      </c>
      <c r="AT77" s="15">
        <v>-172019.04257636194</v>
      </c>
      <c r="AU77" s="15">
        <v>26542.2888562892</v>
      </c>
      <c r="AV77" s="15">
        <v>81.594999999999999</v>
      </c>
      <c r="AW77" s="15">
        <v>81.594999999999999</v>
      </c>
      <c r="AX77" s="15">
        <v>0</v>
      </c>
      <c r="AY77" s="15">
        <v>0</v>
      </c>
      <c r="AZ77" s="15">
        <v>82.718698010625431</v>
      </c>
      <c r="BA77" s="15">
        <v>82.718698010625431</v>
      </c>
      <c r="BB77" s="15">
        <v>0</v>
      </c>
      <c r="BC77" s="15">
        <v>0</v>
      </c>
      <c r="BD77" s="15">
        <v>0</v>
      </c>
      <c r="BE77" s="15">
        <v>26377.975158278576</v>
      </c>
      <c r="BF77" s="15">
        <v>9254.8743948429092</v>
      </c>
      <c r="BG77" s="15">
        <v>1.5831329762799125</v>
      </c>
      <c r="BH77" s="15">
        <v>17121.517630459384</v>
      </c>
      <c r="BI77" s="15">
        <v>0</v>
      </c>
      <c r="BJ77" s="15">
        <v>-145476.75372007274</v>
      </c>
      <c r="BK77" s="15">
        <v>-317372.79593820521</v>
      </c>
      <c r="BL77" s="15">
        <v>-25.251567228800447</v>
      </c>
      <c r="BM77" s="15">
        <v>-1.7853880589329063</v>
      </c>
    </row>
    <row r="78" spans="1:65" x14ac:dyDescent="0.35">
      <c r="A78" s="15" t="s">
        <v>10787</v>
      </c>
      <c r="B78" s="15" t="s">
        <v>10455</v>
      </c>
      <c r="C78" s="15" t="s">
        <v>10585</v>
      </c>
      <c r="D78" s="15" t="s">
        <v>10326</v>
      </c>
      <c r="E78" s="15" t="s">
        <v>10845</v>
      </c>
      <c r="F78" s="15">
        <v>1429</v>
      </c>
      <c r="G78" s="15">
        <v>0.89726506705522591</v>
      </c>
      <c r="H78" s="15">
        <v>200</v>
      </c>
      <c r="I78" s="92">
        <v>184974.48753862875</v>
      </c>
      <c r="J78" s="93">
        <v>-1.7853880589329063</v>
      </c>
      <c r="K78" s="15">
        <v>30</v>
      </c>
      <c r="L78" s="15">
        <v>10</v>
      </c>
      <c r="M78" s="15">
        <v>5.0086135399999998</v>
      </c>
      <c r="N78" s="15">
        <v>0.5013387848310602</v>
      </c>
      <c r="O78" s="15">
        <v>0.36637826049770406</v>
      </c>
      <c r="P78" s="15">
        <v>9.227140334815663E-2</v>
      </c>
      <c r="Q78" s="15">
        <v>4.2689120985199613E-2</v>
      </c>
      <c r="R78" s="15">
        <v>4.2689120985199613E-2</v>
      </c>
      <c r="S78" s="15">
        <v>0</v>
      </c>
      <c r="T78" s="15">
        <v>0</v>
      </c>
      <c r="U78" s="15">
        <v>317.88333877281553</v>
      </c>
      <c r="V78" s="15">
        <v>0</v>
      </c>
      <c r="W78" s="15">
        <v>0</v>
      </c>
      <c r="X78" s="15">
        <v>0</v>
      </c>
      <c r="Y78" s="15">
        <v>13078.445320496241</v>
      </c>
      <c r="Z78" s="15">
        <v>0</v>
      </c>
      <c r="AA78" s="15">
        <v>0</v>
      </c>
      <c r="AB78" s="15">
        <v>0</v>
      </c>
      <c r="AC78" s="15">
        <v>13078.445320496241</v>
      </c>
      <c r="AD78" s="15">
        <v>-171896.0422181325</v>
      </c>
      <c r="AE78" s="15">
        <v>0</v>
      </c>
      <c r="AF78" s="15">
        <v>0</v>
      </c>
      <c r="AG78" s="15">
        <v>0</v>
      </c>
      <c r="AH78" s="15">
        <v>-172019.04257636194</v>
      </c>
      <c r="AI78" s="15">
        <v>123.00035822944251</v>
      </c>
      <c r="AJ78" s="15">
        <v>0</v>
      </c>
      <c r="AK78" s="15">
        <v>0</v>
      </c>
      <c r="AL78" s="15">
        <v>0</v>
      </c>
      <c r="AM78" s="15">
        <v>0</v>
      </c>
      <c r="AN78" s="15">
        <v>-13.143461474640334</v>
      </c>
      <c r="AO78" s="15">
        <v>184974.48753862875</v>
      </c>
      <c r="AP78" s="15">
        <v>-172019.04257636194</v>
      </c>
      <c r="AQ78" s="15">
        <v>0</v>
      </c>
      <c r="AR78" s="15">
        <v>0</v>
      </c>
      <c r="AS78" s="15">
        <v>0</v>
      </c>
      <c r="AT78" s="15">
        <v>-172019.04257636194</v>
      </c>
      <c r="AU78" s="15">
        <v>26542.2888562892</v>
      </c>
      <c r="AV78" s="15">
        <v>81.594999999999999</v>
      </c>
      <c r="AW78" s="15">
        <v>81.594999999999999</v>
      </c>
      <c r="AX78" s="15">
        <v>0</v>
      </c>
      <c r="AY78" s="15">
        <v>0</v>
      </c>
      <c r="AZ78" s="15">
        <v>82.718698010625431</v>
      </c>
      <c r="BA78" s="15">
        <v>82.718698010625431</v>
      </c>
      <c r="BB78" s="15">
        <v>0</v>
      </c>
      <c r="BC78" s="15">
        <v>0</v>
      </c>
      <c r="BD78" s="15">
        <v>0</v>
      </c>
      <c r="BE78" s="15">
        <v>26377.975158278576</v>
      </c>
      <c r="BF78" s="15">
        <v>9254.8743948429092</v>
      </c>
      <c r="BG78" s="15">
        <v>1.5831329762799125</v>
      </c>
      <c r="BH78" s="15">
        <v>17121.517630459384</v>
      </c>
      <c r="BI78" s="15">
        <v>0</v>
      </c>
      <c r="BJ78" s="15">
        <v>-145476.75372007274</v>
      </c>
      <c r="BK78" s="15">
        <v>-317372.79593820521</v>
      </c>
      <c r="BL78" s="15">
        <v>-25.251567228800447</v>
      </c>
      <c r="BM78" s="15">
        <v>-1.7853880589329063</v>
      </c>
    </row>
    <row r="79" spans="1:65" s="56" customFormat="1" x14ac:dyDescent="0.35">
      <c r="A79" s="55" t="s">
        <v>10787</v>
      </c>
      <c r="B79" s="55" t="s">
        <v>10455</v>
      </c>
      <c r="C79" s="55" t="s">
        <v>10812</v>
      </c>
      <c r="D79" s="55" t="s">
        <v>10320</v>
      </c>
      <c r="E79" s="55" t="s">
        <v>10846</v>
      </c>
      <c r="F79" s="55">
        <v>1429</v>
      </c>
      <c r="G79" s="55">
        <v>0.89726506705522591</v>
      </c>
      <c r="H79" s="55">
        <v>200</v>
      </c>
      <c r="I79" s="55">
        <v>12958.332503390227</v>
      </c>
      <c r="J79" s="94">
        <v>-0.82701950521639755</v>
      </c>
      <c r="K79" s="55">
        <v>30</v>
      </c>
      <c r="L79" s="55">
        <v>10</v>
      </c>
      <c r="M79" s="55">
        <v>5.0181205504999982</v>
      </c>
      <c r="N79" s="55">
        <v>0.5013387848310602</v>
      </c>
      <c r="O79" s="55">
        <v>9.344679212919306E-2</v>
      </c>
      <c r="P79" s="55">
        <v>0.19411399077221925</v>
      </c>
      <c r="Q79" s="55">
        <v>0.21377800192964791</v>
      </c>
      <c r="R79" s="55">
        <v>3.9981768090277051E-2</v>
      </c>
      <c r="S79" s="55">
        <v>8.3780855022954015E-2</v>
      </c>
      <c r="T79" s="55">
        <v>9.0015378816416858E-2</v>
      </c>
      <c r="U79" s="55">
        <v>0</v>
      </c>
      <c r="V79" s="55">
        <v>60.880376139230698</v>
      </c>
      <c r="W79" s="55">
        <v>0</v>
      </c>
      <c r="X79" s="55">
        <v>0</v>
      </c>
      <c r="Y79" s="55">
        <v>13100.627384140227</v>
      </c>
      <c r="Z79" s="55">
        <v>0</v>
      </c>
      <c r="AA79" s="55">
        <v>0</v>
      </c>
      <c r="AB79" s="55">
        <v>0</v>
      </c>
      <c r="AC79" s="55">
        <v>13100.627384140227</v>
      </c>
      <c r="AD79" s="55">
        <v>142.29488074999972</v>
      </c>
      <c r="AE79" s="55">
        <v>0</v>
      </c>
      <c r="AF79" s="55">
        <v>0</v>
      </c>
      <c r="AG79" s="55">
        <v>0</v>
      </c>
      <c r="AH79" s="55">
        <v>40.834111999999998</v>
      </c>
      <c r="AI79" s="55">
        <v>101.46076874999997</v>
      </c>
      <c r="AJ79" s="55">
        <v>0</v>
      </c>
      <c r="AK79" s="55">
        <v>0</v>
      </c>
      <c r="AL79" s="55">
        <v>0</v>
      </c>
      <c r="AM79" s="55">
        <v>0</v>
      </c>
      <c r="AN79" s="55">
        <v>1.0861684450491552E-2</v>
      </c>
      <c r="AO79" s="55">
        <v>12958.332503390227</v>
      </c>
      <c r="AP79" s="55">
        <v>40.834111999999998</v>
      </c>
      <c r="AQ79" s="55">
        <v>0</v>
      </c>
      <c r="AR79" s="55">
        <v>0</v>
      </c>
      <c r="AS79" s="55">
        <v>0</v>
      </c>
      <c r="AT79" s="55">
        <v>40.834111999999998</v>
      </c>
      <c r="AU79" s="55">
        <v>2000.7046560068807</v>
      </c>
      <c r="AV79" s="55">
        <v>61.280874999999995</v>
      </c>
      <c r="AW79" s="55">
        <v>61.280874999999995</v>
      </c>
      <c r="AX79" s="55">
        <v>0</v>
      </c>
      <c r="AY79" s="55">
        <v>0</v>
      </c>
      <c r="AZ79" s="55">
        <v>76.930878417473082</v>
      </c>
      <c r="BA79" s="55">
        <v>76.930878417473082</v>
      </c>
      <c r="BB79" s="55">
        <v>0</v>
      </c>
      <c r="BC79" s="55">
        <v>0</v>
      </c>
      <c r="BD79" s="55">
        <v>0</v>
      </c>
      <c r="BE79" s="55">
        <v>1862.4929025894075</v>
      </c>
      <c r="BF79" s="55">
        <v>652.98966360701138</v>
      </c>
      <c r="BG79" s="55">
        <v>1.4723613094253221</v>
      </c>
      <c r="BH79" s="55">
        <v>1208.030877672971</v>
      </c>
      <c r="BI79" s="55">
        <v>0</v>
      </c>
      <c r="BJ79" s="55">
        <v>2041.5387680068807</v>
      </c>
      <c r="BK79" s="55">
        <v>2183.8336487568804</v>
      </c>
      <c r="BL79" s="55">
        <v>-0.81803668031633536</v>
      </c>
      <c r="BM79" s="55">
        <v>-0.82701950521639755</v>
      </c>
    </row>
    <row r="80" spans="1:65" s="52" customFormat="1" x14ac:dyDescent="0.35">
      <c r="A80" s="51" t="s">
        <v>10787</v>
      </c>
      <c r="B80" s="51" t="s">
        <v>10814</v>
      </c>
      <c r="C80" s="51" t="s">
        <v>9780</v>
      </c>
      <c r="D80" s="51" t="s">
        <v>9780</v>
      </c>
      <c r="E80" s="51" t="s">
        <v>10015</v>
      </c>
      <c r="F80" s="51">
        <f>F71</f>
        <v>187889</v>
      </c>
      <c r="G80" s="51">
        <f>G71</f>
        <v>0.89712274742220655</v>
      </c>
      <c r="H80" s="51">
        <f>(H71*N71+H79*N79)/(N71+N79)</f>
        <v>199.99999999999997</v>
      </c>
      <c r="I80" s="51">
        <f>(I71*N71+I79*N79)/(N71+N79)</f>
        <v>456.81883934023995</v>
      </c>
      <c r="J80" s="95">
        <f>(J71*N71+J79*N79)/(N71+N79)</f>
        <v>0.33162385365546276</v>
      </c>
      <c r="K80" s="51">
        <f>K71</f>
        <v>30</v>
      </c>
      <c r="L80" s="51">
        <f t="shared" ref="L80:W80" si="5">L71+L79</f>
        <v>100.65449364441511</v>
      </c>
      <c r="M80" s="51">
        <f t="shared" si="5"/>
        <v>24.33077533626653</v>
      </c>
      <c r="N80" s="51">
        <f t="shared" si="5"/>
        <v>66.408338116291887</v>
      </c>
      <c r="O80" s="51">
        <f t="shared" si="5"/>
        <v>9.3546983381860684</v>
      </c>
      <c r="P80" s="51">
        <f t="shared" si="5"/>
        <v>26.792531245966526</v>
      </c>
      <c r="Q80" s="51">
        <f t="shared" si="5"/>
        <v>30.261108532139296</v>
      </c>
      <c r="R80" s="51">
        <f t="shared" si="5"/>
        <v>5.2960649647742786</v>
      </c>
      <c r="S80" s="51">
        <f t="shared" si="5"/>
        <v>13.041426458584809</v>
      </c>
      <c r="T80" s="51">
        <f t="shared" si="5"/>
        <v>11.923617108780212</v>
      </c>
      <c r="U80" s="51">
        <f t="shared" si="5"/>
        <v>0</v>
      </c>
      <c r="V80" s="51">
        <f t="shared" si="5"/>
        <v>60.880376139230698</v>
      </c>
      <c r="W80" s="51">
        <f t="shared" si="5"/>
        <v>0</v>
      </c>
      <c r="X80" s="51">
        <f>(X71*N71+X79*N79)/(N71+N79)</f>
        <v>0</v>
      </c>
      <c r="Y80" s="51">
        <f>(Y71*N71+Y79*N79)/(N71+N79)</f>
        <v>541.26062685062061</v>
      </c>
      <c r="Z80" s="51">
        <f>(Z71*N71+Z79*N79)/(N71+N79)</f>
        <v>0</v>
      </c>
      <c r="AA80" s="51">
        <f>(AA71*N71+AA79*N79)/(N71+N79)</f>
        <v>0</v>
      </c>
      <c r="AB80" s="51">
        <f>(AB71*N71+AB79*N79)/(N71+N79)</f>
        <v>0</v>
      </c>
      <c r="AC80" s="51">
        <f>(AC71*N71+AC79*N79)/(N71+N79)</f>
        <v>541.26062685062061</v>
      </c>
      <c r="AD80" s="51">
        <f>(AD71*N71+AD79*N79)/(N71+N79)</f>
        <v>84.441787510380649</v>
      </c>
      <c r="AE80" s="51">
        <f>(AE71*N71+AE79*N79)/(N71+N79)</f>
        <v>-17.327251626598247</v>
      </c>
      <c r="AF80" s="51">
        <f>(AF71*N71+AF79*N79)/(N71+N79)</f>
        <v>0</v>
      </c>
      <c r="AG80" s="51">
        <f>(AG71*N71+AG79*N79)/(N71+N79)</f>
        <v>0</v>
      </c>
      <c r="AH80" s="51">
        <f>(AH71*N71+AH79*N79)/(N71+N79)</f>
        <v>0.30827038697890718</v>
      </c>
      <c r="AI80" s="51">
        <f>(AI71*N71+AI79*N79)/(N71+N79)</f>
        <v>101.46076874999999</v>
      </c>
      <c r="AJ80" s="51">
        <f>(AJ71*N71+AJ79*N79)/(N71+N79)</f>
        <v>0</v>
      </c>
      <c r="AK80" s="51">
        <f>(AK71*N71+AK79*N79)/(N71+N79)</f>
        <v>0</v>
      </c>
      <c r="AL80" s="51">
        <f>(AL71*N71+AL79*N79)/(N71+N79)</f>
        <v>0</v>
      </c>
      <c r="AM80" s="51">
        <f>(AM71*N71+AM79*N79)/(N71+N79)</f>
        <v>0</v>
      </c>
      <c r="AN80" s="51">
        <f>(AN71*N71+AN79*N79)/(N71+N79)</f>
        <v>0.18712029400721356</v>
      </c>
      <c r="AO80" s="51">
        <f>(AO71*N71+AO79*N79)/(N71+N79)</f>
        <v>456.81883934023995</v>
      </c>
      <c r="AP80" s="51">
        <f>(AP71*N71+AP79*N79)/(N71+N79)</f>
        <v>0.30827038697890718</v>
      </c>
      <c r="AQ80" s="51">
        <f>(AQ71*N71+AQ79*N79)/(N71+N79)</f>
        <v>0</v>
      </c>
      <c r="AR80" s="51">
        <f>(AR71*N71+AR79*N79)/(N71+N79)</f>
        <v>0</v>
      </c>
      <c r="AS80" s="51">
        <f>(AS71*N71+AS79*N79)/(N71+N79)</f>
        <v>0</v>
      </c>
      <c r="AT80" s="51">
        <f>(AT71*N71+AT79*N79)/(N71+N79)</f>
        <v>0.30827038697890718</v>
      </c>
      <c r="AU80" s="51">
        <f>(AU71*N71+AU79*N79)/(N71+N79)</f>
        <v>297.82021483158007</v>
      </c>
      <c r="AV80" s="51">
        <f>(AV71*N71+AV79*N79)/(N71+N79)</f>
        <v>59.654868641572669</v>
      </c>
      <c r="AW80" s="51">
        <f>(AW71*N71+AW79*N79)/(N71+N79)</f>
        <v>59.654868641572669</v>
      </c>
      <c r="AX80" s="51">
        <f>(AX71*N71+AX79*N79)/(N71+N79)</f>
        <v>0</v>
      </c>
      <c r="AY80" s="51">
        <f>(AY71*N71+AY79*N79)/(N71+N79)</f>
        <v>0</v>
      </c>
      <c r="AZ80" s="51">
        <f>(AZ71*N71+AZ79*N79)/(N71+N79)</f>
        <v>157.13814072772288</v>
      </c>
      <c r="BA80" s="51">
        <f>(BA71*N71+BA79*N79)/(N71+N79)</f>
        <v>76.930878417473082</v>
      </c>
      <c r="BB80" s="51">
        <f>(BB71*N71+BB79*N79)/(N71+N79)</f>
        <v>33.419692629270756</v>
      </c>
      <c r="BC80" s="51">
        <f>(BC71*N71+BC79*N79)/(N71+N79)</f>
        <v>46.78756968097904</v>
      </c>
      <c r="BD80" s="51">
        <f>(BD71*N71+BD79*N79)/(N71+N79)</f>
        <v>0</v>
      </c>
      <c r="BE80" s="51">
        <f>(BE71*N71+BE79*N79)/(N71+N79)</f>
        <v>81.027205462284527</v>
      </c>
      <c r="BF80" s="51">
        <f>(BF71*N71+BF79*N79)/(N71+N79)</f>
        <v>27.913980404511999</v>
      </c>
      <c r="BG80" s="51">
        <f>(BG71*N71+BG79*N79)/(N71+N79)</f>
        <v>1.4723613094253218</v>
      </c>
      <c r="BH80" s="51">
        <f>(BH71*N71+BH79*N79)/(N71+N79)</f>
        <v>51.640863748347186</v>
      </c>
      <c r="BI80" s="51">
        <f>(BI71*N71+BI79*N79)/(N71+N79)</f>
        <v>0</v>
      </c>
      <c r="BJ80" s="51">
        <f>(BJ71*N71+BJ79*N79)/(N71+N79)</f>
        <v>298.12848521855898</v>
      </c>
      <c r="BK80" s="51">
        <f>(BK71*N71+BK79*N79)/(N71+N79)</f>
        <v>382.57027272893964</v>
      </c>
      <c r="BL80" s="51">
        <f>(BL71*N71+BL79*N79)/(N71+N79)</f>
        <v>0.26801684135272302</v>
      </c>
      <c r="BM80" s="51">
        <f>(BM71*N71+BM79*N79)/(N71+N79)</f>
        <v>0.33162385365546276</v>
      </c>
    </row>
    <row r="81" spans="1:65" s="56" customFormat="1" x14ac:dyDescent="0.35">
      <c r="A81" s="15" t="s">
        <v>10767</v>
      </c>
      <c r="B81" s="15" t="s">
        <v>10319</v>
      </c>
      <c r="C81" s="15" t="s">
        <v>10589</v>
      </c>
      <c r="D81" s="15" t="s">
        <v>10320</v>
      </c>
      <c r="E81" s="15" t="s">
        <v>10847</v>
      </c>
      <c r="F81" s="15">
        <v>170314</v>
      </c>
      <c r="G81" s="15">
        <v>0.89712419976575097</v>
      </c>
      <c r="H81" s="15">
        <v>200</v>
      </c>
      <c r="I81" s="92">
        <v>497.48585438762785</v>
      </c>
      <c r="J81" s="93">
        <v>0.29576434328959467</v>
      </c>
      <c r="K81" s="15">
        <v>30</v>
      </c>
      <c r="L81" s="15">
        <v>167.67324721598897</v>
      </c>
      <c r="M81" s="15">
        <v>24.435608236023825</v>
      </c>
      <c r="N81" s="15">
        <v>59.742203407321568</v>
      </c>
      <c r="O81" s="15">
        <v>11.135618133005998</v>
      </c>
      <c r="P81" s="15">
        <v>23.131658415035094</v>
      </c>
      <c r="Q81" s="15">
        <v>25.474926859280469</v>
      </c>
      <c r="R81" s="15">
        <v>4.7644407217338944</v>
      </c>
      <c r="S81" s="15">
        <v>9.9837735157619871</v>
      </c>
      <c r="T81" s="15">
        <v>10.726712621784587</v>
      </c>
      <c r="U81" s="15">
        <v>0</v>
      </c>
      <c r="V81" s="15">
        <v>7254.8303160901387</v>
      </c>
      <c r="W81" s="15">
        <v>0</v>
      </c>
      <c r="X81" s="15">
        <v>0</v>
      </c>
      <c r="Y81" s="15">
        <v>638.64132748109546</v>
      </c>
      <c r="Z81" s="15">
        <v>0</v>
      </c>
      <c r="AA81" s="15">
        <v>0</v>
      </c>
      <c r="AB81" s="15">
        <v>0</v>
      </c>
      <c r="AC81" s="15">
        <v>638.64132748109546</v>
      </c>
      <c r="AD81" s="15">
        <v>141.15547309346761</v>
      </c>
      <c r="AE81" s="15">
        <v>18.01753637820655</v>
      </c>
      <c r="AF81" s="15">
        <v>0</v>
      </c>
      <c r="AG81" s="15">
        <v>0</v>
      </c>
      <c r="AH81" s="15">
        <v>21.677167965261109</v>
      </c>
      <c r="AI81" s="15">
        <v>101.46076875000001</v>
      </c>
      <c r="AJ81" s="15">
        <v>0</v>
      </c>
      <c r="AK81" s="15">
        <v>0</v>
      </c>
      <c r="AL81" s="15">
        <v>0</v>
      </c>
      <c r="AM81" s="15">
        <v>0</v>
      </c>
      <c r="AN81" s="15">
        <v>0.22102464563357901</v>
      </c>
      <c r="AO81" s="15">
        <v>497.48585438762785</v>
      </c>
      <c r="AP81" s="15">
        <v>39.694704343467663</v>
      </c>
      <c r="AQ81" s="15">
        <v>18.01753637820655</v>
      </c>
      <c r="AR81" s="15">
        <v>0</v>
      </c>
      <c r="AS81" s="15">
        <v>0</v>
      </c>
      <c r="AT81" s="15">
        <v>21.677167965261109</v>
      </c>
      <c r="AU81" s="15">
        <v>404.92972706297985</v>
      </c>
      <c r="AV81" s="15">
        <v>87.739391516164844</v>
      </c>
      <c r="AW81" s="15">
        <v>87.739391516164844</v>
      </c>
      <c r="AX81" s="15">
        <v>0</v>
      </c>
      <c r="AY81" s="15">
        <v>0</v>
      </c>
      <c r="AZ81" s="15">
        <v>225.06912070716908</v>
      </c>
      <c r="BA81" s="15">
        <v>76.930878417473082</v>
      </c>
      <c r="BB81" s="15">
        <v>61.724267620706669</v>
      </c>
      <c r="BC81" s="15">
        <v>86.413974668989326</v>
      </c>
      <c r="BD81" s="15">
        <v>0</v>
      </c>
      <c r="BE81" s="15">
        <v>92.121214839645944</v>
      </c>
      <c r="BF81" s="15">
        <v>31.806615273761622</v>
      </c>
      <c r="BG81" s="15">
        <v>1.4723613094253221</v>
      </c>
      <c r="BH81" s="15">
        <v>58.842238256458998</v>
      </c>
      <c r="BI81" s="15">
        <v>0</v>
      </c>
      <c r="BJ81" s="15">
        <v>444.62443140644751</v>
      </c>
      <c r="BK81" s="55">
        <v>585.77990449991512</v>
      </c>
      <c r="BL81" s="55">
        <v>0.23039313412296378</v>
      </c>
      <c r="BM81" s="55">
        <v>0.29576434328959467</v>
      </c>
    </row>
    <row r="82" spans="1:65" x14ac:dyDescent="0.35">
      <c r="A82" s="15" t="s">
        <v>10767</v>
      </c>
      <c r="B82" s="15" t="s">
        <v>10319</v>
      </c>
      <c r="C82" s="15" t="s">
        <v>10589</v>
      </c>
      <c r="D82" s="15" t="s">
        <v>10321</v>
      </c>
      <c r="E82" s="15" t="s">
        <v>10848</v>
      </c>
      <c r="F82" s="15">
        <v>170314</v>
      </c>
      <c r="G82" s="15">
        <v>0.89712419976575097</v>
      </c>
      <c r="H82" s="15">
        <v>200</v>
      </c>
      <c r="I82" s="92">
        <v>634.50572948199601</v>
      </c>
      <c r="J82" s="93">
        <v>-9.1437645201640182E-3</v>
      </c>
      <c r="K82" s="15">
        <v>30</v>
      </c>
      <c r="L82" s="15">
        <v>167.67324721598897</v>
      </c>
      <c r="M82" s="15">
        <v>24.435608236023825</v>
      </c>
      <c r="N82" s="15">
        <v>59.742203407321568</v>
      </c>
      <c r="O82" s="15">
        <v>11.135618133005998</v>
      </c>
      <c r="P82" s="15">
        <v>23.131658415035094</v>
      </c>
      <c r="Q82" s="15">
        <v>25.474926859280469</v>
      </c>
      <c r="R82" s="15">
        <v>4.7644407217338944</v>
      </c>
      <c r="S82" s="15">
        <v>9.9837735157619871</v>
      </c>
      <c r="T82" s="15">
        <v>10.726712621784587</v>
      </c>
      <c r="U82" s="15">
        <v>0</v>
      </c>
      <c r="V82" s="15">
        <v>0</v>
      </c>
      <c r="W82" s="15">
        <v>1813.7075790225347</v>
      </c>
      <c r="X82" s="15">
        <v>0</v>
      </c>
      <c r="Y82" s="15">
        <v>638.64132748109546</v>
      </c>
      <c r="Z82" s="15">
        <v>0</v>
      </c>
      <c r="AA82" s="15">
        <v>0</v>
      </c>
      <c r="AB82" s="15">
        <v>0</v>
      </c>
      <c r="AC82" s="15">
        <v>638.64132748109546</v>
      </c>
      <c r="AD82" s="15">
        <v>4.1355979990994456</v>
      </c>
      <c r="AE82" s="15">
        <v>-20.473446476401193</v>
      </c>
      <c r="AF82" s="15">
        <v>10.151191062522814</v>
      </c>
      <c r="AG82" s="15">
        <v>-116.81975211590239</v>
      </c>
      <c r="AH82" s="15">
        <v>0</v>
      </c>
      <c r="AI82" s="15">
        <v>101.46076875000001</v>
      </c>
      <c r="AJ82" s="15">
        <v>0</v>
      </c>
      <c r="AK82" s="15">
        <v>29.816836778880234</v>
      </c>
      <c r="AL82" s="15">
        <v>0</v>
      </c>
      <c r="AM82" s="15">
        <v>0</v>
      </c>
      <c r="AN82" s="15">
        <v>6.4756191325902948E-3</v>
      </c>
      <c r="AO82" s="15">
        <v>634.50572948199601</v>
      </c>
      <c r="AP82" s="15">
        <v>0</v>
      </c>
      <c r="AQ82" s="15">
        <v>0</v>
      </c>
      <c r="AR82" s="15">
        <v>0</v>
      </c>
      <c r="AS82" s="15">
        <v>0</v>
      </c>
      <c r="AT82" s="15">
        <v>0</v>
      </c>
      <c r="AU82" s="15">
        <v>428.70395850491775</v>
      </c>
      <c r="AV82" s="15">
        <v>87.739391516164844</v>
      </c>
      <c r="AW82" s="15">
        <v>87.739391516164844</v>
      </c>
      <c r="AX82" s="15">
        <v>0</v>
      </c>
      <c r="AY82" s="15">
        <v>0</v>
      </c>
      <c r="AZ82" s="15">
        <v>225.06912070716908</v>
      </c>
      <c r="BA82" s="15">
        <v>76.930878417473082</v>
      </c>
      <c r="BB82" s="15">
        <v>61.724267620706669</v>
      </c>
      <c r="BC82" s="15">
        <v>86.413974668989326</v>
      </c>
      <c r="BD82" s="15">
        <v>0</v>
      </c>
      <c r="BE82" s="15">
        <v>115.89544628158384</v>
      </c>
      <c r="BF82" s="15">
        <v>40.148450867424039</v>
      </c>
      <c r="BG82" s="15">
        <v>1.4723613094253221</v>
      </c>
      <c r="BH82" s="15">
        <v>74.274634104734474</v>
      </c>
      <c r="BI82" s="15">
        <v>0</v>
      </c>
      <c r="BJ82" s="15">
        <v>428.70395850491775</v>
      </c>
      <c r="BK82" s="15">
        <v>432.8395565040172</v>
      </c>
      <c r="BL82" s="15">
        <v>-9.084552983693343E-3</v>
      </c>
      <c r="BM82" s="15">
        <v>-9.1437645201640182E-3</v>
      </c>
    </row>
    <row r="83" spans="1:65" x14ac:dyDescent="0.35">
      <c r="A83" s="15" t="s">
        <v>10767</v>
      </c>
      <c r="B83" s="15" t="s">
        <v>10319</v>
      </c>
      <c r="C83" s="15" t="s">
        <v>10589</v>
      </c>
      <c r="D83" s="15" t="s">
        <v>10322</v>
      </c>
      <c r="E83" s="15" t="s">
        <v>10849</v>
      </c>
      <c r="F83" s="15">
        <v>170314</v>
      </c>
      <c r="G83" s="15">
        <v>0.89712419976575097</v>
      </c>
      <c r="H83" s="15">
        <v>200</v>
      </c>
      <c r="I83" s="92">
        <v>523.68958089413411</v>
      </c>
      <c r="J83" s="93">
        <v>0.17150256743189507</v>
      </c>
      <c r="K83" s="15">
        <v>30</v>
      </c>
      <c r="L83" s="15">
        <v>167.67324721598897</v>
      </c>
      <c r="M83" s="15">
        <v>24.435608236023825</v>
      </c>
      <c r="N83" s="15">
        <v>59.742203407321568</v>
      </c>
      <c r="O83" s="15">
        <v>11.135618133005998</v>
      </c>
      <c r="P83" s="15">
        <v>23.131658415035094</v>
      </c>
      <c r="Q83" s="15">
        <v>25.474926859280469</v>
      </c>
      <c r="R83" s="15">
        <v>4.7644407217338944</v>
      </c>
      <c r="S83" s="15">
        <v>9.9837735157619871</v>
      </c>
      <c r="T83" s="15">
        <v>10.726712621784587</v>
      </c>
      <c r="U83" s="15">
        <v>0</v>
      </c>
      <c r="V83" s="15">
        <v>0</v>
      </c>
      <c r="W83" s="15">
        <v>0</v>
      </c>
      <c r="X83" s="15">
        <v>1813707.5790225347</v>
      </c>
      <c r="Y83" s="15">
        <v>638.64132748109546</v>
      </c>
      <c r="Z83" s="15">
        <v>0</v>
      </c>
      <c r="AA83" s="15">
        <v>0</v>
      </c>
      <c r="AB83" s="15">
        <v>0</v>
      </c>
      <c r="AC83" s="15">
        <v>638.64132748109546</v>
      </c>
      <c r="AD83" s="15">
        <v>114.95174658696135</v>
      </c>
      <c r="AE83" s="15">
        <v>-20.473446476401193</v>
      </c>
      <c r="AF83" s="15">
        <v>0</v>
      </c>
      <c r="AG83" s="15">
        <v>0</v>
      </c>
      <c r="AH83" s="15">
        <v>0</v>
      </c>
      <c r="AI83" s="15">
        <v>101.46076875000001</v>
      </c>
      <c r="AJ83" s="15">
        <v>0</v>
      </c>
      <c r="AK83" s="15">
        <v>33.964424313362571</v>
      </c>
      <c r="AL83" s="15">
        <v>0</v>
      </c>
      <c r="AM83" s="15">
        <v>0</v>
      </c>
      <c r="AN83" s="15">
        <v>0.17999421841419128</v>
      </c>
      <c r="AO83" s="15">
        <v>523.68958089413411</v>
      </c>
      <c r="AP83" s="15">
        <v>0</v>
      </c>
      <c r="AQ83" s="15">
        <v>0</v>
      </c>
      <c r="AR83" s="15">
        <v>0</v>
      </c>
      <c r="AS83" s="15">
        <v>0</v>
      </c>
      <c r="AT83" s="15">
        <v>0</v>
      </c>
      <c r="AU83" s="15">
        <v>413.50368855481122</v>
      </c>
      <c r="AV83" s="15">
        <v>87.739391516164844</v>
      </c>
      <c r="AW83" s="15">
        <v>87.739391516164844</v>
      </c>
      <c r="AX83" s="15">
        <v>0</v>
      </c>
      <c r="AY83" s="15">
        <v>0</v>
      </c>
      <c r="AZ83" s="15">
        <v>225.06912070716908</v>
      </c>
      <c r="BA83" s="15">
        <v>76.930878417473082</v>
      </c>
      <c r="BB83" s="15">
        <v>61.724267620706669</v>
      </c>
      <c r="BC83" s="15">
        <v>86.413974668989326</v>
      </c>
      <c r="BD83" s="15">
        <v>0</v>
      </c>
      <c r="BE83" s="15">
        <v>100.69517633147726</v>
      </c>
      <c r="BF83" s="15">
        <v>34.815022814755068</v>
      </c>
      <c r="BG83" s="15">
        <v>1.4723613094253221</v>
      </c>
      <c r="BH83" s="15">
        <v>64.407792207296865</v>
      </c>
      <c r="BI83" s="15">
        <v>0</v>
      </c>
      <c r="BJ83" s="15">
        <v>413.50368855481122</v>
      </c>
      <c r="BK83" s="15">
        <v>528.45543514177257</v>
      </c>
      <c r="BL83" s="15">
        <v>0.14063309685096398</v>
      </c>
      <c r="BM83" s="15">
        <v>0.17150256743189507</v>
      </c>
    </row>
    <row r="84" spans="1:65" x14ac:dyDescent="0.35">
      <c r="A84" s="15" t="s">
        <v>10767</v>
      </c>
      <c r="B84" s="15" t="s">
        <v>10319</v>
      </c>
      <c r="C84" s="15" t="s">
        <v>10589</v>
      </c>
      <c r="D84" s="15" t="s">
        <v>10323</v>
      </c>
      <c r="E84" s="15" t="s">
        <v>10850</v>
      </c>
      <c r="F84" s="15">
        <v>170314</v>
      </c>
      <c r="G84" s="15">
        <v>0.89712419976575097</v>
      </c>
      <c r="H84" s="15">
        <v>200</v>
      </c>
      <c r="I84" s="92">
        <v>437.13297608544457</v>
      </c>
      <c r="J84" s="93">
        <v>0.26007605387494948</v>
      </c>
      <c r="K84" s="15">
        <v>30</v>
      </c>
      <c r="L84" s="15">
        <v>124.74141929583149</v>
      </c>
      <c r="M84" s="15">
        <v>20.951634603595231</v>
      </c>
      <c r="N84" s="15">
        <v>59.742203407321568</v>
      </c>
      <c r="O84" s="15">
        <v>8.3949744227968264</v>
      </c>
      <c r="P84" s="15">
        <v>24.110459740109803</v>
      </c>
      <c r="Q84" s="15">
        <v>27.236769244414937</v>
      </c>
      <c r="R84" s="15">
        <v>4.7644407217338944</v>
      </c>
      <c r="S84" s="15">
        <v>11.745615900896455</v>
      </c>
      <c r="T84" s="15">
        <v>10.726712621784587</v>
      </c>
      <c r="U84" s="15">
        <v>0</v>
      </c>
      <c r="V84" s="15">
        <v>0</v>
      </c>
      <c r="W84" s="15">
        <v>0</v>
      </c>
      <c r="X84" s="15">
        <v>0</v>
      </c>
      <c r="Y84" s="15">
        <v>521.13468894885796</v>
      </c>
      <c r="Z84" s="15">
        <v>0</v>
      </c>
      <c r="AA84" s="15">
        <v>0</v>
      </c>
      <c r="AB84" s="15">
        <v>0</v>
      </c>
      <c r="AC84" s="15">
        <v>521.13468894885796</v>
      </c>
      <c r="AD84" s="15">
        <v>84.001712863413388</v>
      </c>
      <c r="AE84" s="15">
        <v>-17.459055886586668</v>
      </c>
      <c r="AF84" s="15">
        <v>0</v>
      </c>
      <c r="AG84" s="15">
        <v>0</v>
      </c>
      <c r="AH84" s="15">
        <v>0</v>
      </c>
      <c r="AI84" s="15">
        <v>101.46076875000001</v>
      </c>
      <c r="AJ84" s="15">
        <v>0</v>
      </c>
      <c r="AK84" s="15">
        <v>0</v>
      </c>
      <c r="AL84" s="15">
        <v>0</v>
      </c>
      <c r="AM84" s="15">
        <v>0</v>
      </c>
      <c r="AN84" s="15">
        <v>0.16119002370164034</v>
      </c>
      <c r="AO84" s="15">
        <v>437.13297608544457</v>
      </c>
      <c r="AP84" s="15">
        <v>0</v>
      </c>
      <c r="AQ84" s="15">
        <v>0</v>
      </c>
      <c r="AR84" s="15">
        <v>0</v>
      </c>
      <c r="AS84" s="15">
        <v>0</v>
      </c>
      <c r="AT84" s="15">
        <v>0</v>
      </c>
      <c r="AU84" s="15">
        <v>350.8207955243596</v>
      </c>
      <c r="AV84" s="15">
        <v>84.336821878380803</v>
      </c>
      <c r="AW84" s="15">
        <v>84.336821878380803</v>
      </c>
      <c r="AX84" s="15">
        <v>0</v>
      </c>
      <c r="AY84" s="15">
        <v>0</v>
      </c>
      <c r="AZ84" s="15">
        <v>183.02853286215353</v>
      </c>
      <c r="BA84" s="15">
        <v>76.930878417473082</v>
      </c>
      <c r="BB84" s="15">
        <v>44.207356018616856</v>
      </c>
      <c r="BC84" s="15">
        <v>61.890298426063602</v>
      </c>
      <c r="BD84" s="15">
        <v>0</v>
      </c>
      <c r="BE84" s="15">
        <v>83.455440783825281</v>
      </c>
      <c r="BF84" s="15">
        <v>28.765992798035072</v>
      </c>
      <c r="BG84" s="15">
        <v>1.4723613094253221</v>
      </c>
      <c r="BH84" s="15">
        <v>53.217086676364879</v>
      </c>
      <c r="BI84" s="15">
        <v>0</v>
      </c>
      <c r="BJ84" s="15">
        <v>350.8207955243596</v>
      </c>
      <c r="BK84" s="15">
        <v>434.82250838777298</v>
      </c>
      <c r="BL84" s="15">
        <v>0.21815438858661729</v>
      </c>
      <c r="BM84" s="15">
        <v>0.26007605387494948</v>
      </c>
    </row>
    <row r="85" spans="1:65" x14ac:dyDescent="0.35">
      <c r="A85" s="15" t="s">
        <v>10767</v>
      </c>
      <c r="B85" s="15" t="s">
        <v>10319</v>
      </c>
      <c r="C85" s="15" t="s">
        <v>10589</v>
      </c>
      <c r="D85" s="15" t="s">
        <v>10324</v>
      </c>
      <c r="E85" s="15" t="s">
        <v>10851</v>
      </c>
      <c r="F85" s="15">
        <v>170314</v>
      </c>
      <c r="G85" s="15">
        <v>0.89712419976575097</v>
      </c>
      <c r="H85" s="15">
        <v>200</v>
      </c>
      <c r="I85" s="92">
        <v>559.50879860114992</v>
      </c>
      <c r="J85" s="93">
        <v>3.4217780517011062E-2</v>
      </c>
      <c r="K85" s="15">
        <v>30</v>
      </c>
      <c r="L85" s="15">
        <v>186.44490250409586</v>
      </c>
      <c r="M85" s="15">
        <v>23.646059881312514</v>
      </c>
      <c r="N85" s="15">
        <v>59.742203407321568</v>
      </c>
      <c r="O85" s="15">
        <v>13.388078428072244</v>
      </c>
      <c r="P85" s="15">
        <v>20.899017595949228</v>
      </c>
      <c r="Q85" s="15">
        <v>25.455107383300088</v>
      </c>
      <c r="R85" s="15">
        <v>4.7644407217338944</v>
      </c>
      <c r="S85" s="15">
        <v>0</v>
      </c>
      <c r="T85" s="15">
        <v>20.690666661566201</v>
      </c>
      <c r="U85" s="15">
        <v>0</v>
      </c>
      <c r="V85" s="15">
        <v>0</v>
      </c>
      <c r="W85" s="15">
        <v>0</v>
      </c>
      <c r="X85" s="15">
        <v>0</v>
      </c>
      <c r="Y85" s="15">
        <v>642.59579826695631</v>
      </c>
      <c r="Z85" s="15">
        <v>0</v>
      </c>
      <c r="AA85" s="15">
        <v>0</v>
      </c>
      <c r="AB85" s="15">
        <v>0</v>
      </c>
      <c r="AC85" s="15">
        <v>642.59579826695631</v>
      </c>
      <c r="AD85" s="15">
        <v>83.086999665806388</v>
      </c>
      <c r="AE85" s="15">
        <v>-18.373769084193693</v>
      </c>
      <c r="AF85" s="15">
        <v>0</v>
      </c>
      <c r="AG85" s="15">
        <v>0</v>
      </c>
      <c r="AH85" s="15">
        <v>0</v>
      </c>
      <c r="AI85" s="15">
        <v>101.46076875000001</v>
      </c>
      <c r="AJ85" s="15">
        <v>0</v>
      </c>
      <c r="AK85" s="15">
        <v>0</v>
      </c>
      <c r="AL85" s="15">
        <v>0</v>
      </c>
      <c r="AM85" s="15">
        <v>0</v>
      </c>
      <c r="AN85" s="15">
        <v>0.12929900863013299</v>
      </c>
      <c r="AO85" s="15">
        <v>559.50879860114992</v>
      </c>
      <c r="AP85" s="15">
        <v>0</v>
      </c>
      <c r="AQ85" s="15">
        <v>0</v>
      </c>
      <c r="AR85" s="15">
        <v>0</v>
      </c>
      <c r="AS85" s="15">
        <v>0</v>
      </c>
      <c r="AT85" s="15">
        <v>0</v>
      </c>
      <c r="AU85" s="15">
        <v>378.65394786902067</v>
      </c>
      <c r="AV85" s="15">
        <v>95.941290475831167</v>
      </c>
      <c r="AW85" s="15">
        <v>95.941290475831167</v>
      </c>
      <c r="AX85" s="15">
        <v>0</v>
      </c>
      <c r="AY85" s="15">
        <v>0</v>
      </c>
      <c r="AZ85" s="15">
        <v>181.59109444750507</v>
      </c>
      <c r="BA85" s="15">
        <v>76.930878417473082</v>
      </c>
      <c r="BB85" s="15">
        <v>43.608423345846667</v>
      </c>
      <c r="BC85" s="15">
        <v>61.05179268418533</v>
      </c>
      <c r="BD85" s="15">
        <v>0</v>
      </c>
      <c r="BE85" s="15">
        <v>101.12156294568446</v>
      </c>
      <c r="BF85" s="15">
        <v>34.964632153073381</v>
      </c>
      <c r="BG85" s="15">
        <v>1.4723613094253221</v>
      </c>
      <c r="BH85" s="15">
        <v>64.684569483185754</v>
      </c>
      <c r="BI85" s="15">
        <v>0</v>
      </c>
      <c r="BJ85" s="15">
        <v>378.65394786902067</v>
      </c>
      <c r="BK85" s="15">
        <v>461.74094753482706</v>
      </c>
      <c r="BL85" s="15">
        <v>2.9793455418638051E-2</v>
      </c>
      <c r="BM85" s="15">
        <v>3.4217780517011062E-2</v>
      </c>
    </row>
    <row r="86" spans="1:65" x14ac:dyDescent="0.35">
      <c r="A86" s="15" t="s">
        <v>10767</v>
      </c>
      <c r="B86" s="15" t="s">
        <v>10319</v>
      </c>
      <c r="C86" s="15" t="s">
        <v>10589</v>
      </c>
      <c r="D86" s="15" t="s">
        <v>10325</v>
      </c>
      <c r="E86" s="15" t="s">
        <v>10852</v>
      </c>
      <c r="F86" s="15">
        <v>170314</v>
      </c>
      <c r="G86" s="15">
        <v>0.89712419976575097</v>
      </c>
      <c r="H86" s="15">
        <v>200</v>
      </c>
      <c r="I86" s="92">
        <v>789.56886160242038</v>
      </c>
      <c r="J86" s="93">
        <v>0.14648317901994129</v>
      </c>
      <c r="K86" s="15">
        <v>30</v>
      </c>
      <c r="L86" s="15">
        <v>324.09172782621516</v>
      </c>
      <c r="M86" s="15">
        <v>38.104621154314756</v>
      </c>
      <c r="N86" s="15">
        <v>59.742203407321568</v>
      </c>
      <c r="O86" s="15">
        <v>43.659587538295725</v>
      </c>
      <c r="P86" s="15">
        <v>10.995552537117536</v>
      </c>
      <c r="Q86" s="15">
        <v>5.0870633319083076</v>
      </c>
      <c r="R86" s="15">
        <v>5.0870633319083076</v>
      </c>
      <c r="S86" s="15">
        <v>0</v>
      </c>
      <c r="T86" s="15">
        <v>0</v>
      </c>
      <c r="U86" s="15">
        <v>37880.674025975488</v>
      </c>
      <c r="V86" s="15">
        <v>0</v>
      </c>
      <c r="W86" s="15">
        <v>0</v>
      </c>
      <c r="X86" s="15">
        <v>0</v>
      </c>
      <c r="Y86" s="15">
        <v>1074.0723554675596</v>
      </c>
      <c r="Z86" s="15">
        <v>0</v>
      </c>
      <c r="AA86" s="15">
        <v>0</v>
      </c>
      <c r="AB86" s="15">
        <v>0</v>
      </c>
      <c r="AC86" s="15">
        <v>1074.0723554675596</v>
      </c>
      <c r="AD86" s="15">
        <v>284.50349386513926</v>
      </c>
      <c r="AE86" s="15">
        <v>26.134668261765082</v>
      </c>
      <c r="AF86" s="15">
        <v>0</v>
      </c>
      <c r="AG86" s="15">
        <v>0</v>
      </c>
      <c r="AH86" s="15">
        <v>133.01490003321416</v>
      </c>
      <c r="AI86" s="15">
        <v>123.00035822944254</v>
      </c>
      <c r="AJ86" s="15">
        <v>2.3535673407175182</v>
      </c>
      <c r="AK86" s="15">
        <v>0</v>
      </c>
      <c r="AL86" s="15">
        <v>0</v>
      </c>
      <c r="AM86" s="15">
        <v>0</v>
      </c>
      <c r="AN86" s="15">
        <v>0.26488298708823083</v>
      </c>
      <c r="AO86" s="15">
        <v>789.56886160242038</v>
      </c>
      <c r="AP86" s="15">
        <v>159.14956829497925</v>
      </c>
      <c r="AQ86" s="15">
        <v>26.134668261765082</v>
      </c>
      <c r="AR86" s="15">
        <v>0</v>
      </c>
      <c r="AS86" s="15">
        <v>0</v>
      </c>
      <c r="AT86" s="15">
        <v>133.01490003321416</v>
      </c>
      <c r="AU86" s="15">
        <v>546.07785021011966</v>
      </c>
      <c r="AV86" s="15">
        <v>139.50719047596817</v>
      </c>
      <c r="AW86" s="15">
        <v>139.50719047596817</v>
      </c>
      <c r="AX86" s="15">
        <v>0</v>
      </c>
      <c r="AY86" s="15">
        <v>0</v>
      </c>
      <c r="AZ86" s="15">
        <v>268.28062276898601</v>
      </c>
      <c r="BA86" s="15">
        <v>82.718698010625431</v>
      </c>
      <c r="BB86" s="15">
        <v>77.317468649316908</v>
      </c>
      <c r="BC86" s="15">
        <v>108.24445610904367</v>
      </c>
      <c r="BD86" s="15">
        <v>0</v>
      </c>
      <c r="BE86" s="15">
        <v>138.29003696516551</v>
      </c>
      <c r="BF86" s="15">
        <v>47.967334732942312</v>
      </c>
      <c r="BG86" s="15">
        <v>1.5831329762799127</v>
      </c>
      <c r="BH86" s="15">
        <v>88.73956925594328</v>
      </c>
      <c r="BI86" s="15">
        <v>0</v>
      </c>
      <c r="BJ86" s="15">
        <v>705.22741850509897</v>
      </c>
      <c r="BK86" s="15">
        <v>989.73091237023823</v>
      </c>
      <c r="BL86" s="15">
        <v>0.10768227700295917</v>
      </c>
      <c r="BM86" s="15">
        <v>0.14648317901994129</v>
      </c>
    </row>
    <row r="87" spans="1:65" x14ac:dyDescent="0.35">
      <c r="A87" s="15" t="s">
        <v>10767</v>
      </c>
      <c r="B87" s="15" t="s">
        <v>10319</v>
      </c>
      <c r="C87" s="15" t="s">
        <v>10589</v>
      </c>
      <c r="D87" s="15" t="s">
        <v>10326</v>
      </c>
      <c r="E87" s="15" t="s">
        <v>10853</v>
      </c>
      <c r="F87" s="15">
        <v>170314</v>
      </c>
      <c r="G87" s="15">
        <v>0.89712419976575097</v>
      </c>
      <c r="H87" s="15">
        <v>200</v>
      </c>
      <c r="I87" s="92">
        <v>726.8273202327664</v>
      </c>
      <c r="J87" s="93">
        <v>0.25082464810938482</v>
      </c>
      <c r="K87" s="15">
        <v>30</v>
      </c>
      <c r="L87" s="15">
        <v>363.17073333904631</v>
      </c>
      <c r="M87" s="15">
        <v>32.86953227382218</v>
      </c>
      <c r="N87" s="15">
        <v>59.742203407321568</v>
      </c>
      <c r="O87" s="15">
        <v>43.659587538295725</v>
      </c>
      <c r="P87" s="15">
        <v>10.995552537117536</v>
      </c>
      <c r="Q87" s="15">
        <v>5.0870633319083076</v>
      </c>
      <c r="R87" s="15">
        <v>5.0870633319083076</v>
      </c>
      <c r="S87" s="15">
        <v>0</v>
      </c>
      <c r="T87" s="15">
        <v>0</v>
      </c>
      <c r="U87" s="15">
        <v>37880.674025975488</v>
      </c>
      <c r="V87" s="15">
        <v>0</v>
      </c>
      <c r="W87" s="15">
        <v>0</v>
      </c>
      <c r="X87" s="15">
        <v>0</v>
      </c>
      <c r="Y87" s="15">
        <v>1024.4955624302925</v>
      </c>
      <c r="Z87" s="15">
        <v>0</v>
      </c>
      <c r="AA87" s="15">
        <v>0</v>
      </c>
      <c r="AB87" s="15">
        <v>0</v>
      </c>
      <c r="AC87" s="15">
        <v>1024.4955624302925</v>
      </c>
      <c r="AD87" s="15">
        <v>297.66824219752607</v>
      </c>
      <c r="AE87" s="15">
        <v>28.378923015683988</v>
      </c>
      <c r="AF87" s="15">
        <v>0</v>
      </c>
      <c r="AG87" s="15">
        <v>0</v>
      </c>
      <c r="AH87" s="15">
        <v>143.56458296926479</v>
      </c>
      <c r="AI87" s="15">
        <v>123.00035822944254</v>
      </c>
      <c r="AJ87" s="15">
        <v>2.7243779831346506</v>
      </c>
      <c r="AK87" s="15">
        <v>0</v>
      </c>
      <c r="AL87" s="15">
        <v>0</v>
      </c>
      <c r="AM87" s="15">
        <v>0</v>
      </c>
      <c r="AN87" s="15">
        <v>0.2905510312718213</v>
      </c>
      <c r="AO87" s="15">
        <v>726.8273202327664</v>
      </c>
      <c r="AP87" s="15">
        <v>171.94350598494879</v>
      </c>
      <c r="AQ87" s="15">
        <v>28.378923015683988</v>
      </c>
      <c r="AR87" s="15">
        <v>0</v>
      </c>
      <c r="AS87" s="15">
        <v>0</v>
      </c>
      <c r="AT87" s="15">
        <v>143.56458296926479</v>
      </c>
      <c r="AU87" s="15">
        <v>537.19002108148845</v>
      </c>
      <c r="AV87" s="15">
        <v>139.50719047596817</v>
      </c>
      <c r="AW87" s="15">
        <v>139.50719047596817</v>
      </c>
      <c r="AX87" s="15">
        <v>0</v>
      </c>
      <c r="AY87" s="15">
        <v>0</v>
      </c>
      <c r="AZ87" s="15">
        <v>268.28062276898601</v>
      </c>
      <c r="BA87" s="15">
        <v>82.718698010625431</v>
      </c>
      <c r="BB87" s="15">
        <v>77.317468649316908</v>
      </c>
      <c r="BC87" s="15">
        <v>108.24445610904367</v>
      </c>
      <c r="BD87" s="15">
        <v>0</v>
      </c>
      <c r="BE87" s="15">
        <v>129.40220783653427</v>
      </c>
      <c r="BF87" s="15">
        <v>44.848798196580475</v>
      </c>
      <c r="BG87" s="15">
        <v>1.5831329762799127</v>
      </c>
      <c r="BH87" s="15">
        <v>82.970276663673872</v>
      </c>
      <c r="BI87" s="15">
        <v>0</v>
      </c>
      <c r="BJ87" s="15">
        <v>709.13352706643718</v>
      </c>
      <c r="BK87" s="15">
        <v>1006.8017692639633</v>
      </c>
      <c r="BL87" s="15">
        <v>0.17794728793281137</v>
      </c>
      <c r="BM87" s="15">
        <v>0.25082464810938482</v>
      </c>
    </row>
    <row r="88" spans="1:65" s="56" customFormat="1" x14ac:dyDescent="0.35">
      <c r="A88" s="55" t="s">
        <v>10767</v>
      </c>
      <c r="B88" s="55" t="s">
        <v>10319</v>
      </c>
      <c r="C88" s="55" t="s">
        <v>10854</v>
      </c>
      <c r="D88" s="55" t="s">
        <v>10323</v>
      </c>
      <c r="E88" s="55" t="s">
        <v>10855</v>
      </c>
      <c r="F88" s="55">
        <v>170314</v>
      </c>
      <c r="G88" s="55">
        <v>0.89712419976575097</v>
      </c>
      <c r="H88" s="55">
        <v>200</v>
      </c>
      <c r="I88" s="55">
        <v>437.13297608544457</v>
      </c>
      <c r="J88" s="94">
        <v>0.26007605387494948</v>
      </c>
      <c r="K88" s="55">
        <v>30</v>
      </c>
      <c r="L88" s="55">
        <v>124.74141929583149</v>
      </c>
      <c r="M88" s="55">
        <v>20.951634603595231</v>
      </c>
      <c r="N88" s="55">
        <v>59.742203407321568</v>
      </c>
      <c r="O88" s="55">
        <v>8.3949744227968264</v>
      </c>
      <c r="P88" s="55">
        <v>24.110459740109803</v>
      </c>
      <c r="Q88" s="55">
        <v>27.236769244414937</v>
      </c>
      <c r="R88" s="55">
        <v>4.7644407217338944</v>
      </c>
      <c r="S88" s="55">
        <v>11.745615900896455</v>
      </c>
      <c r="T88" s="55">
        <v>10.726712621784587</v>
      </c>
      <c r="U88" s="55">
        <v>0</v>
      </c>
      <c r="V88" s="55">
        <v>0</v>
      </c>
      <c r="W88" s="55">
        <v>0</v>
      </c>
      <c r="X88" s="55">
        <v>0</v>
      </c>
      <c r="Y88" s="55">
        <v>521.13468894885796</v>
      </c>
      <c r="Z88" s="55">
        <v>0</v>
      </c>
      <c r="AA88" s="55">
        <v>0</v>
      </c>
      <c r="AB88" s="55">
        <v>0</v>
      </c>
      <c r="AC88" s="55">
        <v>521.13468894885796</v>
      </c>
      <c r="AD88" s="55">
        <v>84.001712863413388</v>
      </c>
      <c r="AE88" s="55">
        <v>-17.459055886586668</v>
      </c>
      <c r="AF88" s="55">
        <v>0</v>
      </c>
      <c r="AG88" s="55">
        <v>0</v>
      </c>
      <c r="AH88" s="55">
        <v>0</v>
      </c>
      <c r="AI88" s="55">
        <v>101.46076875000001</v>
      </c>
      <c r="AJ88" s="55">
        <v>0</v>
      </c>
      <c r="AK88" s="55">
        <v>0</v>
      </c>
      <c r="AL88" s="55">
        <v>0</v>
      </c>
      <c r="AM88" s="55">
        <v>0</v>
      </c>
      <c r="AN88" s="55">
        <v>0.16119002370164034</v>
      </c>
      <c r="AO88" s="55">
        <v>437.13297608544457</v>
      </c>
      <c r="AP88" s="55">
        <v>0</v>
      </c>
      <c r="AQ88" s="55">
        <v>0</v>
      </c>
      <c r="AR88" s="55">
        <v>0</v>
      </c>
      <c r="AS88" s="55">
        <v>0</v>
      </c>
      <c r="AT88" s="55">
        <v>0</v>
      </c>
      <c r="AU88" s="55">
        <v>350.8207955243596</v>
      </c>
      <c r="AV88" s="55">
        <v>84.336821878380803</v>
      </c>
      <c r="AW88" s="55">
        <v>84.336821878380803</v>
      </c>
      <c r="AX88" s="55">
        <v>0</v>
      </c>
      <c r="AY88" s="55">
        <v>0</v>
      </c>
      <c r="AZ88" s="55">
        <v>183.02853286215353</v>
      </c>
      <c r="BA88" s="55">
        <v>76.930878417473082</v>
      </c>
      <c r="BB88" s="55">
        <v>44.207356018616856</v>
      </c>
      <c r="BC88" s="55">
        <v>61.890298426063602</v>
      </c>
      <c r="BD88" s="55">
        <v>0</v>
      </c>
      <c r="BE88" s="55">
        <v>83.455440783825281</v>
      </c>
      <c r="BF88" s="55">
        <v>28.765992798035072</v>
      </c>
      <c r="BG88" s="55">
        <v>1.4723613094253221</v>
      </c>
      <c r="BH88" s="55">
        <v>53.217086676364879</v>
      </c>
      <c r="BI88" s="55">
        <v>0</v>
      </c>
      <c r="BJ88" s="55">
        <v>350.8207955243596</v>
      </c>
      <c r="BK88" s="55">
        <v>434.82250838777298</v>
      </c>
      <c r="BL88" s="55">
        <v>0.21815438858661729</v>
      </c>
      <c r="BM88" s="55">
        <v>0.26007605387494948</v>
      </c>
    </row>
    <row r="89" spans="1:65" s="56" customFormat="1" x14ac:dyDescent="0.35">
      <c r="A89" s="15" t="s">
        <v>10767</v>
      </c>
      <c r="B89" s="15" t="s">
        <v>10319</v>
      </c>
      <c r="C89" s="15" t="s">
        <v>10591</v>
      </c>
      <c r="D89" s="15" t="s">
        <v>10320</v>
      </c>
      <c r="E89" s="15" t="s">
        <v>10856</v>
      </c>
      <c r="F89" s="15">
        <v>19004</v>
      </c>
      <c r="G89" s="15">
        <v>0.8971204331892636</v>
      </c>
      <c r="H89" s="15">
        <v>200</v>
      </c>
      <c r="I89" s="92">
        <v>3597.9948913011885</v>
      </c>
      <c r="J89" s="93">
        <v>-0.35928335843369003</v>
      </c>
      <c r="K89" s="15">
        <v>30</v>
      </c>
      <c r="L89" s="15">
        <v>90.041595388670146</v>
      </c>
      <c r="M89" s="15">
        <v>19.254265218692794</v>
      </c>
      <c r="N89" s="15">
        <v>6.6661347089703309</v>
      </c>
      <c r="O89" s="15">
        <v>1.2425308460111706</v>
      </c>
      <c r="P89" s="15">
        <v>2.5810690306346094</v>
      </c>
      <c r="Q89" s="15">
        <v>2.8425348323245521</v>
      </c>
      <c r="R89" s="15">
        <v>0.53162424304038391</v>
      </c>
      <c r="S89" s="15">
        <v>1.1140061022885455</v>
      </c>
      <c r="T89" s="15">
        <v>1.1969044869956229</v>
      </c>
      <c r="U89" s="15">
        <v>0</v>
      </c>
      <c r="V89" s="15">
        <v>809.5060680646377</v>
      </c>
      <c r="W89" s="15">
        <v>0</v>
      </c>
      <c r="X89" s="15">
        <v>0</v>
      </c>
      <c r="Y89" s="15">
        <v>3739.1503643946562</v>
      </c>
      <c r="Z89" s="15">
        <v>0</v>
      </c>
      <c r="AA89" s="15">
        <v>0</v>
      </c>
      <c r="AB89" s="15">
        <v>0</v>
      </c>
      <c r="AC89" s="15">
        <v>3739.1503643946562</v>
      </c>
      <c r="AD89" s="15">
        <v>141.15547309346766</v>
      </c>
      <c r="AE89" s="15">
        <v>18.017536378206557</v>
      </c>
      <c r="AF89" s="15">
        <v>0</v>
      </c>
      <c r="AG89" s="15">
        <v>0</v>
      </c>
      <c r="AH89" s="15">
        <v>21.677167965261127</v>
      </c>
      <c r="AI89" s="15">
        <v>101.46076874999999</v>
      </c>
      <c r="AJ89" s="15">
        <v>0</v>
      </c>
      <c r="AK89" s="15">
        <v>0</v>
      </c>
      <c r="AL89" s="15">
        <v>0</v>
      </c>
      <c r="AM89" s="15">
        <v>0</v>
      </c>
      <c r="AN89" s="15">
        <v>3.7750681127347446E-2</v>
      </c>
      <c r="AO89" s="15">
        <v>3597.9948913011885</v>
      </c>
      <c r="AP89" s="15">
        <v>39.694704343467684</v>
      </c>
      <c r="AQ89" s="15">
        <v>18.017536378206557</v>
      </c>
      <c r="AR89" s="15">
        <v>0</v>
      </c>
      <c r="AS89" s="15">
        <v>0</v>
      </c>
      <c r="AT89" s="15">
        <v>21.677167965261127</v>
      </c>
      <c r="AU89" s="15">
        <v>2065.6004987837705</v>
      </c>
      <c r="AV89" s="15">
        <v>125.80359762997909</v>
      </c>
      <c r="AW89" s="15">
        <v>125.80359762997909</v>
      </c>
      <c r="AX89" s="15">
        <v>0</v>
      </c>
      <c r="AY89" s="15">
        <v>0</v>
      </c>
      <c r="AZ89" s="15">
        <v>1342.95915472461</v>
      </c>
      <c r="BA89" s="15">
        <v>76.930878417473068</v>
      </c>
      <c r="BB89" s="15">
        <v>527.51178179464046</v>
      </c>
      <c r="BC89" s="15">
        <v>738.51649451249648</v>
      </c>
      <c r="BD89" s="15">
        <v>0</v>
      </c>
      <c r="BE89" s="15">
        <v>596.83774642918138</v>
      </c>
      <c r="BF89" s="15">
        <v>208.90013512973897</v>
      </c>
      <c r="BG89" s="15">
        <v>1.4723613094253221</v>
      </c>
      <c r="BH89" s="15">
        <v>386.46524999001707</v>
      </c>
      <c r="BI89" s="15">
        <v>0</v>
      </c>
      <c r="BJ89" s="15">
        <v>2105.295203127238</v>
      </c>
      <c r="BK89" s="55">
        <v>2246.4506762207056</v>
      </c>
      <c r="BL89" s="55">
        <v>-0.34572016693509733</v>
      </c>
      <c r="BM89" s="55">
        <v>-0.35928335843369003</v>
      </c>
    </row>
    <row r="90" spans="1:65" s="52" customFormat="1" x14ac:dyDescent="0.35">
      <c r="A90" s="15" t="s">
        <v>10767</v>
      </c>
      <c r="B90" s="15" t="s">
        <v>10319</v>
      </c>
      <c r="C90" s="15" t="s">
        <v>10591</v>
      </c>
      <c r="D90" s="15" t="s">
        <v>10321</v>
      </c>
      <c r="E90" s="15" t="s">
        <v>10857</v>
      </c>
      <c r="F90" s="15">
        <v>19004</v>
      </c>
      <c r="G90" s="15">
        <v>0.8971204331892636</v>
      </c>
      <c r="H90" s="15">
        <v>200</v>
      </c>
      <c r="I90" s="92">
        <v>4672.8685742257167</v>
      </c>
      <c r="J90" s="93">
        <v>-0.48417124624838914</v>
      </c>
      <c r="K90" s="15">
        <v>30</v>
      </c>
      <c r="L90" s="15">
        <v>90.041595388670146</v>
      </c>
      <c r="M90" s="15">
        <v>19.254265218692794</v>
      </c>
      <c r="N90" s="15">
        <v>6.6661347089703309</v>
      </c>
      <c r="O90" s="15">
        <v>1.2425308460111706</v>
      </c>
      <c r="P90" s="15">
        <v>2.5810690306346094</v>
      </c>
      <c r="Q90" s="15">
        <v>2.8425348323245521</v>
      </c>
      <c r="R90" s="15">
        <v>0.53162424304038391</v>
      </c>
      <c r="S90" s="15">
        <v>1.1140061022885455</v>
      </c>
      <c r="T90" s="15">
        <v>1.1969044869956229</v>
      </c>
      <c r="U90" s="15">
        <v>0</v>
      </c>
      <c r="V90" s="15">
        <v>0</v>
      </c>
      <c r="W90" s="15">
        <v>202.37651701615943</v>
      </c>
      <c r="X90" s="15">
        <v>0</v>
      </c>
      <c r="Y90" s="15">
        <v>3739.1503643946562</v>
      </c>
      <c r="Z90" s="15">
        <v>0</v>
      </c>
      <c r="AA90" s="15">
        <v>0</v>
      </c>
      <c r="AB90" s="15">
        <v>0</v>
      </c>
      <c r="AC90" s="15">
        <v>3739.1503643946562</v>
      </c>
      <c r="AD90" s="15">
        <v>-933.71820983106045</v>
      </c>
      <c r="AE90" s="15">
        <v>-20.47344647640119</v>
      </c>
      <c r="AF90" s="15">
        <v>90.975437455193173</v>
      </c>
      <c r="AG90" s="15">
        <v>-1046.9439484188176</v>
      </c>
      <c r="AH90" s="15">
        <v>0</v>
      </c>
      <c r="AI90" s="15">
        <v>101.46076874999999</v>
      </c>
      <c r="AJ90" s="15">
        <v>0</v>
      </c>
      <c r="AK90" s="15">
        <v>-58.737021141035584</v>
      </c>
      <c r="AL90" s="15">
        <v>0</v>
      </c>
      <c r="AM90" s="15">
        <v>0</v>
      </c>
      <c r="AN90" s="15">
        <v>-0.2497140042086067</v>
      </c>
      <c r="AO90" s="15">
        <v>4672.8685742257167</v>
      </c>
      <c r="AP90" s="15">
        <v>0</v>
      </c>
      <c r="AQ90" s="15">
        <v>0</v>
      </c>
      <c r="AR90" s="15">
        <v>0</v>
      </c>
      <c r="AS90" s="15">
        <v>0</v>
      </c>
      <c r="AT90" s="15">
        <v>0</v>
      </c>
      <c r="AU90" s="15">
        <v>2210.3999730879182</v>
      </c>
      <c r="AV90" s="15">
        <v>125.80359762997909</v>
      </c>
      <c r="AW90" s="15">
        <v>125.80359762997909</v>
      </c>
      <c r="AX90" s="15">
        <v>0</v>
      </c>
      <c r="AY90" s="15">
        <v>0</v>
      </c>
      <c r="AZ90" s="15">
        <v>1342.95915472461</v>
      </c>
      <c r="BA90" s="15">
        <v>76.930878417473068</v>
      </c>
      <c r="BB90" s="15">
        <v>527.51178179464046</v>
      </c>
      <c r="BC90" s="15">
        <v>738.51649451249648</v>
      </c>
      <c r="BD90" s="15">
        <v>0</v>
      </c>
      <c r="BE90" s="15">
        <v>741.63722073332895</v>
      </c>
      <c r="BF90" s="15">
        <v>259.70696821891357</v>
      </c>
      <c r="BG90" s="15">
        <v>1.4723613094253221</v>
      </c>
      <c r="BH90" s="15">
        <v>480.45789120499006</v>
      </c>
      <c r="BI90" s="15">
        <v>0</v>
      </c>
      <c r="BJ90" s="15">
        <v>2210.3999730879182</v>
      </c>
      <c r="BK90" s="51">
        <v>1276.6817632568577</v>
      </c>
      <c r="BL90" s="51">
        <v>-0.60507558687174567</v>
      </c>
      <c r="BM90" s="51">
        <v>-0.48417124624838914</v>
      </c>
    </row>
    <row r="91" spans="1:65" x14ac:dyDescent="0.35">
      <c r="A91" s="15" t="s">
        <v>10767</v>
      </c>
      <c r="B91" s="15" t="s">
        <v>10319</v>
      </c>
      <c r="C91" s="15" t="s">
        <v>10591</v>
      </c>
      <c r="D91" s="15" t="s">
        <v>10322</v>
      </c>
      <c r="E91" s="15" t="s">
        <v>10858</v>
      </c>
      <c r="F91" s="15">
        <v>19004</v>
      </c>
      <c r="G91" s="15">
        <v>0.8971204331892636</v>
      </c>
      <c r="H91" s="15">
        <v>200</v>
      </c>
      <c r="I91" s="92">
        <v>3679.7291945424313</v>
      </c>
      <c r="J91" s="93">
        <v>-0.38197233001587994</v>
      </c>
      <c r="K91" s="15">
        <v>30</v>
      </c>
      <c r="L91" s="15">
        <v>90.041595388670146</v>
      </c>
      <c r="M91" s="15">
        <v>19.254265218692794</v>
      </c>
      <c r="N91" s="15">
        <v>6.6661347089703309</v>
      </c>
      <c r="O91" s="15">
        <v>1.2425308460111706</v>
      </c>
      <c r="P91" s="15">
        <v>2.5810690306346094</v>
      </c>
      <c r="Q91" s="15">
        <v>2.8425348323245521</v>
      </c>
      <c r="R91" s="15">
        <v>0.53162424304038391</v>
      </c>
      <c r="S91" s="15">
        <v>1.1140061022885455</v>
      </c>
      <c r="T91" s="15">
        <v>1.1969044869956229</v>
      </c>
      <c r="U91" s="15">
        <v>0</v>
      </c>
      <c r="V91" s="15">
        <v>0</v>
      </c>
      <c r="W91" s="15">
        <v>0</v>
      </c>
      <c r="X91" s="15">
        <v>202376.51701615943</v>
      </c>
      <c r="Y91" s="15">
        <v>3739.1503643946562</v>
      </c>
      <c r="Z91" s="15">
        <v>0</v>
      </c>
      <c r="AA91" s="15">
        <v>0</v>
      </c>
      <c r="AB91" s="15">
        <v>0</v>
      </c>
      <c r="AC91" s="15">
        <v>3739.1503643946562</v>
      </c>
      <c r="AD91" s="15">
        <v>59.421169852224921</v>
      </c>
      <c r="AE91" s="15">
        <v>-20.47344647640119</v>
      </c>
      <c r="AF91" s="15">
        <v>0</v>
      </c>
      <c r="AG91" s="15">
        <v>0</v>
      </c>
      <c r="AH91" s="15">
        <v>0</v>
      </c>
      <c r="AI91" s="15">
        <v>101.46076874999999</v>
      </c>
      <c r="AJ91" s="15">
        <v>0</v>
      </c>
      <c r="AK91" s="15">
        <v>-21.566152421374102</v>
      </c>
      <c r="AL91" s="15">
        <v>0</v>
      </c>
      <c r="AM91" s="15">
        <v>0</v>
      </c>
      <c r="AN91" s="15">
        <v>1.5891623513740349E-2</v>
      </c>
      <c r="AO91" s="15">
        <v>3679.7291945424313</v>
      </c>
      <c r="AP91" s="15">
        <v>0</v>
      </c>
      <c r="AQ91" s="15">
        <v>0</v>
      </c>
      <c r="AR91" s="15">
        <v>0</v>
      </c>
      <c r="AS91" s="15">
        <v>0</v>
      </c>
      <c r="AT91" s="15">
        <v>0</v>
      </c>
      <c r="AU91" s="15">
        <v>2074.1744602756016</v>
      </c>
      <c r="AV91" s="15">
        <v>125.80359762997909</v>
      </c>
      <c r="AW91" s="15">
        <v>125.80359762997909</v>
      </c>
      <c r="AX91" s="15">
        <v>0</v>
      </c>
      <c r="AY91" s="15">
        <v>0</v>
      </c>
      <c r="AZ91" s="15">
        <v>1342.95915472461</v>
      </c>
      <c r="BA91" s="15">
        <v>76.930878417473068</v>
      </c>
      <c r="BB91" s="15">
        <v>527.51178179464046</v>
      </c>
      <c r="BC91" s="15">
        <v>738.51649451249648</v>
      </c>
      <c r="BD91" s="15">
        <v>0</v>
      </c>
      <c r="BE91" s="15">
        <v>605.41170792101252</v>
      </c>
      <c r="BF91" s="15">
        <v>211.90854267073237</v>
      </c>
      <c r="BG91" s="15">
        <v>1.4723613094253221</v>
      </c>
      <c r="BH91" s="15">
        <v>392.03080394085487</v>
      </c>
      <c r="BI91" s="15">
        <v>0</v>
      </c>
      <c r="BJ91" s="15">
        <v>2074.1744602756016</v>
      </c>
      <c r="BK91" s="15">
        <v>2133.5956301278266</v>
      </c>
      <c r="BL91" s="15">
        <v>-0.37590216955460137</v>
      </c>
      <c r="BM91" s="15">
        <v>-0.38197233001587994</v>
      </c>
    </row>
    <row r="92" spans="1:65" x14ac:dyDescent="0.35">
      <c r="A92" s="15" t="s">
        <v>10767</v>
      </c>
      <c r="B92" s="15" t="s">
        <v>10319</v>
      </c>
      <c r="C92" s="15" t="s">
        <v>10591</v>
      </c>
      <c r="D92" s="15" t="s">
        <v>10323</v>
      </c>
      <c r="E92" s="15" t="s">
        <v>10859</v>
      </c>
      <c r="F92" s="15">
        <v>19004</v>
      </c>
      <c r="G92" s="15">
        <v>0.8971204331892636</v>
      </c>
      <c r="H92" s="15">
        <v>200</v>
      </c>
      <c r="I92" s="92">
        <v>3115.2076846901873</v>
      </c>
      <c r="J92" s="93">
        <v>-0.41922904854779136</v>
      </c>
      <c r="K92" s="15">
        <v>30</v>
      </c>
      <c r="L92" s="15">
        <v>82.38704754745352</v>
      </c>
      <c r="M92" s="15">
        <v>16.507392546503063</v>
      </c>
      <c r="N92" s="15">
        <v>6.6661347089703309</v>
      </c>
      <c r="O92" s="15">
        <v>0.93672524930451107</v>
      </c>
      <c r="P92" s="15">
        <v>2.690285315172702</v>
      </c>
      <c r="Q92" s="15">
        <v>3.0391241444931194</v>
      </c>
      <c r="R92" s="15">
        <v>0.53162424304038391</v>
      </c>
      <c r="S92" s="15">
        <v>1.3105954144571124</v>
      </c>
      <c r="T92" s="15">
        <v>1.1969044869956229</v>
      </c>
      <c r="U92" s="15">
        <v>0</v>
      </c>
      <c r="V92" s="15">
        <v>0</v>
      </c>
      <c r="W92" s="15">
        <v>0</v>
      </c>
      <c r="X92" s="15">
        <v>0</v>
      </c>
      <c r="Y92" s="15">
        <v>3199.2093975536009</v>
      </c>
      <c r="Z92" s="15">
        <v>0</v>
      </c>
      <c r="AA92" s="15">
        <v>0</v>
      </c>
      <c r="AB92" s="15">
        <v>0</v>
      </c>
      <c r="AC92" s="15">
        <v>3199.2093975536009</v>
      </c>
      <c r="AD92" s="15">
        <v>84.001712863413559</v>
      </c>
      <c r="AE92" s="15">
        <v>-17.459055886586665</v>
      </c>
      <c r="AF92" s="15">
        <v>0</v>
      </c>
      <c r="AG92" s="15">
        <v>0</v>
      </c>
      <c r="AH92" s="15">
        <v>0</v>
      </c>
      <c r="AI92" s="15">
        <v>101.46076874999999</v>
      </c>
      <c r="AJ92" s="15">
        <v>0</v>
      </c>
      <c r="AK92" s="15">
        <v>0</v>
      </c>
      <c r="AL92" s="15">
        <v>0</v>
      </c>
      <c r="AM92" s="15">
        <v>0</v>
      </c>
      <c r="AN92" s="15">
        <v>2.6257022415490751E-2</v>
      </c>
      <c r="AO92" s="15">
        <v>3115.2076846901873</v>
      </c>
      <c r="AP92" s="15">
        <v>0</v>
      </c>
      <c r="AQ92" s="15">
        <v>0</v>
      </c>
      <c r="AR92" s="15">
        <v>0</v>
      </c>
      <c r="AS92" s="15">
        <v>0</v>
      </c>
      <c r="AT92" s="15">
        <v>0</v>
      </c>
      <c r="AU92" s="15">
        <v>1609.2221310087521</v>
      </c>
      <c r="AV92" s="15">
        <v>122.0617880956474</v>
      </c>
      <c r="AW92" s="15">
        <v>122.0617880956474</v>
      </c>
      <c r="AX92" s="15">
        <v>0</v>
      </c>
      <c r="AY92" s="15">
        <v>0</v>
      </c>
      <c r="AZ92" s="15">
        <v>959.33164110174221</v>
      </c>
      <c r="BA92" s="15">
        <v>76.930878417473068</v>
      </c>
      <c r="BB92" s="15">
        <v>367.66698445177883</v>
      </c>
      <c r="BC92" s="15">
        <v>514.73377823249029</v>
      </c>
      <c r="BD92" s="15">
        <v>0</v>
      </c>
      <c r="BE92" s="15">
        <v>527.82870181136241</v>
      </c>
      <c r="BF92" s="15">
        <v>184.68643526383758</v>
      </c>
      <c r="BG92" s="15">
        <v>1.4723613094253221</v>
      </c>
      <c r="BH92" s="15">
        <v>341.66990523809949</v>
      </c>
      <c r="BI92" s="15">
        <v>0</v>
      </c>
      <c r="BJ92" s="15">
        <v>1609.2221310087521</v>
      </c>
      <c r="BK92" s="15">
        <v>1693.2238438721656</v>
      </c>
      <c r="BL92" s="15">
        <v>-0.40822134202284716</v>
      </c>
      <c r="BM92" s="15">
        <v>-0.41922904854779136</v>
      </c>
    </row>
    <row r="93" spans="1:65" x14ac:dyDescent="0.35">
      <c r="A93" s="15" t="s">
        <v>10767</v>
      </c>
      <c r="B93" s="15" t="s">
        <v>10319</v>
      </c>
      <c r="C93" s="15" t="s">
        <v>10591</v>
      </c>
      <c r="D93" s="15" t="s">
        <v>10324</v>
      </c>
      <c r="E93" s="15" t="s">
        <v>10860</v>
      </c>
      <c r="F93" s="15">
        <v>19004</v>
      </c>
      <c r="G93" s="15">
        <v>0.8971204331892636</v>
      </c>
      <c r="H93" s="15">
        <v>200</v>
      </c>
      <c r="I93" s="92">
        <v>3484.1742799674948</v>
      </c>
      <c r="J93" s="93">
        <v>-0.45563219972527691</v>
      </c>
      <c r="K93" s="15">
        <v>30</v>
      </c>
      <c r="L93" s="15">
        <v>92.570209723276363</v>
      </c>
      <c r="M93" s="15">
        <v>17.510190955870119</v>
      </c>
      <c r="N93" s="15">
        <v>6.6661347089703309</v>
      </c>
      <c r="O93" s="15">
        <v>1.4938641229434788</v>
      </c>
      <c r="P93" s="15">
        <v>2.3319472438920021</v>
      </c>
      <c r="Q93" s="15">
        <v>2.8403233421348508</v>
      </c>
      <c r="R93" s="15">
        <v>0.53162424304038391</v>
      </c>
      <c r="S93" s="15">
        <v>0</v>
      </c>
      <c r="T93" s="15">
        <v>2.3086990990944667</v>
      </c>
      <c r="U93" s="15">
        <v>0</v>
      </c>
      <c r="V93" s="15">
        <v>0</v>
      </c>
      <c r="W93" s="15">
        <v>0</v>
      </c>
      <c r="X93" s="15">
        <v>0</v>
      </c>
      <c r="Y93" s="15">
        <v>3518.1215677087753</v>
      </c>
      <c r="Z93" s="15">
        <v>0</v>
      </c>
      <c r="AA93" s="15">
        <v>0</v>
      </c>
      <c r="AB93" s="15">
        <v>0</v>
      </c>
      <c r="AC93" s="15">
        <v>3518.1215677087753</v>
      </c>
      <c r="AD93" s="15">
        <v>33.947287741280434</v>
      </c>
      <c r="AE93" s="15">
        <v>-67.513481008719779</v>
      </c>
      <c r="AF93" s="15">
        <v>0</v>
      </c>
      <c r="AG93" s="15">
        <v>0</v>
      </c>
      <c r="AH93" s="15">
        <v>0</v>
      </c>
      <c r="AI93" s="15">
        <v>101.46076874999999</v>
      </c>
      <c r="AJ93" s="15">
        <v>0</v>
      </c>
      <c r="AK93" s="15">
        <v>0</v>
      </c>
      <c r="AL93" s="15">
        <v>0</v>
      </c>
      <c r="AM93" s="15">
        <v>0</v>
      </c>
      <c r="AN93" s="15">
        <v>9.6492651228618775E-3</v>
      </c>
      <c r="AO93" s="15">
        <v>3484.1742799674948</v>
      </c>
      <c r="AP93" s="15">
        <v>0</v>
      </c>
      <c r="AQ93" s="15">
        <v>0</v>
      </c>
      <c r="AR93" s="15">
        <v>0</v>
      </c>
      <c r="AS93" s="15">
        <v>0</v>
      </c>
      <c r="AT93" s="15">
        <v>0</v>
      </c>
      <c r="AU93" s="15">
        <v>1696.6722885596723</v>
      </c>
      <c r="AV93" s="15">
        <v>134.43398679601523</v>
      </c>
      <c r="AW93" s="15">
        <v>134.43398679601523</v>
      </c>
      <c r="AX93" s="15">
        <v>0</v>
      </c>
      <c r="AY93" s="15">
        <v>0</v>
      </c>
      <c r="AZ93" s="15">
        <v>981.12770876083607</v>
      </c>
      <c r="BA93" s="15">
        <v>76.930878417473068</v>
      </c>
      <c r="BB93" s="15">
        <v>376.7486793097346</v>
      </c>
      <c r="BC93" s="15">
        <v>527.44815103362839</v>
      </c>
      <c r="BD93" s="15">
        <v>0</v>
      </c>
      <c r="BE93" s="15">
        <v>581.11059300282125</v>
      </c>
      <c r="BF93" s="15">
        <v>203.38183568189331</v>
      </c>
      <c r="BG93" s="15">
        <v>1.4723613094253221</v>
      </c>
      <c r="BH93" s="15">
        <v>376.2563960115026</v>
      </c>
      <c r="BI93" s="15">
        <v>0</v>
      </c>
      <c r="BJ93" s="15">
        <v>1696.6722885596723</v>
      </c>
      <c r="BK93" s="15">
        <v>1730.6195763009528</v>
      </c>
      <c r="BL93" s="15">
        <v>-0.45123568383161494</v>
      </c>
      <c r="BM93" s="15">
        <v>-0.45563219972527691</v>
      </c>
    </row>
    <row r="94" spans="1:65" x14ac:dyDescent="0.35">
      <c r="A94" s="15" t="s">
        <v>10767</v>
      </c>
      <c r="B94" s="15" t="s">
        <v>10319</v>
      </c>
      <c r="C94" s="15" t="s">
        <v>10591</v>
      </c>
      <c r="D94" s="15" t="s">
        <v>10325</v>
      </c>
      <c r="E94" s="15" t="s">
        <v>10861</v>
      </c>
      <c r="F94" s="15">
        <v>19004</v>
      </c>
      <c r="G94" s="15">
        <v>0.8971204331892636</v>
      </c>
      <c r="H94" s="15">
        <v>200</v>
      </c>
      <c r="I94" s="92">
        <v>9361.9581455890566</v>
      </c>
      <c r="J94" s="93">
        <v>-1.1016920700747894</v>
      </c>
      <c r="K94" s="15">
        <v>30</v>
      </c>
      <c r="L94" s="15">
        <v>104.51833067317604</v>
      </c>
      <c r="M94" s="15">
        <v>27.369787447691831</v>
      </c>
      <c r="N94" s="15">
        <v>6.6661347089703309</v>
      </c>
      <c r="O94" s="15">
        <v>4.8716096037511383</v>
      </c>
      <c r="P94" s="15">
        <v>1.2269020931859898</v>
      </c>
      <c r="Q94" s="15">
        <v>0.56762301203320442</v>
      </c>
      <c r="R94" s="15">
        <v>0.56762301203320442</v>
      </c>
      <c r="S94" s="15">
        <v>0</v>
      </c>
      <c r="T94" s="15">
        <v>0</v>
      </c>
      <c r="U94" s="15">
        <v>4226.788794549203</v>
      </c>
      <c r="V94" s="15">
        <v>0</v>
      </c>
      <c r="W94" s="15">
        <v>0</v>
      </c>
      <c r="X94" s="15">
        <v>0</v>
      </c>
      <c r="Y94" s="15">
        <v>5101.0549041881768</v>
      </c>
      <c r="Z94" s="15">
        <v>0</v>
      </c>
      <c r="AA94" s="15">
        <v>0</v>
      </c>
      <c r="AB94" s="15">
        <v>0</v>
      </c>
      <c r="AC94" s="15">
        <v>5101.0549041881768</v>
      </c>
      <c r="AD94" s="15">
        <v>-4260.9032414008798</v>
      </c>
      <c r="AE94" s="15">
        <v>-103.75957640666775</v>
      </c>
      <c r="AF94" s="15">
        <v>0</v>
      </c>
      <c r="AG94" s="15">
        <v>0</v>
      </c>
      <c r="AH94" s="15">
        <v>-4280.1440232236546</v>
      </c>
      <c r="AI94" s="15">
        <v>123.00035822944253</v>
      </c>
      <c r="AJ94" s="15">
        <v>0</v>
      </c>
      <c r="AK94" s="15">
        <v>0</v>
      </c>
      <c r="AL94" s="15">
        <v>0</v>
      </c>
      <c r="AM94" s="15">
        <v>0</v>
      </c>
      <c r="AN94" s="15">
        <v>-0.83529844736674019</v>
      </c>
      <c r="AO94" s="15">
        <v>9361.9581455890566</v>
      </c>
      <c r="AP94" s="15">
        <v>-4383.9035996303228</v>
      </c>
      <c r="AQ94" s="15">
        <v>-103.75957640666775</v>
      </c>
      <c r="AR94" s="15">
        <v>0</v>
      </c>
      <c r="AS94" s="15">
        <v>0</v>
      </c>
      <c r="AT94" s="15">
        <v>-4280.1440232236546</v>
      </c>
      <c r="AU94" s="15">
        <v>3231.8666958518352</v>
      </c>
      <c r="AV94" s="15">
        <v>174.44370236680564</v>
      </c>
      <c r="AW94" s="15">
        <v>174.44370236680564</v>
      </c>
      <c r="AX94" s="15">
        <v>0</v>
      </c>
      <c r="AY94" s="15">
        <v>0</v>
      </c>
      <c r="AZ94" s="15">
        <v>1633.2010587807376</v>
      </c>
      <c r="BA94" s="15">
        <v>82.718698010625431</v>
      </c>
      <c r="BB94" s="15">
        <v>646.03431698754684</v>
      </c>
      <c r="BC94" s="15">
        <v>904.44804378256538</v>
      </c>
      <c r="BD94" s="15">
        <v>0</v>
      </c>
      <c r="BE94" s="15">
        <v>1424.2219347042919</v>
      </c>
      <c r="BF94" s="15">
        <v>499.17150937824982</v>
      </c>
      <c r="BG94" s="15">
        <v>1.5831329762799125</v>
      </c>
      <c r="BH94" s="15">
        <v>923.46729234976215</v>
      </c>
      <c r="BI94" s="15">
        <v>0</v>
      </c>
      <c r="BJ94" s="15">
        <v>-1152.0369037784876</v>
      </c>
      <c r="BK94" s="15">
        <v>-5412.9401451793674</v>
      </c>
      <c r="BL94" s="15">
        <v>-2.0219337456845108</v>
      </c>
      <c r="BM94" s="15">
        <v>-1.1016920700747894</v>
      </c>
    </row>
    <row r="95" spans="1:65" x14ac:dyDescent="0.35">
      <c r="A95" s="15" t="s">
        <v>10767</v>
      </c>
      <c r="B95" s="15" t="s">
        <v>10319</v>
      </c>
      <c r="C95" s="15" t="s">
        <v>10591</v>
      </c>
      <c r="D95" s="15" t="s">
        <v>10326</v>
      </c>
      <c r="E95" s="15" t="s">
        <v>10862</v>
      </c>
      <c r="F95" s="15">
        <v>19004</v>
      </c>
      <c r="G95" s="15">
        <v>0.8971204331892636</v>
      </c>
      <c r="H95" s="15">
        <v>200</v>
      </c>
      <c r="I95" s="92">
        <v>7127.6115848493664</v>
      </c>
      <c r="J95" s="93">
        <v>-1.0038356121760938</v>
      </c>
      <c r="K95" s="15">
        <v>30</v>
      </c>
      <c r="L95" s="15">
        <v>88.226280214609062</v>
      </c>
      <c r="M95" s="15">
        <v>22.277450482387938</v>
      </c>
      <c r="N95" s="15">
        <v>6.6661347089703309</v>
      </c>
      <c r="O95" s="15">
        <v>4.8716096037511383</v>
      </c>
      <c r="P95" s="15">
        <v>1.2269020931859898</v>
      </c>
      <c r="Q95" s="15">
        <v>0.56762301203320442</v>
      </c>
      <c r="R95" s="15">
        <v>0.56762301203320442</v>
      </c>
      <c r="S95" s="15">
        <v>0</v>
      </c>
      <c r="T95" s="15">
        <v>0</v>
      </c>
      <c r="U95" s="15">
        <v>4226.788794549203</v>
      </c>
      <c r="V95" s="15">
        <v>0</v>
      </c>
      <c r="W95" s="15">
        <v>0</v>
      </c>
      <c r="X95" s="15">
        <v>0</v>
      </c>
      <c r="Y95" s="15">
        <v>4109.800878351065</v>
      </c>
      <c r="Z95" s="15">
        <v>0</v>
      </c>
      <c r="AA95" s="15">
        <v>0</v>
      </c>
      <c r="AB95" s="15">
        <v>0</v>
      </c>
      <c r="AC95" s="15">
        <v>4109.800878351065</v>
      </c>
      <c r="AD95" s="15">
        <v>-3017.8107064983014</v>
      </c>
      <c r="AE95" s="15">
        <v>-74.936478310938924</v>
      </c>
      <c r="AF95" s="15">
        <v>0</v>
      </c>
      <c r="AG95" s="15">
        <v>0</v>
      </c>
      <c r="AH95" s="15">
        <v>-3065.874586416805</v>
      </c>
      <c r="AI95" s="15">
        <v>123.00035822944253</v>
      </c>
      <c r="AJ95" s="15">
        <v>0</v>
      </c>
      <c r="AK95" s="15">
        <v>0</v>
      </c>
      <c r="AL95" s="15">
        <v>0</v>
      </c>
      <c r="AM95" s="15">
        <v>0</v>
      </c>
      <c r="AN95" s="15">
        <v>-0.734296087772775</v>
      </c>
      <c r="AO95" s="15">
        <v>7127.6115848493664</v>
      </c>
      <c r="AP95" s="15">
        <v>-3140.811064727744</v>
      </c>
      <c r="AQ95" s="15">
        <v>-74.936478310938924</v>
      </c>
      <c r="AR95" s="15">
        <v>0</v>
      </c>
      <c r="AS95" s="15">
        <v>0</v>
      </c>
      <c r="AT95" s="15">
        <v>-3065.874586416805</v>
      </c>
      <c r="AU95" s="15">
        <v>2913.4723109464289</v>
      </c>
      <c r="AV95" s="15">
        <v>174.44370236680564</v>
      </c>
      <c r="AW95" s="15">
        <v>174.44370236680564</v>
      </c>
      <c r="AX95" s="15">
        <v>0</v>
      </c>
      <c r="AY95" s="15">
        <v>0</v>
      </c>
      <c r="AZ95" s="15">
        <v>1633.2010587807376</v>
      </c>
      <c r="BA95" s="15">
        <v>82.718698010625431</v>
      </c>
      <c r="BB95" s="15">
        <v>646.03431698754684</v>
      </c>
      <c r="BC95" s="15">
        <v>904.44804378256538</v>
      </c>
      <c r="BD95" s="15">
        <v>0</v>
      </c>
      <c r="BE95" s="15">
        <v>1105.8275497988857</v>
      </c>
      <c r="BF95" s="15">
        <v>387.45418134126521</v>
      </c>
      <c r="BG95" s="15">
        <v>1.5831329762799125</v>
      </c>
      <c r="BH95" s="15">
        <v>716.79023548134069</v>
      </c>
      <c r="BI95" s="15">
        <v>0</v>
      </c>
      <c r="BJ95" s="15">
        <v>-227.33875378131506</v>
      </c>
      <c r="BK95" s="15">
        <v>-3245.1494602796165</v>
      </c>
      <c r="BL95" s="15">
        <v>-1.7409481749639879</v>
      </c>
      <c r="BM95" s="15">
        <v>-1.0038356121760938</v>
      </c>
    </row>
    <row r="96" spans="1:65" s="56" customFormat="1" x14ac:dyDescent="0.35">
      <c r="A96" s="55" t="s">
        <v>10767</v>
      </c>
      <c r="B96" s="55" t="s">
        <v>10319</v>
      </c>
      <c r="C96" s="55" t="s">
        <v>10863</v>
      </c>
      <c r="D96" s="55" t="s">
        <v>10323</v>
      </c>
      <c r="E96" s="55" t="s">
        <v>10864</v>
      </c>
      <c r="F96" s="55">
        <v>19004</v>
      </c>
      <c r="G96" s="55">
        <v>0.8971204331892636</v>
      </c>
      <c r="H96" s="55">
        <v>200</v>
      </c>
      <c r="I96" s="55">
        <v>3115.2076846901873</v>
      </c>
      <c r="J96" s="94">
        <v>-0.41922904854779136</v>
      </c>
      <c r="K96" s="55">
        <v>30</v>
      </c>
      <c r="L96" s="55">
        <v>82.38704754745352</v>
      </c>
      <c r="M96" s="55">
        <v>16.507392546503063</v>
      </c>
      <c r="N96" s="55">
        <v>6.6661347089703309</v>
      </c>
      <c r="O96" s="55">
        <v>0.93672524930451107</v>
      </c>
      <c r="P96" s="55">
        <v>2.690285315172702</v>
      </c>
      <c r="Q96" s="55">
        <v>3.0391241444931194</v>
      </c>
      <c r="R96" s="55">
        <v>0.53162424304038391</v>
      </c>
      <c r="S96" s="55">
        <v>1.3105954144571124</v>
      </c>
      <c r="T96" s="55">
        <v>1.1969044869956229</v>
      </c>
      <c r="U96" s="55">
        <v>0</v>
      </c>
      <c r="V96" s="55">
        <v>0</v>
      </c>
      <c r="W96" s="55">
        <v>0</v>
      </c>
      <c r="X96" s="55">
        <v>0</v>
      </c>
      <c r="Y96" s="55">
        <v>3199.2093975536009</v>
      </c>
      <c r="Z96" s="55">
        <v>0</v>
      </c>
      <c r="AA96" s="55">
        <v>0</v>
      </c>
      <c r="AB96" s="55">
        <v>0</v>
      </c>
      <c r="AC96" s="55">
        <v>3199.2093975536009</v>
      </c>
      <c r="AD96" s="55">
        <v>84.001712863413559</v>
      </c>
      <c r="AE96" s="55">
        <v>-17.459055886586665</v>
      </c>
      <c r="AF96" s="55">
        <v>0</v>
      </c>
      <c r="AG96" s="55">
        <v>0</v>
      </c>
      <c r="AH96" s="55">
        <v>0</v>
      </c>
      <c r="AI96" s="55">
        <v>101.46076874999999</v>
      </c>
      <c r="AJ96" s="55">
        <v>0</v>
      </c>
      <c r="AK96" s="55">
        <v>0</v>
      </c>
      <c r="AL96" s="55">
        <v>0</v>
      </c>
      <c r="AM96" s="55">
        <v>0</v>
      </c>
      <c r="AN96" s="55">
        <v>2.6257022415490751E-2</v>
      </c>
      <c r="AO96" s="55">
        <v>3115.2076846901873</v>
      </c>
      <c r="AP96" s="55">
        <v>0</v>
      </c>
      <c r="AQ96" s="55">
        <v>0</v>
      </c>
      <c r="AR96" s="55">
        <v>0</v>
      </c>
      <c r="AS96" s="55">
        <v>0</v>
      </c>
      <c r="AT96" s="55">
        <v>0</v>
      </c>
      <c r="AU96" s="55">
        <v>1609.2221310087521</v>
      </c>
      <c r="AV96" s="55">
        <v>122.0617880956474</v>
      </c>
      <c r="AW96" s="55">
        <v>122.0617880956474</v>
      </c>
      <c r="AX96" s="55">
        <v>0</v>
      </c>
      <c r="AY96" s="55">
        <v>0</v>
      </c>
      <c r="AZ96" s="55">
        <v>959.33164110174221</v>
      </c>
      <c r="BA96" s="55">
        <v>76.930878417473068</v>
      </c>
      <c r="BB96" s="55">
        <v>367.66698445177883</v>
      </c>
      <c r="BC96" s="55">
        <v>514.73377823249029</v>
      </c>
      <c r="BD96" s="55">
        <v>0</v>
      </c>
      <c r="BE96" s="55">
        <v>527.82870181136241</v>
      </c>
      <c r="BF96" s="55">
        <v>184.68643526383758</v>
      </c>
      <c r="BG96" s="55">
        <v>1.4723613094253221</v>
      </c>
      <c r="BH96" s="55">
        <v>341.66990523809949</v>
      </c>
      <c r="BI96" s="55">
        <v>0</v>
      </c>
      <c r="BJ96" s="55">
        <v>1609.2221310087521</v>
      </c>
      <c r="BK96" s="55">
        <v>1693.2238438721656</v>
      </c>
      <c r="BL96" s="55">
        <v>-0.40822134202284716</v>
      </c>
      <c r="BM96" s="55">
        <v>-0.41922904854779136</v>
      </c>
    </row>
    <row r="97" spans="1:65" s="52" customFormat="1" x14ac:dyDescent="0.35">
      <c r="A97" s="51" t="s">
        <v>10767</v>
      </c>
      <c r="B97" s="51" t="s">
        <v>10865</v>
      </c>
      <c r="C97" s="51" t="s">
        <v>9780</v>
      </c>
      <c r="D97" s="51" t="s">
        <v>9780</v>
      </c>
      <c r="E97" s="51" t="s">
        <v>10018</v>
      </c>
      <c r="F97" s="51">
        <f>F88</f>
        <v>170314</v>
      </c>
      <c r="G97" s="51">
        <f>G88</f>
        <v>0.89712419976575097</v>
      </c>
      <c r="H97" s="51">
        <f>(H88*N88+H96*N96)/(N88+N96)</f>
        <v>200</v>
      </c>
      <c r="I97" s="51">
        <f>(I88*N88+I96*N96)/(N88+N96)</f>
        <v>705.96076600819777</v>
      </c>
      <c r="J97" s="95">
        <f>(J88*N88+J96*N96)/(N88+N96)</f>
        <v>0.19188673533921055</v>
      </c>
      <c r="K97" s="51">
        <f>K88</f>
        <v>30</v>
      </c>
      <c r="L97" s="51">
        <f t="shared" ref="L97:W97" si="6">L88+L96</f>
        <v>207.12846684328503</v>
      </c>
      <c r="M97" s="51">
        <f t="shared" si="6"/>
        <v>37.459027150098294</v>
      </c>
      <c r="N97" s="51">
        <f t="shared" si="6"/>
        <v>66.408338116291901</v>
      </c>
      <c r="O97" s="51">
        <f t="shared" si="6"/>
        <v>9.3316996721013368</v>
      </c>
      <c r="P97" s="51">
        <f t="shared" si="6"/>
        <v>26.800745055282505</v>
      </c>
      <c r="Q97" s="51">
        <f t="shared" si="6"/>
        <v>30.275893388908056</v>
      </c>
      <c r="R97" s="51">
        <f t="shared" si="6"/>
        <v>5.2960649647742786</v>
      </c>
      <c r="S97" s="51">
        <f t="shared" si="6"/>
        <v>13.056211315353568</v>
      </c>
      <c r="T97" s="51">
        <f t="shared" si="6"/>
        <v>11.92361710878021</v>
      </c>
      <c r="U97" s="51">
        <f t="shared" si="6"/>
        <v>0</v>
      </c>
      <c r="V97" s="51">
        <f t="shared" si="6"/>
        <v>0</v>
      </c>
      <c r="W97" s="51">
        <f t="shared" si="6"/>
        <v>0</v>
      </c>
      <c r="X97" s="51">
        <f>(X88*N88+X96*N96)/(N88+N96)</f>
        <v>0</v>
      </c>
      <c r="Y97" s="51">
        <f>(Y88*N88+Y96*N96)/(N88+N96)</f>
        <v>789.96247887161121</v>
      </c>
      <c r="Z97" s="51">
        <f>(Z88*N88+Z96*N96)/(N88+N96)</f>
        <v>0</v>
      </c>
      <c r="AA97" s="51">
        <f>(AA88*N88+AA96*N96)/(N88+N96)</f>
        <v>0</v>
      </c>
      <c r="AB97" s="51">
        <f>(AB88*N88+AB96*N96)/(N88+N96)</f>
        <v>0</v>
      </c>
      <c r="AC97" s="51">
        <f>(AC88*N88+AC96*N96)/(N88+N96)</f>
        <v>789.96247887161121</v>
      </c>
      <c r="AD97" s="51">
        <f>(AD88*N88+AD96*N96)/(N88+N96)</f>
        <v>84.001712863413402</v>
      </c>
      <c r="AE97" s="51">
        <f>(AE88*N88+AE96*N96)/(N88+N96)</f>
        <v>-17.459055886586668</v>
      </c>
      <c r="AF97" s="51">
        <f>(AF88*N88+AF96*N96)/(N88+N96)</f>
        <v>0</v>
      </c>
      <c r="AG97" s="51">
        <f>(AG88*N88+AG96*N96)/(N88+N96)</f>
        <v>0</v>
      </c>
      <c r="AH97" s="51">
        <f>(AH88*N88+AH96*N96)/(N88+N96)</f>
        <v>0</v>
      </c>
      <c r="AI97" s="51">
        <f>(AI88*N88+AI96*N96)/(N88+N96)</f>
        <v>101.46076875000001</v>
      </c>
      <c r="AJ97" s="51">
        <f>(AJ88*N88+AJ96*N96)/(N88+N96)</f>
        <v>0</v>
      </c>
      <c r="AK97" s="51">
        <f>(AK88*N88+AK96*N96)/(N88+N96)</f>
        <v>0</v>
      </c>
      <c r="AL97" s="51">
        <f>(AL88*N88+AL96*N96)/(N88+N96)</f>
        <v>0</v>
      </c>
      <c r="AM97" s="51">
        <f>(AM88*N88+AM96*N96)/(N88+N96)</f>
        <v>0</v>
      </c>
      <c r="AN97" s="51">
        <f>(AN88*N88+AN96*N96)/(N88+N96)</f>
        <v>0.14764531548015164</v>
      </c>
      <c r="AO97" s="51">
        <f>(AO88*N88+AO96*N96)/(N88+N96)</f>
        <v>705.96076600819777</v>
      </c>
      <c r="AP97" s="51">
        <f>(AP88*N88+AP96*N96)/(N88+N96)</f>
        <v>0</v>
      </c>
      <c r="AQ97" s="51">
        <f>(AQ88*N88+AQ96*N96)/(N88+N96)</f>
        <v>0</v>
      </c>
      <c r="AR97" s="51">
        <f>(AR88*N88+AR96*N96)/(N88+N96)</f>
        <v>0</v>
      </c>
      <c r="AS97" s="51">
        <f>(AS88*N88+AS96*N96)/(N88+N96)</f>
        <v>0</v>
      </c>
      <c r="AT97" s="51">
        <f>(AT88*N88+AT96*N96)/(N88+N96)</f>
        <v>0</v>
      </c>
      <c r="AU97" s="51">
        <f>(AU88*N88+AU96*N96)/(N88+N96)</f>
        <v>477.14036710582548</v>
      </c>
      <c r="AV97" s="51">
        <f>(AV88*N88+AV96*N96)/(N88+N96)</f>
        <v>88.123691326239452</v>
      </c>
      <c r="AW97" s="51">
        <f>(AW88*N88+AW96*N96)/(N88+N96)</f>
        <v>88.123691326239452</v>
      </c>
      <c r="AX97" s="51">
        <f>(AX88*N88+AX96*N96)/(N88+N96)</f>
        <v>0</v>
      </c>
      <c r="AY97" s="51">
        <f>(AY88*N88+AY96*N96)/(N88+N96)</f>
        <v>0</v>
      </c>
      <c r="AZ97" s="51">
        <f>(AZ88*N88+AZ96*N96)/(N88+N96)</f>
        <v>260.95460722732287</v>
      </c>
      <c r="BA97" s="51">
        <f>(BA88*N88+BA96*N96)/(N88+N96)</f>
        <v>76.930878417473082</v>
      </c>
      <c r="BB97" s="51">
        <f>(BB88*N88+BB96*N96)/(N88+N96)</f>
        <v>76.676553670770744</v>
      </c>
      <c r="BC97" s="51">
        <f>(BC88*N88+BC96*N96)/(N88+N96)</f>
        <v>107.34717513907907</v>
      </c>
      <c r="BD97" s="51">
        <f>(BD88*N88+BD96*N96)/(N88+N96)</f>
        <v>0</v>
      </c>
      <c r="BE97" s="51">
        <f>(BE88*N88+BE96*N96)/(N88+N96)</f>
        <v>128.06206855226316</v>
      </c>
      <c r="BF97" s="51">
        <f>(BF88*N88+BF96*N96)/(N88+N96)</f>
        <v>44.417441137837841</v>
      </c>
      <c r="BG97" s="51">
        <f>(BG88*N88+BG96*N96)/(N88+N96)</f>
        <v>1.4723613094253221</v>
      </c>
      <c r="BH97" s="51">
        <f>(BH88*N88+BH96*N96)/(N88+N96)</f>
        <v>82.172266105000006</v>
      </c>
      <c r="BI97" s="51">
        <f>(BI88*N88+BI96*N96)/(N88+N96)</f>
        <v>0</v>
      </c>
      <c r="BJ97" s="51">
        <f>(BJ88*N88+BJ96*N96)/(N88+N96)</f>
        <v>477.14036710582548</v>
      </c>
      <c r="BK97" s="51">
        <f>(BK88*N88+BK96*N96)/(N88+N96)</f>
        <v>561.14207996923892</v>
      </c>
      <c r="BL97" s="51">
        <f>(BL88*N88+BL96*N96)/(N88+N96)</f>
        <v>0.15527817278130071</v>
      </c>
      <c r="BM97" s="51">
        <f>(BM88*N88+BM96*N96)/(N88+N96)</f>
        <v>0.19188673533921055</v>
      </c>
    </row>
    <row r="98" spans="1:65" s="56" customFormat="1" x14ac:dyDescent="0.35">
      <c r="A98" s="15" t="s">
        <v>10778</v>
      </c>
      <c r="B98" s="15" t="s">
        <v>10319</v>
      </c>
      <c r="C98" s="15" t="s">
        <v>10589</v>
      </c>
      <c r="D98" s="15" t="s">
        <v>10320</v>
      </c>
      <c r="E98" s="15" t="s">
        <v>10866</v>
      </c>
      <c r="F98" s="15">
        <v>170314</v>
      </c>
      <c r="G98" s="15">
        <v>0.89712419976575097</v>
      </c>
      <c r="H98" s="15">
        <v>200</v>
      </c>
      <c r="I98" s="92">
        <v>478.12838933762788</v>
      </c>
      <c r="J98" s="93">
        <v>0.34822454759374122</v>
      </c>
      <c r="K98" s="15">
        <v>30</v>
      </c>
      <c r="L98" s="15">
        <v>167.67324721598897</v>
      </c>
      <c r="M98" s="15">
        <v>24.435608236023825</v>
      </c>
      <c r="N98" s="15">
        <v>59.742203407321568</v>
      </c>
      <c r="O98" s="15">
        <v>11.135618133005998</v>
      </c>
      <c r="P98" s="15">
        <v>23.131658415035094</v>
      </c>
      <c r="Q98" s="15">
        <v>25.474926859280469</v>
      </c>
      <c r="R98" s="15">
        <v>4.7644407217338944</v>
      </c>
      <c r="S98" s="15">
        <v>9.9837735157619871</v>
      </c>
      <c r="T98" s="15">
        <v>10.726712621784587</v>
      </c>
      <c r="U98" s="15">
        <v>0</v>
      </c>
      <c r="V98" s="15">
        <v>7254.8303160901387</v>
      </c>
      <c r="W98" s="15">
        <v>0</v>
      </c>
      <c r="X98" s="15">
        <v>0</v>
      </c>
      <c r="Y98" s="15">
        <v>638.64132748109546</v>
      </c>
      <c r="Z98" s="15">
        <v>0</v>
      </c>
      <c r="AA98" s="15">
        <v>0</v>
      </c>
      <c r="AB98" s="15">
        <v>0</v>
      </c>
      <c r="AC98" s="15">
        <v>638.64132748109546</v>
      </c>
      <c r="AD98" s="15">
        <v>160.51293814346758</v>
      </c>
      <c r="AE98" s="15">
        <v>18.01753637820655</v>
      </c>
      <c r="AF98" s="15">
        <v>0</v>
      </c>
      <c r="AG98" s="15">
        <v>0</v>
      </c>
      <c r="AH98" s="15">
        <v>21.677167965261109</v>
      </c>
      <c r="AI98" s="15">
        <v>101.46076875000001</v>
      </c>
      <c r="AJ98" s="15">
        <v>0</v>
      </c>
      <c r="AK98" s="15">
        <v>0</v>
      </c>
      <c r="AL98" s="15">
        <v>0</v>
      </c>
      <c r="AM98" s="15">
        <v>19.357465049999998</v>
      </c>
      <c r="AN98" s="15">
        <v>0.25133503147464092</v>
      </c>
      <c r="AO98" s="15">
        <v>478.12838933762788</v>
      </c>
      <c r="AP98" s="15">
        <v>39.694704343467663</v>
      </c>
      <c r="AQ98" s="15">
        <v>18.01753637820655</v>
      </c>
      <c r="AR98" s="15">
        <v>0</v>
      </c>
      <c r="AS98" s="15">
        <v>0</v>
      </c>
      <c r="AT98" s="15">
        <v>21.677167965261109</v>
      </c>
      <c r="AU98" s="15">
        <v>404.92972706297985</v>
      </c>
      <c r="AV98" s="15">
        <v>87.739391516164844</v>
      </c>
      <c r="AW98" s="15">
        <v>87.739391516164844</v>
      </c>
      <c r="AX98" s="15">
        <v>0</v>
      </c>
      <c r="AY98" s="15">
        <v>0</v>
      </c>
      <c r="AZ98" s="15">
        <v>225.06912070716908</v>
      </c>
      <c r="BA98" s="15">
        <v>76.930878417473082</v>
      </c>
      <c r="BB98" s="15">
        <v>61.724267620706669</v>
      </c>
      <c r="BC98" s="15">
        <v>86.413974668989326</v>
      </c>
      <c r="BD98" s="15">
        <v>0</v>
      </c>
      <c r="BE98" s="15">
        <v>92.121214839645944</v>
      </c>
      <c r="BF98" s="15">
        <v>31.806615273761622</v>
      </c>
      <c r="BG98" s="15">
        <v>1.4723613094253221</v>
      </c>
      <c r="BH98" s="15">
        <v>58.842238256458998</v>
      </c>
      <c r="BI98" s="15">
        <v>0</v>
      </c>
      <c r="BJ98" s="15">
        <v>444.62443140644751</v>
      </c>
      <c r="BK98" s="55">
        <v>605.13736954991509</v>
      </c>
      <c r="BL98" s="55">
        <v>0.26070351996402569</v>
      </c>
      <c r="BM98" s="55">
        <v>0.34822454759374122</v>
      </c>
    </row>
    <row r="99" spans="1:65" x14ac:dyDescent="0.35">
      <c r="A99" s="15" t="s">
        <v>10778</v>
      </c>
      <c r="B99" s="15" t="s">
        <v>10319</v>
      </c>
      <c r="C99" s="15" t="s">
        <v>10589</v>
      </c>
      <c r="D99" s="15" t="s">
        <v>10321</v>
      </c>
      <c r="E99" s="15" t="s">
        <v>10867</v>
      </c>
      <c r="F99" s="15">
        <v>170314</v>
      </c>
      <c r="G99" s="15">
        <v>0.89712419976575097</v>
      </c>
      <c r="H99" s="15">
        <v>200</v>
      </c>
      <c r="I99" s="92">
        <v>447.8128100900106</v>
      </c>
      <c r="J99" s="93">
        <v>0.35979612416057843</v>
      </c>
      <c r="K99" s="15">
        <v>30</v>
      </c>
      <c r="L99" s="15">
        <v>167.67324721598897</v>
      </c>
      <c r="M99" s="15">
        <v>24.435608236023825</v>
      </c>
      <c r="N99" s="15">
        <v>59.742203407321568</v>
      </c>
      <c r="O99" s="15">
        <v>11.135618133005998</v>
      </c>
      <c r="P99" s="15">
        <v>23.131658415035094</v>
      </c>
      <c r="Q99" s="15">
        <v>25.474926859280469</v>
      </c>
      <c r="R99" s="15">
        <v>4.7644407217338944</v>
      </c>
      <c r="S99" s="15">
        <v>9.9837735157619871</v>
      </c>
      <c r="T99" s="15">
        <v>10.726712621784587</v>
      </c>
      <c r="U99" s="15">
        <v>0</v>
      </c>
      <c r="V99" s="15">
        <v>0</v>
      </c>
      <c r="W99" s="15">
        <v>1813.7075790225347</v>
      </c>
      <c r="X99" s="15">
        <v>0</v>
      </c>
      <c r="Y99" s="15">
        <v>638.64132748109546</v>
      </c>
      <c r="Z99" s="15">
        <v>0</v>
      </c>
      <c r="AA99" s="15">
        <v>0</v>
      </c>
      <c r="AB99" s="15">
        <v>0</v>
      </c>
      <c r="AC99" s="15">
        <v>638.64132748109546</v>
      </c>
      <c r="AD99" s="15">
        <v>190.82851739108486</v>
      </c>
      <c r="AE99" s="15">
        <v>-20.473446476401193</v>
      </c>
      <c r="AF99" s="15">
        <v>10.151191062522814</v>
      </c>
      <c r="AG99" s="15">
        <v>21.91593205998684</v>
      </c>
      <c r="AH99" s="15">
        <v>0</v>
      </c>
      <c r="AI99" s="15">
        <v>101.46076875000001</v>
      </c>
      <c r="AJ99" s="15">
        <v>0</v>
      </c>
      <c r="AK99" s="15">
        <v>58.416606944976493</v>
      </c>
      <c r="AL99" s="15">
        <v>0</v>
      </c>
      <c r="AM99" s="15">
        <v>19.357465049999998</v>
      </c>
      <c r="AN99" s="15">
        <v>0.29880389692872422</v>
      </c>
      <c r="AO99" s="15">
        <v>447.8128100900106</v>
      </c>
      <c r="AP99" s="15">
        <v>0</v>
      </c>
      <c r="AQ99" s="15">
        <v>0</v>
      </c>
      <c r="AR99" s="15">
        <v>0</v>
      </c>
      <c r="AS99" s="15">
        <v>0</v>
      </c>
      <c r="AT99" s="15">
        <v>0</v>
      </c>
      <c r="AU99" s="15">
        <v>408.93412350985358</v>
      </c>
      <c r="AV99" s="15">
        <v>87.739391516164844</v>
      </c>
      <c r="AW99" s="15">
        <v>87.739391516164844</v>
      </c>
      <c r="AX99" s="15">
        <v>0</v>
      </c>
      <c r="AY99" s="15">
        <v>0</v>
      </c>
      <c r="AZ99" s="15">
        <v>225.06912070716908</v>
      </c>
      <c r="BA99" s="15">
        <v>76.930878417473082</v>
      </c>
      <c r="BB99" s="15">
        <v>61.724267620706669</v>
      </c>
      <c r="BC99" s="15">
        <v>86.413974668989326</v>
      </c>
      <c r="BD99" s="15">
        <v>0</v>
      </c>
      <c r="BE99" s="15">
        <v>96.125611286519629</v>
      </c>
      <c r="BF99" s="15">
        <v>33.211666658629582</v>
      </c>
      <c r="BG99" s="15">
        <v>1.4723613094253221</v>
      </c>
      <c r="BH99" s="15">
        <v>61.441583318464723</v>
      </c>
      <c r="BI99" s="15">
        <v>0</v>
      </c>
      <c r="BJ99" s="15">
        <v>408.93412350985358</v>
      </c>
      <c r="BK99" s="15">
        <v>599.76264090093844</v>
      </c>
      <c r="BL99" s="15">
        <v>0.25228764016154648</v>
      </c>
      <c r="BM99" s="15">
        <v>0.35979612416057843</v>
      </c>
    </row>
    <row r="100" spans="1:65" x14ac:dyDescent="0.35">
      <c r="A100" s="15" t="s">
        <v>10778</v>
      </c>
      <c r="B100" s="15" t="s">
        <v>10319</v>
      </c>
      <c r="C100" s="15" t="s">
        <v>10589</v>
      </c>
      <c r="D100" s="15" t="s">
        <v>10322</v>
      </c>
      <c r="E100" s="15" t="s">
        <v>10868</v>
      </c>
      <c r="F100" s="15">
        <v>170314</v>
      </c>
      <c r="G100" s="15">
        <v>0.89712419976575097</v>
      </c>
      <c r="H100" s="15">
        <v>200</v>
      </c>
      <c r="I100" s="92">
        <v>455.84288076413412</v>
      </c>
      <c r="J100" s="93">
        <v>0.34586655719266407</v>
      </c>
      <c r="K100" s="15">
        <v>30</v>
      </c>
      <c r="L100" s="15">
        <v>167.67324721598897</v>
      </c>
      <c r="M100" s="15">
        <v>24.435608236023825</v>
      </c>
      <c r="N100" s="15">
        <v>59.742203407321568</v>
      </c>
      <c r="O100" s="15">
        <v>11.135618133005998</v>
      </c>
      <c r="P100" s="15">
        <v>23.131658415035094</v>
      </c>
      <c r="Q100" s="15">
        <v>25.474926859280469</v>
      </c>
      <c r="R100" s="15">
        <v>4.7644407217338944</v>
      </c>
      <c r="S100" s="15">
        <v>9.9837735157619871</v>
      </c>
      <c r="T100" s="15">
        <v>10.726712621784587</v>
      </c>
      <c r="U100" s="15">
        <v>0</v>
      </c>
      <c r="V100" s="15">
        <v>0</v>
      </c>
      <c r="W100" s="15">
        <v>0</v>
      </c>
      <c r="X100" s="15">
        <v>1813707.5790225347</v>
      </c>
      <c r="Y100" s="15">
        <v>638.64132748109546</v>
      </c>
      <c r="Z100" s="15">
        <v>0</v>
      </c>
      <c r="AA100" s="15">
        <v>0</v>
      </c>
      <c r="AB100" s="15">
        <v>0</v>
      </c>
      <c r="AC100" s="15">
        <v>638.64132748109546</v>
      </c>
      <c r="AD100" s="15">
        <v>182.79844671696134</v>
      </c>
      <c r="AE100" s="15">
        <v>-20.473446476401193</v>
      </c>
      <c r="AF100" s="15">
        <v>0</v>
      </c>
      <c r="AG100" s="15">
        <v>0</v>
      </c>
      <c r="AH100" s="15">
        <v>0</v>
      </c>
      <c r="AI100" s="15">
        <v>101.46076875000001</v>
      </c>
      <c r="AJ100" s="15">
        <v>0</v>
      </c>
      <c r="AK100" s="15">
        <v>82.453659393362557</v>
      </c>
      <c r="AL100" s="15">
        <v>0</v>
      </c>
      <c r="AM100" s="15">
        <v>19.357465049999998</v>
      </c>
      <c r="AN100" s="15">
        <v>0.28623021851396296</v>
      </c>
      <c r="AO100" s="15">
        <v>455.84288076413412</v>
      </c>
      <c r="AP100" s="15">
        <v>0</v>
      </c>
      <c r="AQ100" s="15">
        <v>0</v>
      </c>
      <c r="AR100" s="15">
        <v>0</v>
      </c>
      <c r="AS100" s="15">
        <v>0</v>
      </c>
      <c r="AT100" s="15">
        <v>0</v>
      </c>
      <c r="AU100" s="15">
        <v>413.50368855481122</v>
      </c>
      <c r="AV100" s="15">
        <v>87.739391516164844</v>
      </c>
      <c r="AW100" s="15">
        <v>87.739391516164844</v>
      </c>
      <c r="AX100" s="15">
        <v>0</v>
      </c>
      <c r="AY100" s="15">
        <v>0</v>
      </c>
      <c r="AZ100" s="15">
        <v>225.06912070716908</v>
      </c>
      <c r="BA100" s="15">
        <v>76.930878417473082</v>
      </c>
      <c r="BB100" s="15">
        <v>61.724267620706669</v>
      </c>
      <c r="BC100" s="15">
        <v>86.413974668989326</v>
      </c>
      <c r="BD100" s="15">
        <v>0</v>
      </c>
      <c r="BE100" s="15">
        <v>100.69517633147726</v>
      </c>
      <c r="BF100" s="15">
        <v>34.815022814755061</v>
      </c>
      <c r="BG100" s="15">
        <v>1.4723613094253221</v>
      </c>
      <c r="BH100" s="15">
        <v>64.407792207296865</v>
      </c>
      <c r="BI100" s="15">
        <v>0</v>
      </c>
      <c r="BJ100" s="15">
        <v>413.50368855481122</v>
      </c>
      <c r="BK100" s="15">
        <v>596.30213527177261</v>
      </c>
      <c r="BL100" s="15">
        <v>0.24686909695073578</v>
      </c>
      <c r="BM100" s="15">
        <v>0.34586655719266407</v>
      </c>
    </row>
    <row r="101" spans="1:65" x14ac:dyDescent="0.35">
      <c r="A101" s="15" t="s">
        <v>10778</v>
      </c>
      <c r="B101" s="15" t="s">
        <v>10319</v>
      </c>
      <c r="C101" s="15" t="s">
        <v>10589</v>
      </c>
      <c r="D101" s="15" t="s">
        <v>10323</v>
      </c>
      <c r="E101" s="15" t="s">
        <v>10869</v>
      </c>
      <c r="F101" s="15">
        <v>170314</v>
      </c>
      <c r="G101" s="15">
        <v>0.89712419976575097</v>
      </c>
      <c r="H101" s="15">
        <v>200</v>
      </c>
      <c r="I101" s="92">
        <v>417.77551103544459</v>
      </c>
      <c r="J101" s="93">
        <v>0.31846118543225799</v>
      </c>
      <c r="K101" s="15">
        <v>30</v>
      </c>
      <c r="L101" s="15">
        <v>124.74141929583149</v>
      </c>
      <c r="M101" s="15">
        <v>20.951634603595231</v>
      </c>
      <c r="N101" s="15">
        <v>59.742203407321568</v>
      </c>
      <c r="O101" s="15">
        <v>8.3949744227968264</v>
      </c>
      <c r="P101" s="15">
        <v>24.110459740109803</v>
      </c>
      <c r="Q101" s="15">
        <v>27.236769244414937</v>
      </c>
      <c r="R101" s="15">
        <v>4.7644407217338944</v>
      </c>
      <c r="S101" s="15">
        <v>11.745615900896455</v>
      </c>
      <c r="T101" s="15">
        <v>10.726712621784587</v>
      </c>
      <c r="U101" s="15">
        <v>0</v>
      </c>
      <c r="V101" s="15">
        <v>0</v>
      </c>
      <c r="W101" s="15">
        <v>0</v>
      </c>
      <c r="X101" s="15">
        <v>0</v>
      </c>
      <c r="Y101" s="15">
        <v>521.13468894885796</v>
      </c>
      <c r="Z101" s="15">
        <v>0</v>
      </c>
      <c r="AA101" s="15">
        <v>0</v>
      </c>
      <c r="AB101" s="15">
        <v>0</v>
      </c>
      <c r="AC101" s="15">
        <v>521.13468894885796</v>
      </c>
      <c r="AD101" s="15">
        <v>103.35917791341336</v>
      </c>
      <c r="AE101" s="15">
        <v>-17.459055886586668</v>
      </c>
      <c r="AF101" s="15">
        <v>0</v>
      </c>
      <c r="AG101" s="15">
        <v>0</v>
      </c>
      <c r="AH101" s="15">
        <v>0</v>
      </c>
      <c r="AI101" s="15">
        <v>101.46076875000001</v>
      </c>
      <c r="AJ101" s="15">
        <v>0</v>
      </c>
      <c r="AK101" s="15">
        <v>0</v>
      </c>
      <c r="AL101" s="15">
        <v>0</v>
      </c>
      <c r="AM101" s="15">
        <v>19.357465049999998</v>
      </c>
      <c r="AN101" s="15">
        <v>0.19833486448943069</v>
      </c>
      <c r="AO101" s="15">
        <v>417.77551103544459</v>
      </c>
      <c r="AP101" s="15">
        <v>0</v>
      </c>
      <c r="AQ101" s="15">
        <v>0</v>
      </c>
      <c r="AR101" s="15">
        <v>0</v>
      </c>
      <c r="AS101" s="15">
        <v>0</v>
      </c>
      <c r="AT101" s="15">
        <v>0</v>
      </c>
      <c r="AU101" s="15">
        <v>350.8207955243596</v>
      </c>
      <c r="AV101" s="15">
        <v>84.336821878380803</v>
      </c>
      <c r="AW101" s="15">
        <v>84.336821878380803</v>
      </c>
      <c r="AX101" s="15">
        <v>0</v>
      </c>
      <c r="AY101" s="15">
        <v>0</v>
      </c>
      <c r="AZ101" s="15">
        <v>183.02853286215353</v>
      </c>
      <c r="BA101" s="15">
        <v>76.930878417473082</v>
      </c>
      <c r="BB101" s="15">
        <v>44.207356018616856</v>
      </c>
      <c r="BC101" s="15">
        <v>61.890298426063602</v>
      </c>
      <c r="BD101" s="15">
        <v>0</v>
      </c>
      <c r="BE101" s="15">
        <v>83.455440783825281</v>
      </c>
      <c r="BF101" s="15">
        <v>28.765992798035072</v>
      </c>
      <c r="BG101" s="15">
        <v>1.4723613094253221</v>
      </c>
      <c r="BH101" s="15">
        <v>53.217086676364879</v>
      </c>
      <c r="BI101" s="15">
        <v>0</v>
      </c>
      <c r="BJ101" s="15">
        <v>350.8207955243596</v>
      </c>
      <c r="BK101" s="15">
        <v>454.17997343777296</v>
      </c>
      <c r="BL101" s="15">
        <v>0.25529922937440763</v>
      </c>
      <c r="BM101" s="15">
        <v>0.31846118543225799</v>
      </c>
    </row>
    <row r="102" spans="1:65" x14ac:dyDescent="0.35">
      <c r="A102" s="15" t="s">
        <v>10778</v>
      </c>
      <c r="B102" s="15" t="s">
        <v>10319</v>
      </c>
      <c r="C102" s="15" t="s">
        <v>10589</v>
      </c>
      <c r="D102" s="15" t="s">
        <v>10324</v>
      </c>
      <c r="E102" s="15" t="s">
        <v>10870</v>
      </c>
      <c r="F102" s="15">
        <v>170314</v>
      </c>
      <c r="G102" s="15">
        <v>0.89712419976575097</v>
      </c>
      <c r="H102" s="15">
        <v>200</v>
      </c>
      <c r="I102" s="92">
        <v>522.17034544364992</v>
      </c>
      <c r="J102" s="93">
        <v>0.10817083528054568</v>
      </c>
      <c r="K102" s="15">
        <v>30</v>
      </c>
      <c r="L102" s="15">
        <v>186.44490250409586</v>
      </c>
      <c r="M102" s="15">
        <v>23.646059881312514</v>
      </c>
      <c r="N102" s="15">
        <v>59.742203407321568</v>
      </c>
      <c r="O102" s="15">
        <v>13.388078428072244</v>
      </c>
      <c r="P102" s="15">
        <v>20.899017595949228</v>
      </c>
      <c r="Q102" s="15">
        <v>25.455107383300088</v>
      </c>
      <c r="R102" s="15">
        <v>4.7644407217338944</v>
      </c>
      <c r="S102" s="15">
        <v>0</v>
      </c>
      <c r="T102" s="15">
        <v>20.690666661566201</v>
      </c>
      <c r="U102" s="15">
        <v>0</v>
      </c>
      <c r="V102" s="15">
        <v>0</v>
      </c>
      <c r="W102" s="15">
        <v>0</v>
      </c>
      <c r="X102" s="15">
        <v>0</v>
      </c>
      <c r="Y102" s="15">
        <v>642.59579826695631</v>
      </c>
      <c r="Z102" s="15">
        <v>0</v>
      </c>
      <c r="AA102" s="15">
        <v>0</v>
      </c>
      <c r="AB102" s="15">
        <v>0</v>
      </c>
      <c r="AC102" s="15">
        <v>642.59579826695631</v>
      </c>
      <c r="AD102" s="15">
        <v>120.42545282330639</v>
      </c>
      <c r="AE102" s="15">
        <v>-18.373769084193693</v>
      </c>
      <c r="AF102" s="15">
        <v>0</v>
      </c>
      <c r="AG102" s="15">
        <v>0</v>
      </c>
      <c r="AH102" s="15">
        <v>0</v>
      </c>
      <c r="AI102" s="15">
        <v>101.46076875000001</v>
      </c>
      <c r="AJ102" s="15">
        <v>0</v>
      </c>
      <c r="AK102" s="15">
        <v>0</v>
      </c>
      <c r="AL102" s="15">
        <v>0</v>
      </c>
      <c r="AM102" s="15">
        <v>37.338453157500005</v>
      </c>
      <c r="AN102" s="15">
        <v>0.18740466891953989</v>
      </c>
      <c r="AO102" s="15">
        <v>522.17034544364992</v>
      </c>
      <c r="AP102" s="15">
        <v>0</v>
      </c>
      <c r="AQ102" s="15">
        <v>0</v>
      </c>
      <c r="AR102" s="15">
        <v>0</v>
      </c>
      <c r="AS102" s="15">
        <v>0</v>
      </c>
      <c r="AT102" s="15">
        <v>0</v>
      </c>
      <c r="AU102" s="15">
        <v>378.65394786902067</v>
      </c>
      <c r="AV102" s="15">
        <v>95.941290475831167</v>
      </c>
      <c r="AW102" s="15">
        <v>95.941290475831167</v>
      </c>
      <c r="AX102" s="15">
        <v>0</v>
      </c>
      <c r="AY102" s="15">
        <v>0</v>
      </c>
      <c r="AZ102" s="15">
        <v>181.59109444750507</v>
      </c>
      <c r="BA102" s="15">
        <v>76.930878417473082</v>
      </c>
      <c r="BB102" s="15">
        <v>43.608423345846667</v>
      </c>
      <c r="BC102" s="15">
        <v>61.05179268418533</v>
      </c>
      <c r="BD102" s="15">
        <v>0</v>
      </c>
      <c r="BE102" s="15">
        <v>101.12156294568446</v>
      </c>
      <c r="BF102" s="15">
        <v>34.964632153073381</v>
      </c>
      <c r="BG102" s="15">
        <v>1.4723613094253221</v>
      </c>
      <c r="BH102" s="15">
        <v>64.684569483185754</v>
      </c>
      <c r="BI102" s="15">
        <v>0</v>
      </c>
      <c r="BJ102" s="15">
        <v>378.65394786902067</v>
      </c>
      <c r="BK102" s="15">
        <v>499.07940069232706</v>
      </c>
      <c r="BL102" s="15">
        <v>8.7899115708044928E-2</v>
      </c>
      <c r="BM102" s="15">
        <v>0.10817083528054568</v>
      </c>
    </row>
    <row r="103" spans="1:65" x14ac:dyDescent="0.35">
      <c r="A103" s="15" t="s">
        <v>10778</v>
      </c>
      <c r="B103" s="15" t="s">
        <v>10319</v>
      </c>
      <c r="C103" s="15" t="s">
        <v>10589</v>
      </c>
      <c r="D103" s="15" t="s">
        <v>10325</v>
      </c>
      <c r="E103" s="15" t="s">
        <v>10871</v>
      </c>
      <c r="F103" s="15">
        <v>170314</v>
      </c>
      <c r="G103" s="15">
        <v>0.89712419976575097</v>
      </c>
      <c r="H103" s="15">
        <v>200</v>
      </c>
      <c r="I103" s="92">
        <v>786.72201276349892</v>
      </c>
      <c r="J103" s="93">
        <v>0.15063186718943969</v>
      </c>
      <c r="K103" s="15">
        <v>30</v>
      </c>
      <c r="L103" s="15">
        <v>324.09172782621516</v>
      </c>
      <c r="M103" s="15">
        <v>38.104621154314756</v>
      </c>
      <c r="N103" s="15">
        <v>59.742203407321568</v>
      </c>
      <c r="O103" s="15">
        <v>43.659587538295725</v>
      </c>
      <c r="P103" s="15">
        <v>10.995552537117536</v>
      </c>
      <c r="Q103" s="15">
        <v>5.0870633319083076</v>
      </c>
      <c r="R103" s="15">
        <v>5.0870633319083076</v>
      </c>
      <c r="S103" s="15">
        <v>0</v>
      </c>
      <c r="T103" s="15">
        <v>0</v>
      </c>
      <c r="U103" s="15">
        <v>37880.674025975488</v>
      </c>
      <c r="V103" s="15">
        <v>0</v>
      </c>
      <c r="W103" s="15">
        <v>0</v>
      </c>
      <c r="X103" s="15">
        <v>0</v>
      </c>
      <c r="Y103" s="15">
        <v>1074.0723554675596</v>
      </c>
      <c r="Z103" s="15">
        <v>0</v>
      </c>
      <c r="AA103" s="15">
        <v>0</v>
      </c>
      <c r="AB103" s="15">
        <v>0</v>
      </c>
      <c r="AC103" s="15">
        <v>1074.0723554675596</v>
      </c>
      <c r="AD103" s="15">
        <v>287.35034270406072</v>
      </c>
      <c r="AE103" s="15">
        <v>26.134668261765082</v>
      </c>
      <c r="AF103" s="15">
        <v>0</v>
      </c>
      <c r="AG103" s="15">
        <v>0</v>
      </c>
      <c r="AH103" s="15">
        <v>133.01490003321416</v>
      </c>
      <c r="AI103" s="15">
        <v>123.00035822944254</v>
      </c>
      <c r="AJ103" s="15">
        <v>5.2004161796389319</v>
      </c>
      <c r="AK103" s="15">
        <v>0</v>
      </c>
      <c r="AL103" s="15">
        <v>0</v>
      </c>
      <c r="AM103" s="15">
        <v>0</v>
      </c>
      <c r="AN103" s="15">
        <v>0.26753350576551505</v>
      </c>
      <c r="AO103" s="15">
        <v>786.72201276349892</v>
      </c>
      <c r="AP103" s="15">
        <v>159.14956829497925</v>
      </c>
      <c r="AQ103" s="15">
        <v>26.134668261765082</v>
      </c>
      <c r="AR103" s="15">
        <v>0</v>
      </c>
      <c r="AS103" s="15">
        <v>0</v>
      </c>
      <c r="AT103" s="15">
        <v>133.01490003321416</v>
      </c>
      <c r="AU103" s="15">
        <v>546.07785021011966</v>
      </c>
      <c r="AV103" s="15">
        <v>139.50719047596817</v>
      </c>
      <c r="AW103" s="15">
        <v>139.50719047596817</v>
      </c>
      <c r="AX103" s="15">
        <v>0</v>
      </c>
      <c r="AY103" s="15">
        <v>0</v>
      </c>
      <c r="AZ103" s="15">
        <v>268.28062276898601</v>
      </c>
      <c r="BA103" s="15">
        <v>82.718698010625431</v>
      </c>
      <c r="BB103" s="15">
        <v>77.317468649316908</v>
      </c>
      <c r="BC103" s="15">
        <v>108.24445610904367</v>
      </c>
      <c r="BD103" s="15">
        <v>0</v>
      </c>
      <c r="BE103" s="15">
        <v>138.29003696516551</v>
      </c>
      <c r="BF103" s="15">
        <v>47.967334732942312</v>
      </c>
      <c r="BG103" s="15">
        <v>1.5831329762799127</v>
      </c>
      <c r="BH103" s="15">
        <v>88.73956925594328</v>
      </c>
      <c r="BI103" s="15">
        <v>0</v>
      </c>
      <c r="BJ103" s="15">
        <v>705.22741850509897</v>
      </c>
      <c r="BK103" s="15">
        <v>992.57776120915969</v>
      </c>
      <c r="BL103" s="15">
        <v>0.11033279568024343</v>
      </c>
      <c r="BM103" s="15">
        <v>0.15063186718943969</v>
      </c>
    </row>
    <row r="104" spans="1:65" x14ac:dyDescent="0.35">
      <c r="A104" s="15" t="s">
        <v>10778</v>
      </c>
      <c r="B104" s="15" t="s">
        <v>10319</v>
      </c>
      <c r="C104" s="15" t="s">
        <v>10589</v>
      </c>
      <c r="D104" s="15" t="s">
        <v>10326</v>
      </c>
      <c r="E104" s="15" t="s">
        <v>10872</v>
      </c>
      <c r="F104" s="15">
        <v>170314</v>
      </c>
      <c r="G104" s="15">
        <v>0.89712419976575097</v>
      </c>
      <c r="H104" s="15">
        <v>200</v>
      </c>
      <c r="I104" s="92">
        <v>723.98047139384505</v>
      </c>
      <c r="J104" s="93">
        <v>0.25574316295593674</v>
      </c>
      <c r="K104" s="15">
        <v>30</v>
      </c>
      <c r="L104" s="15">
        <v>363.17073333904631</v>
      </c>
      <c r="M104" s="15">
        <v>32.86953227382218</v>
      </c>
      <c r="N104" s="15">
        <v>59.742203407321568</v>
      </c>
      <c r="O104" s="15">
        <v>43.659587538295725</v>
      </c>
      <c r="P104" s="15">
        <v>10.995552537117536</v>
      </c>
      <c r="Q104" s="15">
        <v>5.0870633319083076</v>
      </c>
      <c r="R104" s="15">
        <v>5.0870633319083076</v>
      </c>
      <c r="S104" s="15">
        <v>0</v>
      </c>
      <c r="T104" s="15">
        <v>0</v>
      </c>
      <c r="U104" s="15">
        <v>37880.674025975488</v>
      </c>
      <c r="V104" s="15">
        <v>0</v>
      </c>
      <c r="W104" s="15">
        <v>0</v>
      </c>
      <c r="X104" s="15">
        <v>0</v>
      </c>
      <c r="Y104" s="15">
        <v>1024.4955624302925</v>
      </c>
      <c r="Z104" s="15">
        <v>0</v>
      </c>
      <c r="AA104" s="15">
        <v>0</v>
      </c>
      <c r="AB104" s="15">
        <v>0</v>
      </c>
      <c r="AC104" s="15">
        <v>1024.4955624302925</v>
      </c>
      <c r="AD104" s="15">
        <v>300.51509103644742</v>
      </c>
      <c r="AE104" s="15">
        <v>28.378923015683988</v>
      </c>
      <c r="AF104" s="15">
        <v>0</v>
      </c>
      <c r="AG104" s="15">
        <v>0</v>
      </c>
      <c r="AH104" s="15">
        <v>143.56458296926479</v>
      </c>
      <c r="AI104" s="15">
        <v>123.00035822944254</v>
      </c>
      <c r="AJ104" s="15">
        <v>5.5712268220560635</v>
      </c>
      <c r="AK104" s="15">
        <v>0</v>
      </c>
      <c r="AL104" s="15">
        <v>0</v>
      </c>
      <c r="AM104" s="15">
        <v>0</v>
      </c>
      <c r="AN104" s="15">
        <v>0.29332981230642929</v>
      </c>
      <c r="AO104" s="15">
        <v>723.98047139384505</v>
      </c>
      <c r="AP104" s="15">
        <v>171.94350598494879</v>
      </c>
      <c r="AQ104" s="15">
        <v>28.378923015683988</v>
      </c>
      <c r="AR104" s="15">
        <v>0</v>
      </c>
      <c r="AS104" s="15">
        <v>0</v>
      </c>
      <c r="AT104" s="15">
        <v>143.56458296926479</v>
      </c>
      <c r="AU104" s="15">
        <v>537.19002108148845</v>
      </c>
      <c r="AV104" s="15">
        <v>139.50719047596817</v>
      </c>
      <c r="AW104" s="15">
        <v>139.50719047596817</v>
      </c>
      <c r="AX104" s="15">
        <v>0</v>
      </c>
      <c r="AY104" s="15">
        <v>0</v>
      </c>
      <c r="AZ104" s="15">
        <v>268.28062276898601</v>
      </c>
      <c r="BA104" s="15">
        <v>82.718698010625431</v>
      </c>
      <c r="BB104" s="15">
        <v>77.317468649316908</v>
      </c>
      <c r="BC104" s="15">
        <v>108.24445610904367</v>
      </c>
      <c r="BD104" s="15">
        <v>0</v>
      </c>
      <c r="BE104" s="15">
        <v>129.40220783653425</v>
      </c>
      <c r="BF104" s="15">
        <v>44.848798196580468</v>
      </c>
      <c r="BG104" s="15">
        <v>1.5831329762799127</v>
      </c>
      <c r="BH104" s="15">
        <v>82.970276663673857</v>
      </c>
      <c r="BI104" s="15">
        <v>0</v>
      </c>
      <c r="BJ104" s="15">
        <v>709.13352706643718</v>
      </c>
      <c r="BK104" s="15">
        <v>1009.6486181028846</v>
      </c>
      <c r="BL104" s="15">
        <v>0.18072606896741925</v>
      </c>
      <c r="BM104" s="15">
        <v>0.25574316295593674</v>
      </c>
    </row>
    <row r="105" spans="1:65" s="56" customFormat="1" x14ac:dyDescent="0.35">
      <c r="A105" s="55" t="s">
        <v>10778</v>
      </c>
      <c r="B105" s="55" t="s">
        <v>10319</v>
      </c>
      <c r="C105" s="55" t="s">
        <v>10854</v>
      </c>
      <c r="D105" s="55" t="s">
        <v>10323</v>
      </c>
      <c r="E105" s="55" t="s">
        <v>10873</v>
      </c>
      <c r="F105" s="55">
        <v>170314</v>
      </c>
      <c r="G105" s="55">
        <v>0.89712419976575097</v>
      </c>
      <c r="H105" s="55">
        <v>200</v>
      </c>
      <c r="I105" s="55">
        <v>417.77551103544459</v>
      </c>
      <c r="J105" s="94">
        <v>0.31846118543225799</v>
      </c>
      <c r="K105" s="55">
        <v>30</v>
      </c>
      <c r="L105" s="55">
        <v>124.74141929583149</v>
      </c>
      <c r="M105" s="55">
        <v>20.951634603595231</v>
      </c>
      <c r="N105" s="55">
        <v>59.742203407321568</v>
      </c>
      <c r="O105" s="55">
        <v>8.3949744227968264</v>
      </c>
      <c r="P105" s="55">
        <v>24.110459740109803</v>
      </c>
      <c r="Q105" s="55">
        <v>27.236769244414937</v>
      </c>
      <c r="R105" s="55">
        <v>4.7644407217338944</v>
      </c>
      <c r="S105" s="55">
        <v>11.745615900896455</v>
      </c>
      <c r="T105" s="55">
        <v>10.726712621784587</v>
      </c>
      <c r="U105" s="55">
        <v>0</v>
      </c>
      <c r="V105" s="55">
        <v>0</v>
      </c>
      <c r="W105" s="55">
        <v>0</v>
      </c>
      <c r="X105" s="55">
        <v>0</v>
      </c>
      <c r="Y105" s="55">
        <v>521.13468894885796</v>
      </c>
      <c r="Z105" s="55">
        <v>0</v>
      </c>
      <c r="AA105" s="55">
        <v>0</v>
      </c>
      <c r="AB105" s="55">
        <v>0</v>
      </c>
      <c r="AC105" s="55">
        <v>521.13468894885796</v>
      </c>
      <c r="AD105" s="55">
        <v>103.35917791341336</v>
      </c>
      <c r="AE105" s="55">
        <v>-17.459055886586668</v>
      </c>
      <c r="AF105" s="55">
        <v>0</v>
      </c>
      <c r="AG105" s="55">
        <v>0</v>
      </c>
      <c r="AH105" s="55">
        <v>0</v>
      </c>
      <c r="AI105" s="55">
        <v>101.46076875000001</v>
      </c>
      <c r="AJ105" s="55">
        <v>0</v>
      </c>
      <c r="AK105" s="55">
        <v>0</v>
      </c>
      <c r="AL105" s="55">
        <v>0</v>
      </c>
      <c r="AM105" s="55">
        <v>19.357465049999998</v>
      </c>
      <c r="AN105" s="55">
        <v>0.19833486448943069</v>
      </c>
      <c r="AO105" s="55">
        <v>417.77551103544459</v>
      </c>
      <c r="AP105" s="55">
        <v>0</v>
      </c>
      <c r="AQ105" s="55">
        <v>0</v>
      </c>
      <c r="AR105" s="55">
        <v>0</v>
      </c>
      <c r="AS105" s="55">
        <v>0</v>
      </c>
      <c r="AT105" s="55">
        <v>0</v>
      </c>
      <c r="AU105" s="55">
        <v>350.8207955243596</v>
      </c>
      <c r="AV105" s="55">
        <v>84.336821878380803</v>
      </c>
      <c r="AW105" s="55">
        <v>84.336821878380803</v>
      </c>
      <c r="AX105" s="55">
        <v>0</v>
      </c>
      <c r="AY105" s="55">
        <v>0</v>
      </c>
      <c r="AZ105" s="55">
        <v>183.02853286215353</v>
      </c>
      <c r="BA105" s="55">
        <v>76.930878417473082</v>
      </c>
      <c r="BB105" s="55">
        <v>44.207356018616856</v>
      </c>
      <c r="BC105" s="55">
        <v>61.890298426063602</v>
      </c>
      <c r="BD105" s="55">
        <v>0</v>
      </c>
      <c r="BE105" s="55">
        <v>83.455440783825281</v>
      </c>
      <c r="BF105" s="55">
        <v>28.765992798035072</v>
      </c>
      <c r="BG105" s="55">
        <v>1.4723613094253221</v>
      </c>
      <c r="BH105" s="55">
        <v>53.217086676364879</v>
      </c>
      <c r="BI105" s="55">
        <v>0</v>
      </c>
      <c r="BJ105" s="55">
        <v>350.8207955243596</v>
      </c>
      <c r="BK105" s="55">
        <v>454.17997343777296</v>
      </c>
      <c r="BL105" s="55">
        <v>0.25529922937440763</v>
      </c>
      <c r="BM105" s="55">
        <v>0.31846118543225799</v>
      </c>
    </row>
    <row r="106" spans="1:65" s="56" customFormat="1" x14ac:dyDescent="0.35">
      <c r="A106" s="15" t="s">
        <v>10778</v>
      </c>
      <c r="B106" s="15" t="s">
        <v>10319</v>
      </c>
      <c r="C106" s="15" t="s">
        <v>10591</v>
      </c>
      <c r="D106" s="15" t="s">
        <v>10320</v>
      </c>
      <c r="E106" s="15" t="s">
        <v>10874</v>
      </c>
      <c r="F106" s="15">
        <v>19004</v>
      </c>
      <c r="G106" s="15">
        <v>0.8971204331892636</v>
      </c>
      <c r="H106" s="15">
        <v>200</v>
      </c>
      <c r="I106" s="92">
        <v>3578.6374262511886</v>
      </c>
      <c r="J106" s="93">
        <v>-0.35581761197245504</v>
      </c>
      <c r="K106" s="15">
        <v>30</v>
      </c>
      <c r="L106" s="15">
        <v>90.041595388670146</v>
      </c>
      <c r="M106" s="15">
        <v>19.254265218692794</v>
      </c>
      <c r="N106" s="15">
        <v>6.6661347089703309</v>
      </c>
      <c r="O106" s="15">
        <v>1.2425308460111706</v>
      </c>
      <c r="P106" s="15">
        <v>2.5810690306346094</v>
      </c>
      <c r="Q106" s="15">
        <v>2.8425348323245521</v>
      </c>
      <c r="R106" s="15">
        <v>0.53162424304038391</v>
      </c>
      <c r="S106" s="15">
        <v>1.1140061022885455</v>
      </c>
      <c r="T106" s="15">
        <v>1.1969044869956229</v>
      </c>
      <c r="U106" s="15">
        <v>0</v>
      </c>
      <c r="V106" s="15">
        <v>809.5060680646377</v>
      </c>
      <c r="W106" s="15">
        <v>0</v>
      </c>
      <c r="X106" s="15">
        <v>0</v>
      </c>
      <c r="Y106" s="15">
        <v>3739.1503643946562</v>
      </c>
      <c r="Z106" s="15">
        <v>0</v>
      </c>
      <c r="AA106" s="15">
        <v>0</v>
      </c>
      <c r="AB106" s="15">
        <v>0</v>
      </c>
      <c r="AC106" s="15">
        <v>3739.1503643946562</v>
      </c>
      <c r="AD106" s="15">
        <v>160.51293814346764</v>
      </c>
      <c r="AE106" s="15">
        <v>18.017536378206557</v>
      </c>
      <c r="AF106" s="15">
        <v>0</v>
      </c>
      <c r="AG106" s="15">
        <v>0</v>
      </c>
      <c r="AH106" s="15">
        <v>21.677167965261127</v>
      </c>
      <c r="AI106" s="15">
        <v>101.46076874999999</v>
      </c>
      <c r="AJ106" s="15">
        <v>0</v>
      </c>
      <c r="AK106" s="15">
        <v>0</v>
      </c>
      <c r="AL106" s="15">
        <v>0</v>
      </c>
      <c r="AM106" s="15">
        <v>19.357465049999998</v>
      </c>
      <c r="AN106" s="15">
        <v>4.2927650000898966E-2</v>
      </c>
      <c r="AO106" s="15">
        <v>3578.6374262511886</v>
      </c>
      <c r="AP106" s="15">
        <v>39.694704343467684</v>
      </c>
      <c r="AQ106" s="15">
        <v>18.017536378206557</v>
      </c>
      <c r="AR106" s="15">
        <v>0</v>
      </c>
      <c r="AS106" s="15">
        <v>0</v>
      </c>
      <c r="AT106" s="15">
        <v>21.677167965261127</v>
      </c>
      <c r="AU106" s="15">
        <v>2065.6004987837705</v>
      </c>
      <c r="AV106" s="15">
        <v>125.80359762997909</v>
      </c>
      <c r="AW106" s="15">
        <v>125.80359762997909</v>
      </c>
      <c r="AX106" s="15">
        <v>0</v>
      </c>
      <c r="AY106" s="15">
        <v>0</v>
      </c>
      <c r="AZ106" s="15">
        <v>1342.95915472461</v>
      </c>
      <c r="BA106" s="15">
        <v>76.930878417473068</v>
      </c>
      <c r="BB106" s="15">
        <v>527.51178179464046</v>
      </c>
      <c r="BC106" s="15">
        <v>738.51649451249648</v>
      </c>
      <c r="BD106" s="15">
        <v>0</v>
      </c>
      <c r="BE106" s="15">
        <v>596.83774642918138</v>
      </c>
      <c r="BF106" s="15">
        <v>208.90013512973897</v>
      </c>
      <c r="BG106" s="15">
        <v>1.4723613094253221</v>
      </c>
      <c r="BH106" s="15">
        <v>386.46524999001707</v>
      </c>
      <c r="BI106" s="15">
        <v>0</v>
      </c>
      <c r="BJ106" s="15">
        <v>2105.295203127238</v>
      </c>
      <c r="BK106" s="55">
        <v>2265.8081412707056</v>
      </c>
      <c r="BL106" s="55">
        <v>-0.34054319806154582</v>
      </c>
      <c r="BM106" s="55">
        <v>-0.35581761197245504</v>
      </c>
    </row>
    <row r="107" spans="1:65" s="52" customFormat="1" x14ac:dyDescent="0.35">
      <c r="A107" s="15" t="s">
        <v>10778</v>
      </c>
      <c r="B107" s="15" t="s">
        <v>10319</v>
      </c>
      <c r="C107" s="15" t="s">
        <v>10591</v>
      </c>
      <c r="D107" s="15" t="s">
        <v>10321</v>
      </c>
      <c r="E107" s="15" t="s">
        <v>10875</v>
      </c>
      <c r="F107" s="15">
        <v>19004</v>
      </c>
      <c r="G107" s="15">
        <v>0.8971204331892636</v>
      </c>
      <c r="H107" s="15">
        <v>200</v>
      </c>
      <c r="I107" s="92">
        <v>3539.9166346551865</v>
      </c>
      <c r="J107" s="93">
        <v>-0.36913152473951683</v>
      </c>
      <c r="K107" s="15">
        <v>30</v>
      </c>
      <c r="L107" s="15">
        <v>90.041595388670146</v>
      </c>
      <c r="M107" s="15">
        <v>19.254265218692794</v>
      </c>
      <c r="N107" s="15">
        <v>6.6661347089703309</v>
      </c>
      <c r="O107" s="15">
        <v>1.2425308460111706</v>
      </c>
      <c r="P107" s="15">
        <v>2.5810690306346094</v>
      </c>
      <c r="Q107" s="15">
        <v>2.8425348323245521</v>
      </c>
      <c r="R107" s="15">
        <v>0.53162424304038391</v>
      </c>
      <c r="S107" s="15">
        <v>1.1140061022885455</v>
      </c>
      <c r="T107" s="15">
        <v>1.1969044869956229</v>
      </c>
      <c r="U107" s="15">
        <v>0</v>
      </c>
      <c r="V107" s="15">
        <v>0</v>
      </c>
      <c r="W107" s="15">
        <v>202.37651701615943</v>
      </c>
      <c r="X107" s="15">
        <v>0</v>
      </c>
      <c r="Y107" s="15">
        <v>3739.1503643946562</v>
      </c>
      <c r="Z107" s="15">
        <v>0</v>
      </c>
      <c r="AA107" s="15">
        <v>0</v>
      </c>
      <c r="AB107" s="15">
        <v>0</v>
      </c>
      <c r="AC107" s="15">
        <v>3739.1503643946562</v>
      </c>
      <c r="AD107" s="15">
        <v>199.23372973946971</v>
      </c>
      <c r="AE107" s="15">
        <v>-20.47344647640119</v>
      </c>
      <c r="AF107" s="15">
        <v>90.975437455193173</v>
      </c>
      <c r="AG107" s="15">
        <v>196.41158304630369</v>
      </c>
      <c r="AH107" s="15">
        <v>0</v>
      </c>
      <c r="AI107" s="15">
        <v>101.46076874999999</v>
      </c>
      <c r="AJ107" s="15">
        <v>0</v>
      </c>
      <c r="AK107" s="15">
        <v>-188.49807808562647</v>
      </c>
      <c r="AL107" s="15">
        <v>0</v>
      </c>
      <c r="AM107" s="15">
        <v>19.357465049999998</v>
      </c>
      <c r="AN107" s="15">
        <v>5.3283155349042599E-2</v>
      </c>
      <c r="AO107" s="15">
        <v>3539.9166346551865</v>
      </c>
      <c r="AP107" s="15">
        <v>0</v>
      </c>
      <c r="AQ107" s="15">
        <v>0</v>
      </c>
      <c r="AR107" s="15">
        <v>0</v>
      </c>
      <c r="AS107" s="15">
        <v>0</v>
      </c>
      <c r="AT107" s="15">
        <v>0</v>
      </c>
      <c r="AU107" s="15">
        <v>2033.2218098541384</v>
      </c>
      <c r="AV107" s="15">
        <v>125.80359762997909</v>
      </c>
      <c r="AW107" s="15">
        <v>125.80359762997909</v>
      </c>
      <c r="AX107" s="15">
        <v>0</v>
      </c>
      <c r="AY107" s="15">
        <v>0</v>
      </c>
      <c r="AZ107" s="15">
        <v>1342.95915472461</v>
      </c>
      <c r="BA107" s="15">
        <v>76.930878417473068</v>
      </c>
      <c r="BB107" s="15">
        <v>527.51178179464046</v>
      </c>
      <c r="BC107" s="15">
        <v>738.51649451249648</v>
      </c>
      <c r="BD107" s="15">
        <v>0</v>
      </c>
      <c r="BE107" s="15">
        <v>564.45905749954932</v>
      </c>
      <c r="BF107" s="15">
        <v>197.53919164565755</v>
      </c>
      <c r="BG107" s="15">
        <v>1.4723613094253221</v>
      </c>
      <c r="BH107" s="15">
        <v>365.44750454446648</v>
      </c>
      <c r="BI107" s="15">
        <v>0</v>
      </c>
      <c r="BJ107" s="15">
        <v>2033.2218098541384</v>
      </c>
      <c r="BK107" s="51">
        <v>2232.4555395936081</v>
      </c>
      <c r="BL107" s="51">
        <v>-0.34946303236259219</v>
      </c>
      <c r="BM107" s="51">
        <v>-0.36913152473951683</v>
      </c>
    </row>
    <row r="108" spans="1:65" x14ac:dyDescent="0.35">
      <c r="A108" s="15" t="s">
        <v>10778</v>
      </c>
      <c r="B108" s="15" t="s">
        <v>10319</v>
      </c>
      <c r="C108" s="15" t="s">
        <v>10591</v>
      </c>
      <c r="D108" s="15" t="s">
        <v>10322</v>
      </c>
      <c r="E108" s="15" t="s">
        <v>10876</v>
      </c>
      <c r="F108" s="15">
        <v>19004</v>
      </c>
      <c r="G108" s="15">
        <v>0.8971204331892636</v>
      </c>
      <c r="H108" s="15">
        <v>200</v>
      </c>
      <c r="I108" s="92">
        <v>3611.8824944124312</v>
      </c>
      <c r="J108" s="93">
        <v>-0.37036311015274137</v>
      </c>
      <c r="K108" s="15">
        <v>30</v>
      </c>
      <c r="L108" s="15">
        <v>90.041595388670146</v>
      </c>
      <c r="M108" s="15">
        <v>19.254265218692794</v>
      </c>
      <c r="N108" s="15">
        <v>6.6661347089703309</v>
      </c>
      <c r="O108" s="15">
        <v>1.2425308460111706</v>
      </c>
      <c r="P108" s="15">
        <v>2.5810690306346094</v>
      </c>
      <c r="Q108" s="15">
        <v>2.8425348323245521</v>
      </c>
      <c r="R108" s="15">
        <v>0.53162424304038391</v>
      </c>
      <c r="S108" s="15">
        <v>1.1140061022885455</v>
      </c>
      <c r="T108" s="15">
        <v>1.1969044869956229</v>
      </c>
      <c r="U108" s="15">
        <v>0</v>
      </c>
      <c r="V108" s="15">
        <v>0</v>
      </c>
      <c r="W108" s="15">
        <v>0</v>
      </c>
      <c r="X108" s="15">
        <v>202376.51701615943</v>
      </c>
      <c r="Y108" s="15">
        <v>3739.1503643946562</v>
      </c>
      <c r="Z108" s="15">
        <v>0</v>
      </c>
      <c r="AA108" s="15">
        <v>0</v>
      </c>
      <c r="AB108" s="15">
        <v>0</v>
      </c>
      <c r="AC108" s="15">
        <v>3739.1503643946562</v>
      </c>
      <c r="AD108" s="15">
        <v>127.26786998222497</v>
      </c>
      <c r="AE108" s="15">
        <v>-20.47344647640119</v>
      </c>
      <c r="AF108" s="15">
        <v>0</v>
      </c>
      <c r="AG108" s="15">
        <v>0</v>
      </c>
      <c r="AH108" s="15">
        <v>0</v>
      </c>
      <c r="AI108" s="15">
        <v>101.46076874999999</v>
      </c>
      <c r="AJ108" s="15">
        <v>0</v>
      </c>
      <c r="AK108" s="15">
        <v>26.923082658625923</v>
      </c>
      <c r="AL108" s="15">
        <v>0</v>
      </c>
      <c r="AM108" s="15">
        <v>19.357465049999998</v>
      </c>
      <c r="AN108" s="15">
        <v>3.4036574510110343E-2</v>
      </c>
      <c r="AO108" s="15">
        <v>3611.8824944124312</v>
      </c>
      <c r="AP108" s="15">
        <v>0</v>
      </c>
      <c r="AQ108" s="15">
        <v>0</v>
      </c>
      <c r="AR108" s="15">
        <v>0</v>
      </c>
      <c r="AS108" s="15">
        <v>0</v>
      </c>
      <c r="AT108" s="15">
        <v>0</v>
      </c>
      <c r="AU108" s="15">
        <v>2074.1744602756016</v>
      </c>
      <c r="AV108" s="15">
        <v>125.80359762997909</v>
      </c>
      <c r="AW108" s="15">
        <v>125.80359762997909</v>
      </c>
      <c r="AX108" s="15">
        <v>0</v>
      </c>
      <c r="AY108" s="15">
        <v>0</v>
      </c>
      <c r="AZ108" s="15">
        <v>1342.95915472461</v>
      </c>
      <c r="BA108" s="15">
        <v>76.930878417473068</v>
      </c>
      <c r="BB108" s="15">
        <v>527.51178179464046</v>
      </c>
      <c r="BC108" s="15">
        <v>738.51649451249648</v>
      </c>
      <c r="BD108" s="15">
        <v>0</v>
      </c>
      <c r="BE108" s="15">
        <v>605.41170792101275</v>
      </c>
      <c r="BF108" s="15">
        <v>211.90854267073243</v>
      </c>
      <c r="BG108" s="15">
        <v>1.4723613094253221</v>
      </c>
      <c r="BH108" s="15">
        <v>392.03080394085498</v>
      </c>
      <c r="BI108" s="15">
        <v>0</v>
      </c>
      <c r="BJ108" s="15">
        <v>2074.1744602756016</v>
      </c>
      <c r="BK108" s="15">
        <v>2201.4423302578266</v>
      </c>
      <c r="BL108" s="15">
        <v>-0.35775721855823139</v>
      </c>
      <c r="BM108" s="15">
        <v>-0.37036311015274137</v>
      </c>
    </row>
    <row r="109" spans="1:65" x14ac:dyDescent="0.35">
      <c r="A109" s="15" t="s">
        <v>10778</v>
      </c>
      <c r="B109" s="15" t="s">
        <v>10319</v>
      </c>
      <c r="C109" s="15" t="s">
        <v>10591</v>
      </c>
      <c r="D109" s="15" t="s">
        <v>10323</v>
      </c>
      <c r="E109" s="15" t="s">
        <v>10877</v>
      </c>
      <c r="F109" s="15">
        <v>19004</v>
      </c>
      <c r="G109" s="15">
        <v>0.8971204331892636</v>
      </c>
      <c r="H109" s="15">
        <v>200</v>
      </c>
      <c r="I109" s="92">
        <v>3095.8502196401873</v>
      </c>
      <c r="J109" s="93">
        <v>-0.41559765406899196</v>
      </c>
      <c r="K109" s="15">
        <v>30</v>
      </c>
      <c r="L109" s="15">
        <v>82.38704754745352</v>
      </c>
      <c r="M109" s="15">
        <v>16.507392546503063</v>
      </c>
      <c r="N109" s="15">
        <v>6.6661347089703309</v>
      </c>
      <c r="O109" s="15">
        <v>0.93672524930451107</v>
      </c>
      <c r="P109" s="15">
        <v>2.690285315172702</v>
      </c>
      <c r="Q109" s="15">
        <v>3.0391241444931194</v>
      </c>
      <c r="R109" s="15">
        <v>0.53162424304038391</v>
      </c>
      <c r="S109" s="15">
        <v>1.3105954144571124</v>
      </c>
      <c r="T109" s="15">
        <v>1.1969044869956229</v>
      </c>
      <c r="U109" s="15">
        <v>0</v>
      </c>
      <c r="V109" s="15">
        <v>0</v>
      </c>
      <c r="W109" s="15">
        <v>0</v>
      </c>
      <c r="X109" s="15">
        <v>0</v>
      </c>
      <c r="Y109" s="15">
        <v>3199.2093975536009</v>
      </c>
      <c r="Z109" s="15">
        <v>0</v>
      </c>
      <c r="AA109" s="15">
        <v>0</v>
      </c>
      <c r="AB109" s="15">
        <v>0</v>
      </c>
      <c r="AC109" s="15">
        <v>3199.2093975536009</v>
      </c>
      <c r="AD109" s="15">
        <v>103.35917791341353</v>
      </c>
      <c r="AE109" s="15">
        <v>-17.459055886586665</v>
      </c>
      <c r="AF109" s="15">
        <v>0</v>
      </c>
      <c r="AG109" s="15">
        <v>0</v>
      </c>
      <c r="AH109" s="15">
        <v>0</v>
      </c>
      <c r="AI109" s="15">
        <v>101.46076874999999</v>
      </c>
      <c r="AJ109" s="15">
        <v>0</v>
      </c>
      <c r="AK109" s="15">
        <v>0</v>
      </c>
      <c r="AL109" s="15">
        <v>0</v>
      </c>
      <c r="AM109" s="15">
        <v>19.357465049999998</v>
      </c>
      <c r="AN109" s="15">
        <v>3.2307725149985846E-2</v>
      </c>
      <c r="AO109" s="15">
        <v>3095.8502196401873</v>
      </c>
      <c r="AP109" s="15">
        <v>0</v>
      </c>
      <c r="AQ109" s="15">
        <v>0</v>
      </c>
      <c r="AR109" s="15">
        <v>0</v>
      </c>
      <c r="AS109" s="15">
        <v>0</v>
      </c>
      <c r="AT109" s="15">
        <v>0</v>
      </c>
      <c r="AU109" s="15">
        <v>1609.2221310087521</v>
      </c>
      <c r="AV109" s="15">
        <v>122.0617880956474</v>
      </c>
      <c r="AW109" s="15">
        <v>122.0617880956474</v>
      </c>
      <c r="AX109" s="15">
        <v>0</v>
      </c>
      <c r="AY109" s="15">
        <v>0</v>
      </c>
      <c r="AZ109" s="15">
        <v>959.33164110174221</v>
      </c>
      <c r="BA109" s="15">
        <v>76.930878417473068</v>
      </c>
      <c r="BB109" s="15">
        <v>367.66698445177883</v>
      </c>
      <c r="BC109" s="15">
        <v>514.73377823249029</v>
      </c>
      <c r="BD109" s="15">
        <v>0</v>
      </c>
      <c r="BE109" s="15">
        <v>527.82870181136241</v>
      </c>
      <c r="BF109" s="15">
        <v>184.68643526383758</v>
      </c>
      <c r="BG109" s="15">
        <v>1.4723613094253221</v>
      </c>
      <c r="BH109" s="15">
        <v>341.66990523809949</v>
      </c>
      <c r="BI109" s="15">
        <v>0</v>
      </c>
      <c r="BJ109" s="15">
        <v>1609.2221310087521</v>
      </c>
      <c r="BK109" s="15">
        <v>1712.5813089221656</v>
      </c>
      <c r="BL109" s="15">
        <v>-0.40217063928835206</v>
      </c>
      <c r="BM109" s="15">
        <v>-0.41559765406899196</v>
      </c>
    </row>
    <row r="110" spans="1:65" x14ac:dyDescent="0.35">
      <c r="A110" s="15" t="s">
        <v>10778</v>
      </c>
      <c r="B110" s="15" t="s">
        <v>10319</v>
      </c>
      <c r="C110" s="15" t="s">
        <v>10591</v>
      </c>
      <c r="D110" s="15" t="s">
        <v>10324</v>
      </c>
      <c r="E110" s="15" t="s">
        <v>10878</v>
      </c>
      <c r="F110" s="15">
        <v>19004</v>
      </c>
      <c r="G110" s="15">
        <v>0.8971204331892636</v>
      </c>
      <c r="H110" s="15">
        <v>200</v>
      </c>
      <c r="I110" s="92">
        <v>3446.8358268099951</v>
      </c>
      <c r="J110" s="93">
        <v>-0.44973524012745925</v>
      </c>
      <c r="K110" s="15">
        <v>30</v>
      </c>
      <c r="L110" s="15">
        <v>92.570209723276363</v>
      </c>
      <c r="M110" s="15">
        <v>17.510190955870119</v>
      </c>
      <c r="N110" s="15">
        <v>6.6661347089703309</v>
      </c>
      <c r="O110" s="15">
        <v>1.4938641229434788</v>
      </c>
      <c r="P110" s="15">
        <v>2.3319472438920021</v>
      </c>
      <c r="Q110" s="15">
        <v>2.8403233421348508</v>
      </c>
      <c r="R110" s="15">
        <v>0.53162424304038391</v>
      </c>
      <c r="S110" s="15">
        <v>0</v>
      </c>
      <c r="T110" s="15">
        <v>2.3086990990944667</v>
      </c>
      <c r="U110" s="15">
        <v>0</v>
      </c>
      <c r="V110" s="15">
        <v>0</v>
      </c>
      <c r="W110" s="15">
        <v>0</v>
      </c>
      <c r="X110" s="15">
        <v>0</v>
      </c>
      <c r="Y110" s="15">
        <v>3518.1215677087753</v>
      </c>
      <c r="Z110" s="15">
        <v>0</v>
      </c>
      <c r="AA110" s="15">
        <v>0</v>
      </c>
      <c r="AB110" s="15">
        <v>0</v>
      </c>
      <c r="AC110" s="15">
        <v>3518.1215677087753</v>
      </c>
      <c r="AD110" s="15">
        <v>71.285740898780205</v>
      </c>
      <c r="AE110" s="15">
        <v>-67.513481008719779</v>
      </c>
      <c r="AF110" s="15">
        <v>0</v>
      </c>
      <c r="AG110" s="15">
        <v>0</v>
      </c>
      <c r="AH110" s="15">
        <v>0</v>
      </c>
      <c r="AI110" s="15">
        <v>101.46076874999999</v>
      </c>
      <c r="AJ110" s="15">
        <v>0</v>
      </c>
      <c r="AK110" s="15">
        <v>0</v>
      </c>
      <c r="AL110" s="15">
        <v>0</v>
      </c>
      <c r="AM110" s="15">
        <v>37.338453157499984</v>
      </c>
      <c r="AN110" s="15">
        <v>2.026244389991504E-2</v>
      </c>
      <c r="AO110" s="15">
        <v>3446.8358268099951</v>
      </c>
      <c r="AP110" s="15">
        <v>0</v>
      </c>
      <c r="AQ110" s="15">
        <v>0</v>
      </c>
      <c r="AR110" s="15">
        <v>0</v>
      </c>
      <c r="AS110" s="15">
        <v>0</v>
      </c>
      <c r="AT110" s="15">
        <v>0</v>
      </c>
      <c r="AU110" s="15">
        <v>1696.6722885596723</v>
      </c>
      <c r="AV110" s="15">
        <v>134.43398679601523</v>
      </c>
      <c r="AW110" s="15">
        <v>134.43398679601523</v>
      </c>
      <c r="AX110" s="15">
        <v>0</v>
      </c>
      <c r="AY110" s="15">
        <v>0</v>
      </c>
      <c r="AZ110" s="15">
        <v>981.12770876083607</v>
      </c>
      <c r="BA110" s="15">
        <v>76.930878417473068</v>
      </c>
      <c r="BB110" s="15">
        <v>376.7486793097346</v>
      </c>
      <c r="BC110" s="15">
        <v>527.44815103362839</v>
      </c>
      <c r="BD110" s="15">
        <v>0</v>
      </c>
      <c r="BE110" s="15">
        <v>581.11059300282125</v>
      </c>
      <c r="BF110" s="15">
        <v>203.38183568189331</v>
      </c>
      <c r="BG110" s="15">
        <v>1.4723613094253221</v>
      </c>
      <c r="BH110" s="15">
        <v>376.2563960115026</v>
      </c>
      <c r="BI110" s="15">
        <v>0</v>
      </c>
      <c r="BJ110" s="15">
        <v>1696.6722885596723</v>
      </c>
      <c r="BK110" s="15">
        <v>1767.9580294584525</v>
      </c>
      <c r="BL110" s="15">
        <v>-0.4406225050545618</v>
      </c>
      <c r="BM110" s="15">
        <v>-0.44973524012745925</v>
      </c>
    </row>
    <row r="111" spans="1:65" x14ac:dyDescent="0.35">
      <c r="A111" s="15" t="s">
        <v>10778</v>
      </c>
      <c r="B111" s="15" t="s">
        <v>10319</v>
      </c>
      <c r="C111" s="15" t="s">
        <v>10591</v>
      </c>
      <c r="D111" s="15" t="s">
        <v>10325</v>
      </c>
      <c r="E111" s="15" t="s">
        <v>10879</v>
      </c>
      <c r="F111" s="15">
        <v>19004</v>
      </c>
      <c r="G111" s="15">
        <v>0.8971204331892636</v>
      </c>
      <c r="H111" s="15">
        <v>200</v>
      </c>
      <c r="I111" s="92">
        <v>9361.9581455890566</v>
      </c>
      <c r="J111" s="93">
        <v>-1.1016920700747894</v>
      </c>
      <c r="K111" s="15">
        <v>30</v>
      </c>
      <c r="L111" s="15">
        <v>104.51833067317604</v>
      </c>
      <c r="M111" s="15">
        <v>27.369787447691831</v>
      </c>
      <c r="N111" s="15">
        <v>6.6661347089703309</v>
      </c>
      <c r="O111" s="15">
        <v>4.8716096037511383</v>
      </c>
      <c r="P111" s="15">
        <v>1.2269020931859898</v>
      </c>
      <c r="Q111" s="15">
        <v>0.56762301203320442</v>
      </c>
      <c r="R111" s="15">
        <v>0.56762301203320442</v>
      </c>
      <c r="S111" s="15">
        <v>0</v>
      </c>
      <c r="T111" s="15">
        <v>0</v>
      </c>
      <c r="U111" s="15">
        <v>4226.788794549203</v>
      </c>
      <c r="V111" s="15">
        <v>0</v>
      </c>
      <c r="W111" s="15">
        <v>0</v>
      </c>
      <c r="X111" s="15">
        <v>0</v>
      </c>
      <c r="Y111" s="15">
        <v>5101.0549041881768</v>
      </c>
      <c r="Z111" s="15">
        <v>0</v>
      </c>
      <c r="AA111" s="15">
        <v>0</v>
      </c>
      <c r="AB111" s="15">
        <v>0</v>
      </c>
      <c r="AC111" s="15">
        <v>5101.0549041881768</v>
      </c>
      <c r="AD111" s="15">
        <v>-4260.9032414008798</v>
      </c>
      <c r="AE111" s="15">
        <v>-103.75957640666775</v>
      </c>
      <c r="AF111" s="15">
        <v>0</v>
      </c>
      <c r="AG111" s="15">
        <v>0</v>
      </c>
      <c r="AH111" s="15">
        <v>-4280.1440232236546</v>
      </c>
      <c r="AI111" s="15">
        <v>123.00035822944253</v>
      </c>
      <c r="AJ111" s="15">
        <v>0</v>
      </c>
      <c r="AK111" s="15">
        <v>0</v>
      </c>
      <c r="AL111" s="15">
        <v>0</v>
      </c>
      <c r="AM111" s="15">
        <v>0</v>
      </c>
      <c r="AN111" s="15">
        <v>-0.83529844736674019</v>
      </c>
      <c r="AO111" s="15">
        <v>9361.9581455890566</v>
      </c>
      <c r="AP111" s="15">
        <v>-4383.9035996303228</v>
      </c>
      <c r="AQ111" s="15">
        <v>-103.75957640666775</v>
      </c>
      <c r="AR111" s="15">
        <v>0</v>
      </c>
      <c r="AS111" s="15">
        <v>0</v>
      </c>
      <c r="AT111" s="15">
        <v>-4280.1440232236546</v>
      </c>
      <c r="AU111" s="15">
        <v>3231.8666958518352</v>
      </c>
      <c r="AV111" s="15">
        <v>174.44370236680564</v>
      </c>
      <c r="AW111" s="15">
        <v>174.44370236680564</v>
      </c>
      <c r="AX111" s="15">
        <v>0</v>
      </c>
      <c r="AY111" s="15">
        <v>0</v>
      </c>
      <c r="AZ111" s="15">
        <v>1633.2010587807376</v>
      </c>
      <c r="BA111" s="15">
        <v>82.718698010625431</v>
      </c>
      <c r="BB111" s="15">
        <v>646.03431698754684</v>
      </c>
      <c r="BC111" s="15">
        <v>904.44804378256538</v>
      </c>
      <c r="BD111" s="15">
        <v>0</v>
      </c>
      <c r="BE111" s="15">
        <v>1424.2219347042919</v>
      </c>
      <c r="BF111" s="15">
        <v>499.17150937824982</v>
      </c>
      <c r="BG111" s="15">
        <v>1.5831329762799125</v>
      </c>
      <c r="BH111" s="15">
        <v>923.46729234976215</v>
      </c>
      <c r="BI111" s="15">
        <v>0</v>
      </c>
      <c r="BJ111" s="15">
        <v>-1152.0369037784876</v>
      </c>
      <c r="BK111" s="15">
        <v>-5412.9401451793674</v>
      </c>
      <c r="BL111" s="15">
        <v>-2.0219337456845108</v>
      </c>
      <c r="BM111" s="15">
        <v>-1.1016920700747894</v>
      </c>
    </row>
    <row r="112" spans="1:65" x14ac:dyDescent="0.35">
      <c r="A112" s="15" t="s">
        <v>10778</v>
      </c>
      <c r="B112" s="15" t="s">
        <v>10319</v>
      </c>
      <c r="C112" s="15" t="s">
        <v>10591</v>
      </c>
      <c r="D112" s="15" t="s">
        <v>10326</v>
      </c>
      <c r="E112" s="15" t="s">
        <v>10880</v>
      </c>
      <c r="F112" s="15">
        <v>19004</v>
      </c>
      <c r="G112" s="15">
        <v>0.8971204331892636</v>
      </c>
      <c r="H112" s="15">
        <v>200</v>
      </c>
      <c r="I112" s="92">
        <v>7127.6115848493664</v>
      </c>
      <c r="J112" s="93">
        <v>-1.0038356121760938</v>
      </c>
      <c r="K112" s="15">
        <v>30</v>
      </c>
      <c r="L112" s="15">
        <v>88.226280214609062</v>
      </c>
      <c r="M112" s="15">
        <v>22.277450482387938</v>
      </c>
      <c r="N112" s="15">
        <v>6.6661347089703309</v>
      </c>
      <c r="O112" s="15">
        <v>4.8716096037511383</v>
      </c>
      <c r="P112" s="15">
        <v>1.2269020931859898</v>
      </c>
      <c r="Q112" s="15">
        <v>0.56762301203320442</v>
      </c>
      <c r="R112" s="15">
        <v>0.56762301203320442</v>
      </c>
      <c r="S112" s="15">
        <v>0</v>
      </c>
      <c r="T112" s="15">
        <v>0</v>
      </c>
      <c r="U112" s="15">
        <v>4226.788794549203</v>
      </c>
      <c r="V112" s="15">
        <v>0</v>
      </c>
      <c r="W112" s="15">
        <v>0</v>
      </c>
      <c r="X112" s="15">
        <v>0</v>
      </c>
      <c r="Y112" s="15">
        <v>4109.800878351065</v>
      </c>
      <c r="Z112" s="15">
        <v>0</v>
      </c>
      <c r="AA112" s="15">
        <v>0</v>
      </c>
      <c r="AB112" s="15">
        <v>0</v>
      </c>
      <c r="AC112" s="15">
        <v>4109.800878351065</v>
      </c>
      <c r="AD112" s="15">
        <v>-3017.8107064983014</v>
      </c>
      <c r="AE112" s="15">
        <v>-74.936478310938924</v>
      </c>
      <c r="AF112" s="15">
        <v>0</v>
      </c>
      <c r="AG112" s="15">
        <v>0</v>
      </c>
      <c r="AH112" s="15">
        <v>-3065.874586416805</v>
      </c>
      <c r="AI112" s="15">
        <v>123.00035822944253</v>
      </c>
      <c r="AJ112" s="15">
        <v>0</v>
      </c>
      <c r="AK112" s="15">
        <v>0</v>
      </c>
      <c r="AL112" s="15">
        <v>0</v>
      </c>
      <c r="AM112" s="15">
        <v>0</v>
      </c>
      <c r="AN112" s="15">
        <v>-0.734296087772775</v>
      </c>
      <c r="AO112" s="15">
        <v>7127.6115848493664</v>
      </c>
      <c r="AP112" s="15">
        <v>-3140.811064727744</v>
      </c>
      <c r="AQ112" s="15">
        <v>-74.936478310938924</v>
      </c>
      <c r="AR112" s="15">
        <v>0</v>
      </c>
      <c r="AS112" s="15">
        <v>0</v>
      </c>
      <c r="AT112" s="15">
        <v>-3065.874586416805</v>
      </c>
      <c r="AU112" s="15">
        <v>2913.4723109464289</v>
      </c>
      <c r="AV112" s="15">
        <v>174.44370236680564</v>
      </c>
      <c r="AW112" s="15">
        <v>174.44370236680564</v>
      </c>
      <c r="AX112" s="15">
        <v>0</v>
      </c>
      <c r="AY112" s="15">
        <v>0</v>
      </c>
      <c r="AZ112" s="15">
        <v>1633.2010587807376</v>
      </c>
      <c r="BA112" s="15">
        <v>82.718698010625431</v>
      </c>
      <c r="BB112" s="15">
        <v>646.03431698754684</v>
      </c>
      <c r="BC112" s="15">
        <v>904.44804378256538</v>
      </c>
      <c r="BD112" s="15">
        <v>0</v>
      </c>
      <c r="BE112" s="15">
        <v>1105.8275497988857</v>
      </c>
      <c r="BF112" s="15">
        <v>387.45418134126521</v>
      </c>
      <c r="BG112" s="15">
        <v>1.5831329762799125</v>
      </c>
      <c r="BH112" s="15">
        <v>716.79023548134069</v>
      </c>
      <c r="BI112" s="15">
        <v>0</v>
      </c>
      <c r="BJ112" s="15">
        <v>-227.33875378131506</v>
      </c>
      <c r="BK112" s="15">
        <v>-3245.1494602796165</v>
      </c>
      <c r="BL112" s="15">
        <v>-1.7409481749639879</v>
      </c>
      <c r="BM112" s="15">
        <v>-1.0038356121760938</v>
      </c>
    </row>
    <row r="113" spans="1:65" s="56" customFormat="1" x14ac:dyDescent="0.35">
      <c r="A113" s="55" t="s">
        <v>10778</v>
      </c>
      <c r="B113" s="55" t="s">
        <v>10319</v>
      </c>
      <c r="C113" s="55" t="s">
        <v>10863</v>
      </c>
      <c r="D113" s="55" t="s">
        <v>10323</v>
      </c>
      <c r="E113" s="55" t="s">
        <v>10881</v>
      </c>
      <c r="F113" s="55">
        <v>19004</v>
      </c>
      <c r="G113" s="55">
        <v>0.8971204331892636</v>
      </c>
      <c r="H113" s="55">
        <v>200</v>
      </c>
      <c r="I113" s="55">
        <v>3095.8502196401873</v>
      </c>
      <c r="J113" s="94">
        <v>-0.41559765406899196</v>
      </c>
      <c r="K113" s="55">
        <v>30</v>
      </c>
      <c r="L113" s="55">
        <v>82.38704754745352</v>
      </c>
      <c r="M113" s="55">
        <v>16.507392546503063</v>
      </c>
      <c r="N113" s="55">
        <v>6.6661347089703309</v>
      </c>
      <c r="O113" s="55">
        <v>0.93672524930451107</v>
      </c>
      <c r="P113" s="55">
        <v>2.690285315172702</v>
      </c>
      <c r="Q113" s="55">
        <v>3.0391241444931194</v>
      </c>
      <c r="R113" s="55">
        <v>0.53162424304038391</v>
      </c>
      <c r="S113" s="55">
        <v>1.3105954144571124</v>
      </c>
      <c r="T113" s="55">
        <v>1.1969044869956229</v>
      </c>
      <c r="U113" s="55">
        <v>0</v>
      </c>
      <c r="V113" s="55">
        <v>0</v>
      </c>
      <c r="W113" s="55">
        <v>0</v>
      </c>
      <c r="X113" s="55">
        <v>0</v>
      </c>
      <c r="Y113" s="55">
        <v>3199.2093975536009</v>
      </c>
      <c r="Z113" s="55">
        <v>0</v>
      </c>
      <c r="AA113" s="55">
        <v>0</v>
      </c>
      <c r="AB113" s="55">
        <v>0</v>
      </c>
      <c r="AC113" s="55">
        <v>3199.2093975536009</v>
      </c>
      <c r="AD113" s="55">
        <v>103.35917791341353</v>
      </c>
      <c r="AE113" s="55">
        <v>-17.459055886586665</v>
      </c>
      <c r="AF113" s="55">
        <v>0</v>
      </c>
      <c r="AG113" s="55">
        <v>0</v>
      </c>
      <c r="AH113" s="55">
        <v>0</v>
      </c>
      <c r="AI113" s="55">
        <v>101.46076874999999</v>
      </c>
      <c r="AJ113" s="55">
        <v>0</v>
      </c>
      <c r="AK113" s="55">
        <v>0</v>
      </c>
      <c r="AL113" s="55">
        <v>0</v>
      </c>
      <c r="AM113" s="55">
        <v>19.357465049999998</v>
      </c>
      <c r="AN113" s="55">
        <v>3.2307725149985846E-2</v>
      </c>
      <c r="AO113" s="55">
        <v>3095.8502196401873</v>
      </c>
      <c r="AP113" s="55">
        <v>0</v>
      </c>
      <c r="AQ113" s="55">
        <v>0</v>
      </c>
      <c r="AR113" s="55">
        <v>0</v>
      </c>
      <c r="AS113" s="55">
        <v>0</v>
      </c>
      <c r="AT113" s="55">
        <v>0</v>
      </c>
      <c r="AU113" s="55">
        <v>1609.2221310087521</v>
      </c>
      <c r="AV113" s="55">
        <v>122.0617880956474</v>
      </c>
      <c r="AW113" s="55">
        <v>122.0617880956474</v>
      </c>
      <c r="AX113" s="55">
        <v>0</v>
      </c>
      <c r="AY113" s="55">
        <v>0</v>
      </c>
      <c r="AZ113" s="55">
        <v>959.33164110174221</v>
      </c>
      <c r="BA113" s="55">
        <v>76.930878417473068</v>
      </c>
      <c r="BB113" s="55">
        <v>367.66698445177883</v>
      </c>
      <c r="BC113" s="55">
        <v>514.73377823249029</v>
      </c>
      <c r="BD113" s="55">
        <v>0</v>
      </c>
      <c r="BE113" s="55">
        <v>527.82870181136241</v>
      </c>
      <c r="BF113" s="55">
        <v>184.68643526383758</v>
      </c>
      <c r="BG113" s="55">
        <v>1.4723613094253221</v>
      </c>
      <c r="BH113" s="55">
        <v>341.66990523809949</v>
      </c>
      <c r="BI113" s="55">
        <v>0</v>
      </c>
      <c r="BJ113" s="55">
        <v>1609.2221310087521</v>
      </c>
      <c r="BK113" s="55">
        <v>1712.5813089221656</v>
      </c>
      <c r="BL113" s="55">
        <v>-0.40217063928835206</v>
      </c>
      <c r="BM113" s="55">
        <v>-0.41559765406899196</v>
      </c>
    </row>
    <row r="114" spans="1:65" s="52" customFormat="1" x14ac:dyDescent="0.35">
      <c r="A114" s="51" t="s">
        <v>10778</v>
      </c>
      <c r="B114" s="51" t="s">
        <v>10865</v>
      </c>
      <c r="C114" s="51" t="s">
        <v>9780</v>
      </c>
      <c r="D114" s="51" t="s">
        <v>9780</v>
      </c>
      <c r="E114" s="51" t="s">
        <v>10017</v>
      </c>
      <c r="F114" s="51">
        <f>F105</f>
        <v>170314</v>
      </c>
      <c r="G114" s="51">
        <f>G105</f>
        <v>0.89712419976575097</v>
      </c>
      <c r="H114" s="51">
        <f>(H105*N105+H113*N113)/(N105+N113)</f>
        <v>200</v>
      </c>
      <c r="I114" s="51">
        <f>(I105*N105+I113*N113)/(N105+N113)</f>
        <v>686.60330095819779</v>
      </c>
      <c r="J114" s="95">
        <f>(J105*N105+J113*N113)/(N105+N113)</f>
        <v>0.24477563257507409</v>
      </c>
      <c r="K114" s="51">
        <f>K105</f>
        <v>30</v>
      </c>
      <c r="L114" s="51">
        <f t="shared" ref="L114:W114" si="7">L105+L113</f>
        <v>207.12846684328503</v>
      </c>
      <c r="M114" s="51">
        <f t="shared" si="7"/>
        <v>37.459027150098294</v>
      </c>
      <c r="N114" s="51">
        <f t="shared" si="7"/>
        <v>66.408338116291901</v>
      </c>
      <c r="O114" s="51">
        <f t="shared" si="7"/>
        <v>9.3316996721013368</v>
      </c>
      <c r="P114" s="51">
        <f t="shared" si="7"/>
        <v>26.800745055282505</v>
      </c>
      <c r="Q114" s="51">
        <f t="shared" si="7"/>
        <v>30.275893388908056</v>
      </c>
      <c r="R114" s="51">
        <f t="shared" si="7"/>
        <v>5.2960649647742786</v>
      </c>
      <c r="S114" s="51">
        <f t="shared" si="7"/>
        <v>13.056211315353568</v>
      </c>
      <c r="T114" s="51">
        <f t="shared" si="7"/>
        <v>11.92361710878021</v>
      </c>
      <c r="U114" s="51">
        <f t="shared" si="7"/>
        <v>0</v>
      </c>
      <c r="V114" s="51">
        <f t="shared" si="7"/>
        <v>0</v>
      </c>
      <c r="W114" s="51">
        <f t="shared" si="7"/>
        <v>0</v>
      </c>
      <c r="X114" s="51">
        <f>(X105*N105+X113*N113)/(N105+N113)</f>
        <v>0</v>
      </c>
      <c r="Y114" s="51">
        <f>(Y105*N105+Y113*N113)/(N105+N113)</f>
        <v>789.96247887161121</v>
      </c>
      <c r="Z114" s="51">
        <f>(Z105*N105+Z113*N113)/(N105+N113)</f>
        <v>0</v>
      </c>
      <c r="AA114" s="51">
        <f>(AA105*N105+AA113*N113)/(N105+N113)</f>
        <v>0</v>
      </c>
      <c r="AB114" s="51">
        <f>(AB105*N105+AB113*N113)/(N105+N113)</f>
        <v>0</v>
      </c>
      <c r="AC114" s="51">
        <f>(AC105*N105+AC113*N113)/(N105+N113)</f>
        <v>789.96247887161121</v>
      </c>
      <c r="AD114" s="51">
        <f>(AD105*N105+AD113*N113)/(N105+N113)</f>
        <v>103.35917791341338</v>
      </c>
      <c r="AE114" s="51">
        <f>(AE105*N105+AE113*N113)/(N105+N113)</f>
        <v>-17.459055886586668</v>
      </c>
      <c r="AF114" s="51">
        <f>(AF105*N105+AF113*N113)/(N105+N113)</f>
        <v>0</v>
      </c>
      <c r="AG114" s="51">
        <f>(AG105*N105+AG113*N113)/(N105+N113)</f>
        <v>0</v>
      </c>
      <c r="AH114" s="51">
        <f>(AH105*N105+AH113*N113)/(N105+N113)</f>
        <v>0</v>
      </c>
      <c r="AI114" s="51">
        <f>(AI105*N105+AI113*N113)/(N105+N113)</f>
        <v>101.46076875000001</v>
      </c>
      <c r="AJ114" s="51">
        <f>(AJ105*N105+AJ113*N113)/(N105+N113)</f>
        <v>0</v>
      </c>
      <c r="AK114" s="51">
        <f>(AK105*N105+AK113*N113)/(N105+N113)</f>
        <v>0</v>
      </c>
      <c r="AL114" s="51">
        <f>(AL105*N105+AL113*N113)/(N105+N113)</f>
        <v>0</v>
      </c>
      <c r="AM114" s="51">
        <f>(AM105*N105+AM113*N113)/(N105+N113)</f>
        <v>19.357465049999995</v>
      </c>
      <c r="AN114" s="51">
        <f>(AN105*N105+AN113*N113)/(N105+N113)</f>
        <v>0.18166889591416518</v>
      </c>
      <c r="AO114" s="51">
        <f>(AO105*N105+AO113*N113)/(N105+N113)</f>
        <v>686.60330095819779</v>
      </c>
      <c r="AP114" s="51">
        <f>(AP105*N105+AP113*N113)/(N105+N113)</f>
        <v>0</v>
      </c>
      <c r="AQ114" s="51">
        <f>(AQ105*N105+AQ113*N113)/(N105+N113)</f>
        <v>0</v>
      </c>
      <c r="AR114" s="51">
        <f>(AR105*N105+AR113*N113)/(N105+N113)</f>
        <v>0</v>
      </c>
      <c r="AS114" s="51">
        <f>(AS105*N105+AS113*N113)/(N105+N113)</f>
        <v>0</v>
      </c>
      <c r="AT114" s="51">
        <f>(AT105*N105+AT113*N113)/(N105+N113)</f>
        <v>0</v>
      </c>
      <c r="AU114" s="51">
        <f>(AU105*N105+AU113*N113)/(N105+N113)</f>
        <v>477.14036710582548</v>
      </c>
      <c r="AV114" s="51">
        <f>(AV105*N105+AV113*N113)/(N105+N113)</f>
        <v>88.123691326239452</v>
      </c>
      <c r="AW114" s="51">
        <f>(AW105*N105+AW113*N113)/(N105+N113)</f>
        <v>88.123691326239452</v>
      </c>
      <c r="AX114" s="51">
        <f>(AX105*N105+AX113*N113)/(N105+N113)</f>
        <v>0</v>
      </c>
      <c r="AY114" s="51">
        <f>(AY105*N105+AY113*N113)/(N105+N113)</f>
        <v>0</v>
      </c>
      <c r="AZ114" s="51">
        <f>(AZ105*N105+AZ113*N113)/(N105+N113)</f>
        <v>260.95460722732287</v>
      </c>
      <c r="BA114" s="51">
        <f>(BA105*N105+BA113*N113)/(N105+N113)</f>
        <v>76.930878417473082</v>
      </c>
      <c r="BB114" s="51">
        <f>(BB105*N105+BB113*N113)/(N105+N113)</f>
        <v>76.676553670770744</v>
      </c>
      <c r="BC114" s="51">
        <f>(BC105*N105+BC113*N113)/(N105+N113)</f>
        <v>107.34717513907907</v>
      </c>
      <c r="BD114" s="51">
        <f>(BD105*N105+BD113*N113)/(N105+N113)</f>
        <v>0</v>
      </c>
      <c r="BE114" s="51">
        <f>(BE105*N105+BE113*N113)/(N105+N113)</f>
        <v>128.06206855226316</v>
      </c>
      <c r="BF114" s="51">
        <f>(BF105*N105+BF113*N113)/(N105+N113)</f>
        <v>44.417441137837841</v>
      </c>
      <c r="BG114" s="51">
        <f>(BG105*N105+BG113*N113)/(N105+N113)</f>
        <v>1.4723613094253221</v>
      </c>
      <c r="BH114" s="51">
        <f>(BH105*N105+BH113*N113)/(N105+N113)</f>
        <v>82.172266105000006</v>
      </c>
      <c r="BI114" s="51">
        <f>(BI105*N105+BI113*N113)/(N105+N113)</f>
        <v>0</v>
      </c>
      <c r="BJ114" s="51">
        <f>(BJ105*N105+BJ113*N113)/(N105+N113)</f>
        <v>477.14036710582548</v>
      </c>
      <c r="BK114" s="51">
        <f>(BK105*N105+BK113*N113)/(N105+N113)</f>
        <v>580.49954501923889</v>
      </c>
      <c r="BL114" s="51">
        <f>(BL105*N105+BL113*N113)/(N105+N113)</f>
        <v>0.18930175321531423</v>
      </c>
      <c r="BM114" s="51">
        <f>(BM105*N105+BM113*N113)/(N105+N113)</f>
        <v>0.24477563257507409</v>
      </c>
    </row>
    <row r="115" spans="1:65" s="56" customFormat="1" x14ac:dyDescent="0.35">
      <c r="A115" s="15" t="s">
        <v>10787</v>
      </c>
      <c r="B115" s="15" t="s">
        <v>10319</v>
      </c>
      <c r="C115" s="15" t="s">
        <v>10589</v>
      </c>
      <c r="D115" s="15" t="s">
        <v>10320</v>
      </c>
      <c r="E115" s="15" t="s">
        <v>10882</v>
      </c>
      <c r="F115" s="15">
        <v>170314</v>
      </c>
      <c r="G115" s="15">
        <v>0.89712419976575097</v>
      </c>
      <c r="H115" s="15">
        <v>200</v>
      </c>
      <c r="I115" s="92">
        <v>450.24985478235959</v>
      </c>
      <c r="J115" s="93">
        <v>0.30797540351158226</v>
      </c>
      <c r="K115" s="15">
        <v>30</v>
      </c>
      <c r="L115" s="15">
        <v>130.1866352599028</v>
      </c>
      <c r="M115" s="15">
        <v>22.141163330739925</v>
      </c>
      <c r="N115" s="15">
        <v>59.742203407321568</v>
      </c>
      <c r="O115" s="15">
        <v>11.135618133005998</v>
      </c>
      <c r="P115" s="15">
        <v>23.131658415035094</v>
      </c>
      <c r="Q115" s="15">
        <v>25.474926859280469</v>
      </c>
      <c r="R115" s="15">
        <v>4.7644407217338944</v>
      </c>
      <c r="S115" s="15">
        <v>9.9837735157619871</v>
      </c>
      <c r="T115" s="15">
        <v>10.726712621784587</v>
      </c>
      <c r="U115" s="15">
        <v>0</v>
      </c>
      <c r="V115" s="15">
        <v>7254.8303160901387</v>
      </c>
      <c r="W115" s="15">
        <v>0</v>
      </c>
      <c r="X115" s="15">
        <v>0</v>
      </c>
      <c r="Y115" s="15">
        <v>591.4053278758272</v>
      </c>
      <c r="Z115" s="15">
        <v>0</v>
      </c>
      <c r="AA115" s="15">
        <v>0</v>
      </c>
      <c r="AB115" s="15">
        <v>0</v>
      </c>
      <c r="AC115" s="15">
        <v>591.4053278758272</v>
      </c>
      <c r="AD115" s="15">
        <v>141.15547309346761</v>
      </c>
      <c r="AE115" s="15">
        <v>18.01753637820655</v>
      </c>
      <c r="AF115" s="15">
        <v>0</v>
      </c>
      <c r="AG115" s="15">
        <v>0</v>
      </c>
      <c r="AH115" s="15">
        <v>21.677167965261109</v>
      </c>
      <c r="AI115" s="15">
        <v>101.46076875000001</v>
      </c>
      <c r="AJ115" s="15">
        <v>0</v>
      </c>
      <c r="AK115" s="15">
        <v>0</v>
      </c>
      <c r="AL115" s="15">
        <v>0</v>
      </c>
      <c r="AM115" s="15">
        <v>0</v>
      </c>
      <c r="AN115" s="15">
        <v>0.23867805452558408</v>
      </c>
      <c r="AO115" s="15">
        <v>450.24985478235959</v>
      </c>
      <c r="AP115" s="15">
        <v>39.694704343467663</v>
      </c>
      <c r="AQ115" s="15">
        <v>18.01753637820655</v>
      </c>
      <c r="AR115" s="15">
        <v>0</v>
      </c>
      <c r="AS115" s="15">
        <v>0</v>
      </c>
      <c r="AT115" s="15">
        <v>21.677167965261109</v>
      </c>
      <c r="AU115" s="15">
        <v>349.22103114652037</v>
      </c>
      <c r="AV115" s="15">
        <v>61.280875000000009</v>
      </c>
      <c r="AW115" s="15">
        <v>61.280875000000009</v>
      </c>
      <c r="AX115" s="15">
        <v>0</v>
      </c>
      <c r="AY115" s="15">
        <v>0</v>
      </c>
      <c r="AZ115" s="15">
        <v>207.8490309837338</v>
      </c>
      <c r="BA115" s="15">
        <v>76.930878417473082</v>
      </c>
      <c r="BB115" s="15">
        <v>54.54923023594197</v>
      </c>
      <c r="BC115" s="15">
        <v>76.368922330318753</v>
      </c>
      <c r="BD115" s="15">
        <v>0</v>
      </c>
      <c r="BE115" s="15">
        <v>80.091125162786568</v>
      </c>
      <c r="BF115" s="15">
        <v>27.58553117661798</v>
      </c>
      <c r="BG115" s="15">
        <v>1.4723613094253221</v>
      </c>
      <c r="BH115" s="15">
        <v>51.03323267674326</v>
      </c>
      <c r="BI115" s="15">
        <v>0</v>
      </c>
      <c r="BJ115" s="15">
        <v>388.91573548998804</v>
      </c>
      <c r="BK115" s="55">
        <v>530.0712085834557</v>
      </c>
      <c r="BL115" s="55">
        <v>0.23446843335970607</v>
      </c>
      <c r="BM115" s="55">
        <v>0.30797540351158226</v>
      </c>
    </row>
    <row r="116" spans="1:65" x14ac:dyDescent="0.35">
      <c r="A116" s="15" t="s">
        <v>10787</v>
      </c>
      <c r="B116" s="15" t="s">
        <v>10319</v>
      </c>
      <c r="C116" s="15" t="s">
        <v>10589</v>
      </c>
      <c r="D116" s="15" t="s">
        <v>10321</v>
      </c>
      <c r="E116" s="15" t="s">
        <v>10883</v>
      </c>
      <c r="F116" s="15">
        <v>170314</v>
      </c>
      <c r="G116" s="15">
        <v>0.89712419976575097</v>
      </c>
      <c r="H116" s="15">
        <v>200</v>
      </c>
      <c r="I116" s="92">
        <v>587.26972987672775</v>
      </c>
      <c r="J116" s="93">
        <v>-2.4306492506034408E-2</v>
      </c>
      <c r="K116" s="15">
        <v>30</v>
      </c>
      <c r="L116" s="15">
        <v>130.1866352599028</v>
      </c>
      <c r="M116" s="15">
        <v>22.141163330739925</v>
      </c>
      <c r="N116" s="15">
        <v>59.742203407321568</v>
      </c>
      <c r="O116" s="15">
        <v>11.135618133005998</v>
      </c>
      <c r="P116" s="15">
        <v>23.131658415035094</v>
      </c>
      <c r="Q116" s="15">
        <v>25.474926859280469</v>
      </c>
      <c r="R116" s="15">
        <v>4.7644407217338944</v>
      </c>
      <c r="S116" s="15">
        <v>9.9837735157619871</v>
      </c>
      <c r="T116" s="15">
        <v>10.726712621784587</v>
      </c>
      <c r="U116" s="15">
        <v>0</v>
      </c>
      <c r="V116" s="15">
        <v>0</v>
      </c>
      <c r="W116" s="15">
        <v>1813.7075790225347</v>
      </c>
      <c r="X116" s="15">
        <v>0</v>
      </c>
      <c r="Y116" s="15">
        <v>591.4053278758272</v>
      </c>
      <c r="Z116" s="15">
        <v>0</v>
      </c>
      <c r="AA116" s="15">
        <v>0</v>
      </c>
      <c r="AB116" s="15">
        <v>0</v>
      </c>
      <c r="AC116" s="15">
        <v>591.4053278758272</v>
      </c>
      <c r="AD116" s="15">
        <v>4.1355979990994456</v>
      </c>
      <c r="AE116" s="15">
        <v>-20.473446476401193</v>
      </c>
      <c r="AF116" s="15">
        <v>10.151191062522814</v>
      </c>
      <c r="AG116" s="15">
        <v>-116.81975211590239</v>
      </c>
      <c r="AH116" s="15">
        <v>0</v>
      </c>
      <c r="AI116" s="15">
        <v>101.46076875000001</v>
      </c>
      <c r="AJ116" s="15">
        <v>0</v>
      </c>
      <c r="AK116" s="15">
        <v>29.816836778880234</v>
      </c>
      <c r="AL116" s="15">
        <v>0</v>
      </c>
      <c r="AM116" s="15">
        <v>0</v>
      </c>
      <c r="AN116" s="15">
        <v>6.9928318264453736E-3</v>
      </c>
      <c r="AO116" s="15">
        <v>587.26972987672775</v>
      </c>
      <c r="AP116" s="15">
        <v>0</v>
      </c>
      <c r="AQ116" s="15">
        <v>0</v>
      </c>
      <c r="AR116" s="15">
        <v>0</v>
      </c>
      <c r="AS116" s="15">
        <v>0</v>
      </c>
      <c r="AT116" s="15">
        <v>0</v>
      </c>
      <c r="AU116" s="15">
        <v>372.99526258845827</v>
      </c>
      <c r="AV116" s="15">
        <v>61.280875000000009</v>
      </c>
      <c r="AW116" s="15">
        <v>61.280875000000009</v>
      </c>
      <c r="AX116" s="15">
        <v>0</v>
      </c>
      <c r="AY116" s="15">
        <v>0</v>
      </c>
      <c r="AZ116" s="15">
        <v>207.8490309837338</v>
      </c>
      <c r="BA116" s="15">
        <v>76.930878417473082</v>
      </c>
      <c r="BB116" s="15">
        <v>54.54923023594197</v>
      </c>
      <c r="BC116" s="15">
        <v>76.368922330318753</v>
      </c>
      <c r="BD116" s="15">
        <v>0</v>
      </c>
      <c r="BE116" s="15">
        <v>103.86535660472447</v>
      </c>
      <c r="BF116" s="15">
        <v>35.9273667702804</v>
      </c>
      <c r="BG116" s="15">
        <v>1.4723613094253221</v>
      </c>
      <c r="BH116" s="15">
        <v>66.465628525018744</v>
      </c>
      <c r="BI116" s="15">
        <v>0</v>
      </c>
      <c r="BJ116" s="15">
        <v>372.99526258845827</v>
      </c>
      <c r="BK116" s="15">
        <v>377.13086058755772</v>
      </c>
      <c r="BL116" s="15">
        <v>-2.4136521291648956E-2</v>
      </c>
      <c r="BM116" s="15">
        <v>-2.4306492506034408E-2</v>
      </c>
    </row>
    <row r="117" spans="1:65" x14ac:dyDescent="0.35">
      <c r="A117" s="15" t="s">
        <v>10787</v>
      </c>
      <c r="B117" s="15" t="s">
        <v>10319</v>
      </c>
      <c r="C117" s="15" t="s">
        <v>10589</v>
      </c>
      <c r="D117" s="15" t="s">
        <v>10322</v>
      </c>
      <c r="E117" s="15" t="s">
        <v>10884</v>
      </c>
      <c r="F117" s="15">
        <v>170314</v>
      </c>
      <c r="G117" s="15">
        <v>0.89712419976575097</v>
      </c>
      <c r="H117" s="15">
        <v>200</v>
      </c>
      <c r="I117" s="92">
        <v>476.45358128886591</v>
      </c>
      <c r="J117" s="93">
        <v>0.17072263604241811</v>
      </c>
      <c r="K117" s="15">
        <v>30</v>
      </c>
      <c r="L117" s="15">
        <v>130.1866352599028</v>
      </c>
      <c r="M117" s="15">
        <v>22.141163330739925</v>
      </c>
      <c r="N117" s="15">
        <v>59.742203407321568</v>
      </c>
      <c r="O117" s="15">
        <v>11.135618133005998</v>
      </c>
      <c r="P117" s="15">
        <v>23.131658415035094</v>
      </c>
      <c r="Q117" s="15">
        <v>25.474926859280469</v>
      </c>
      <c r="R117" s="15">
        <v>4.7644407217338944</v>
      </c>
      <c r="S117" s="15">
        <v>9.9837735157619871</v>
      </c>
      <c r="T117" s="15">
        <v>10.726712621784587</v>
      </c>
      <c r="U117" s="15">
        <v>0</v>
      </c>
      <c r="V117" s="15">
        <v>0</v>
      </c>
      <c r="W117" s="15">
        <v>0</v>
      </c>
      <c r="X117" s="15">
        <v>1813707.5790225347</v>
      </c>
      <c r="Y117" s="15">
        <v>591.4053278758272</v>
      </c>
      <c r="Z117" s="15">
        <v>0</v>
      </c>
      <c r="AA117" s="15">
        <v>0</v>
      </c>
      <c r="AB117" s="15">
        <v>0</v>
      </c>
      <c r="AC117" s="15">
        <v>591.4053278758272</v>
      </c>
      <c r="AD117" s="15">
        <v>114.95174658696129</v>
      </c>
      <c r="AE117" s="15">
        <v>-20.473446476401193</v>
      </c>
      <c r="AF117" s="15">
        <v>0</v>
      </c>
      <c r="AG117" s="15">
        <v>0</v>
      </c>
      <c r="AH117" s="15">
        <v>0</v>
      </c>
      <c r="AI117" s="15">
        <v>101.46076875000001</v>
      </c>
      <c r="AJ117" s="15">
        <v>0</v>
      </c>
      <c r="AK117" s="15">
        <v>33.964424313362571</v>
      </c>
      <c r="AL117" s="15">
        <v>0</v>
      </c>
      <c r="AM117" s="15">
        <v>0</v>
      </c>
      <c r="AN117" s="15">
        <v>0.19437049544318075</v>
      </c>
      <c r="AO117" s="15">
        <v>476.45358128886591</v>
      </c>
      <c r="AP117" s="15">
        <v>0</v>
      </c>
      <c r="AQ117" s="15">
        <v>0</v>
      </c>
      <c r="AR117" s="15">
        <v>0</v>
      </c>
      <c r="AS117" s="15">
        <v>0</v>
      </c>
      <c r="AT117" s="15">
        <v>0</v>
      </c>
      <c r="AU117" s="15">
        <v>357.79499263835169</v>
      </c>
      <c r="AV117" s="15">
        <v>61.280875000000009</v>
      </c>
      <c r="AW117" s="15">
        <v>61.280875000000009</v>
      </c>
      <c r="AX117" s="15">
        <v>0</v>
      </c>
      <c r="AY117" s="15">
        <v>0</v>
      </c>
      <c r="AZ117" s="15">
        <v>207.8490309837338</v>
      </c>
      <c r="BA117" s="15">
        <v>76.930878417473082</v>
      </c>
      <c r="BB117" s="15">
        <v>54.54923023594197</v>
      </c>
      <c r="BC117" s="15">
        <v>76.368922330318753</v>
      </c>
      <c r="BD117" s="15">
        <v>0</v>
      </c>
      <c r="BE117" s="15">
        <v>88.66508665461788</v>
      </c>
      <c r="BF117" s="15">
        <v>30.593938717611422</v>
      </c>
      <c r="BG117" s="15">
        <v>1.4723613094253221</v>
      </c>
      <c r="BH117" s="15">
        <v>56.598786627581134</v>
      </c>
      <c r="BI117" s="15">
        <v>0</v>
      </c>
      <c r="BJ117" s="15">
        <v>357.79499263835169</v>
      </c>
      <c r="BK117" s="15">
        <v>472.74673922531298</v>
      </c>
      <c r="BL117" s="15">
        <v>0.13753919269148748</v>
      </c>
      <c r="BM117" s="15">
        <v>0.17072263604241811</v>
      </c>
    </row>
    <row r="118" spans="1:65" x14ac:dyDescent="0.35">
      <c r="A118" s="15" t="s">
        <v>10787</v>
      </c>
      <c r="B118" s="15" t="s">
        <v>10319</v>
      </c>
      <c r="C118" s="15" t="s">
        <v>10589</v>
      </c>
      <c r="D118" s="15" t="s">
        <v>10323</v>
      </c>
      <c r="E118" s="15" t="s">
        <v>10885</v>
      </c>
      <c r="F118" s="15">
        <v>170314</v>
      </c>
      <c r="G118" s="15">
        <v>0.89712419976575097</v>
      </c>
      <c r="H118" s="15">
        <v>200</v>
      </c>
      <c r="I118" s="92">
        <v>389.77440929856664</v>
      </c>
      <c r="J118" s="93">
        <v>0.27392786746831138</v>
      </c>
      <c r="K118" s="15">
        <v>30</v>
      </c>
      <c r="L118" s="15">
        <v>86.849303575158316</v>
      </c>
      <c r="M118" s="15">
        <v>18.696007107108528</v>
      </c>
      <c r="N118" s="15">
        <v>59.742203407321568</v>
      </c>
      <c r="O118" s="15">
        <v>8.3949744227968264</v>
      </c>
      <c r="P118" s="15">
        <v>24.110459740109803</v>
      </c>
      <c r="Q118" s="15">
        <v>27.236769244414937</v>
      </c>
      <c r="R118" s="15">
        <v>4.7644407217338944</v>
      </c>
      <c r="S118" s="15">
        <v>11.745615900896455</v>
      </c>
      <c r="T118" s="15">
        <v>10.726712621784587</v>
      </c>
      <c r="U118" s="15">
        <v>0</v>
      </c>
      <c r="V118" s="15">
        <v>0</v>
      </c>
      <c r="W118" s="15">
        <v>0</v>
      </c>
      <c r="X118" s="15">
        <v>0</v>
      </c>
      <c r="Y118" s="15">
        <v>473.77612216197997</v>
      </c>
      <c r="Z118" s="15">
        <v>0</v>
      </c>
      <c r="AA118" s="15">
        <v>0</v>
      </c>
      <c r="AB118" s="15">
        <v>0</v>
      </c>
      <c r="AC118" s="15">
        <v>473.77612216197997</v>
      </c>
      <c r="AD118" s="15">
        <v>84.001712863413331</v>
      </c>
      <c r="AE118" s="15">
        <v>-17.459055886586668</v>
      </c>
      <c r="AF118" s="15">
        <v>0</v>
      </c>
      <c r="AG118" s="15">
        <v>0</v>
      </c>
      <c r="AH118" s="15">
        <v>0</v>
      </c>
      <c r="AI118" s="15">
        <v>101.46076875000001</v>
      </c>
      <c r="AJ118" s="15">
        <v>0</v>
      </c>
      <c r="AK118" s="15">
        <v>0</v>
      </c>
      <c r="AL118" s="15">
        <v>0</v>
      </c>
      <c r="AM118" s="15">
        <v>0</v>
      </c>
      <c r="AN118" s="15">
        <v>0.17730254635900344</v>
      </c>
      <c r="AO118" s="15">
        <v>389.77440929856664</v>
      </c>
      <c r="AP118" s="15">
        <v>0</v>
      </c>
      <c r="AQ118" s="15">
        <v>0</v>
      </c>
      <c r="AR118" s="15">
        <v>0</v>
      </c>
      <c r="AS118" s="15">
        <v>0</v>
      </c>
      <c r="AT118" s="15">
        <v>0</v>
      </c>
      <c r="AU118" s="15">
        <v>296.54448203144369</v>
      </c>
      <c r="AV118" s="15">
        <v>59.642499999999998</v>
      </c>
      <c r="AW118" s="15">
        <v>59.642499999999998</v>
      </c>
      <c r="AX118" s="15">
        <v>0</v>
      </c>
      <c r="AY118" s="15">
        <v>0</v>
      </c>
      <c r="AZ118" s="15">
        <v>165.42860785009762</v>
      </c>
      <c r="BA118" s="15">
        <v>76.930878417473082</v>
      </c>
      <c r="BB118" s="15">
        <v>36.874053930260224</v>
      </c>
      <c r="BC118" s="15">
        <v>51.623675502364314</v>
      </c>
      <c r="BD118" s="15">
        <v>0</v>
      </c>
      <c r="BE118" s="15">
        <v>71.47337418134606</v>
      </c>
      <c r="BF118" s="15">
        <v>24.561758902428334</v>
      </c>
      <c r="BG118" s="15">
        <v>1.4723613094253221</v>
      </c>
      <c r="BH118" s="15">
        <v>45.439253969492412</v>
      </c>
      <c r="BI118" s="15">
        <v>0</v>
      </c>
      <c r="BJ118" s="15">
        <v>296.54448203144369</v>
      </c>
      <c r="BK118" s="15">
        <v>380.54619489485702</v>
      </c>
      <c r="BL118" s="15">
        <v>0.22535975904748815</v>
      </c>
      <c r="BM118" s="15">
        <v>0.27392786746831138</v>
      </c>
    </row>
    <row r="119" spans="1:65" x14ac:dyDescent="0.35">
      <c r="A119" s="15" t="s">
        <v>10787</v>
      </c>
      <c r="B119" s="15" t="s">
        <v>10319</v>
      </c>
      <c r="C119" s="15" t="s">
        <v>10589</v>
      </c>
      <c r="D119" s="15" t="s">
        <v>10324</v>
      </c>
      <c r="E119" s="15" t="s">
        <v>10886</v>
      </c>
      <c r="F119" s="15">
        <v>170314</v>
      </c>
      <c r="G119" s="15">
        <v>0.89712419976575097</v>
      </c>
      <c r="H119" s="15">
        <v>200</v>
      </c>
      <c r="I119" s="92">
        <v>512.64148789716853</v>
      </c>
      <c r="J119" s="93">
        <v>1.2866403160844583E-2</v>
      </c>
      <c r="K119" s="15">
        <v>30</v>
      </c>
      <c r="L119" s="15">
        <v>149.88324256218974</v>
      </c>
      <c r="M119" s="15">
        <v>21.263072664987906</v>
      </c>
      <c r="N119" s="15">
        <v>59.742203407321568</v>
      </c>
      <c r="O119" s="15">
        <v>13.388078428072244</v>
      </c>
      <c r="P119" s="15">
        <v>20.899017595949228</v>
      </c>
      <c r="Q119" s="15">
        <v>25.455107383300088</v>
      </c>
      <c r="R119" s="15">
        <v>4.7644407217338944</v>
      </c>
      <c r="S119" s="15">
        <v>0</v>
      </c>
      <c r="T119" s="15">
        <v>20.690666661566201</v>
      </c>
      <c r="U119" s="15">
        <v>0</v>
      </c>
      <c r="V119" s="15">
        <v>0</v>
      </c>
      <c r="W119" s="15">
        <v>0</v>
      </c>
      <c r="X119" s="15">
        <v>0</v>
      </c>
      <c r="Y119" s="15">
        <v>595.72848756297492</v>
      </c>
      <c r="Z119" s="15">
        <v>0</v>
      </c>
      <c r="AA119" s="15">
        <v>0</v>
      </c>
      <c r="AB119" s="15">
        <v>0</v>
      </c>
      <c r="AC119" s="15">
        <v>595.72848756297492</v>
      </c>
      <c r="AD119" s="15">
        <v>83.086999665806388</v>
      </c>
      <c r="AE119" s="15">
        <v>-18.373769084193693</v>
      </c>
      <c r="AF119" s="15">
        <v>0</v>
      </c>
      <c r="AG119" s="15">
        <v>0</v>
      </c>
      <c r="AH119" s="15">
        <v>0</v>
      </c>
      <c r="AI119" s="15">
        <v>101.46076875000001</v>
      </c>
      <c r="AJ119" s="15">
        <v>0</v>
      </c>
      <c r="AK119" s="15">
        <v>0</v>
      </c>
      <c r="AL119" s="15">
        <v>0</v>
      </c>
      <c r="AM119" s="15">
        <v>0</v>
      </c>
      <c r="AN119" s="15">
        <v>0.13947125477531103</v>
      </c>
      <c r="AO119" s="15">
        <v>512.64148789716853</v>
      </c>
      <c r="AP119" s="15">
        <v>0</v>
      </c>
      <c r="AQ119" s="15">
        <v>0</v>
      </c>
      <c r="AR119" s="15">
        <v>0</v>
      </c>
      <c r="AS119" s="15">
        <v>0</v>
      </c>
      <c r="AT119" s="15">
        <v>0</v>
      </c>
      <c r="AU119" s="15">
        <v>319.23733995742873</v>
      </c>
      <c r="AV119" s="15">
        <v>65.018000000000001</v>
      </c>
      <c r="AW119" s="15">
        <v>65.018000000000001</v>
      </c>
      <c r="AX119" s="15">
        <v>0</v>
      </c>
      <c r="AY119" s="15">
        <v>0</v>
      </c>
      <c r="AZ119" s="15">
        <v>165.2374070757819</v>
      </c>
      <c r="BA119" s="15">
        <v>76.930878417473082</v>
      </c>
      <c r="BB119" s="15">
        <v>36.794386940962006</v>
      </c>
      <c r="BC119" s="15">
        <v>51.512141717346815</v>
      </c>
      <c r="BD119" s="15">
        <v>0</v>
      </c>
      <c r="BE119" s="15">
        <v>88.981932881646856</v>
      </c>
      <c r="BF119" s="15">
        <v>30.705112832358431</v>
      </c>
      <c r="BG119" s="15">
        <v>1.4723613094253221</v>
      </c>
      <c r="BH119" s="15">
        <v>56.804458739863094</v>
      </c>
      <c r="BI119" s="15">
        <v>0</v>
      </c>
      <c r="BJ119" s="15">
        <v>319.23733995742873</v>
      </c>
      <c r="BK119" s="15">
        <v>402.32433962323512</v>
      </c>
      <c r="BL119" s="15">
        <v>1.1071909767556561E-2</v>
      </c>
      <c r="BM119" s="15">
        <v>1.2866403160844583E-2</v>
      </c>
    </row>
    <row r="120" spans="1:65" x14ac:dyDescent="0.35">
      <c r="A120" s="15" t="s">
        <v>10787</v>
      </c>
      <c r="B120" s="15" t="s">
        <v>10319</v>
      </c>
      <c r="C120" s="15" t="s">
        <v>10589</v>
      </c>
      <c r="D120" s="15" t="s">
        <v>10325</v>
      </c>
      <c r="E120" s="15" t="s">
        <v>10887</v>
      </c>
      <c r="F120" s="15">
        <v>170314</v>
      </c>
      <c r="G120" s="15">
        <v>0.89712419976575097</v>
      </c>
      <c r="H120" s="15">
        <v>200</v>
      </c>
      <c r="I120" s="92">
        <v>736.93963724393927</v>
      </c>
      <c r="J120" s="93">
        <v>0.12886445457336429</v>
      </c>
      <c r="K120" s="15">
        <v>30</v>
      </c>
      <c r="L120" s="15">
        <v>291.80837274289229</v>
      </c>
      <c r="M120" s="15">
        <v>35.424194358414489</v>
      </c>
      <c r="N120" s="15">
        <v>59.742203407321568</v>
      </c>
      <c r="O120" s="15">
        <v>43.659587538295725</v>
      </c>
      <c r="P120" s="15">
        <v>10.995552537117536</v>
      </c>
      <c r="Q120" s="15">
        <v>5.0870633319083076</v>
      </c>
      <c r="R120" s="15">
        <v>5.0870633319083076</v>
      </c>
      <c r="S120" s="15">
        <v>0</v>
      </c>
      <c r="T120" s="15">
        <v>0</v>
      </c>
      <c r="U120" s="15">
        <v>37880.674025975488</v>
      </c>
      <c r="V120" s="15">
        <v>0</v>
      </c>
      <c r="W120" s="15">
        <v>0</v>
      </c>
      <c r="X120" s="15">
        <v>0</v>
      </c>
      <c r="Y120" s="15">
        <v>1034.0189599796645</v>
      </c>
      <c r="Z120" s="15">
        <v>0</v>
      </c>
      <c r="AA120" s="15">
        <v>0</v>
      </c>
      <c r="AB120" s="15">
        <v>0</v>
      </c>
      <c r="AC120" s="15">
        <v>1034.0189599796645</v>
      </c>
      <c r="AD120" s="15">
        <v>297.07932273572521</v>
      </c>
      <c r="AE120" s="15">
        <v>28.278527226227812</v>
      </c>
      <c r="AF120" s="15">
        <v>0</v>
      </c>
      <c r="AG120" s="15">
        <v>0</v>
      </c>
      <c r="AH120" s="15">
        <v>143.09264735454559</v>
      </c>
      <c r="AI120" s="15">
        <v>123.00035822944254</v>
      </c>
      <c r="AJ120" s="15">
        <v>2.7077899255091906</v>
      </c>
      <c r="AK120" s="15">
        <v>0</v>
      </c>
      <c r="AL120" s="15">
        <v>0</v>
      </c>
      <c r="AM120" s="15">
        <v>0</v>
      </c>
      <c r="AN120" s="15">
        <v>0.28730548880996121</v>
      </c>
      <c r="AO120" s="15">
        <v>736.93963724393927</v>
      </c>
      <c r="AP120" s="15">
        <v>171.37117458077341</v>
      </c>
      <c r="AQ120" s="15">
        <v>28.278527226227812</v>
      </c>
      <c r="AR120" s="15">
        <v>0</v>
      </c>
      <c r="AS120" s="15">
        <v>0</v>
      </c>
      <c r="AT120" s="15">
        <v>143.09264735454559</v>
      </c>
      <c r="AU120" s="15">
        <v>460.53378707009904</v>
      </c>
      <c r="AV120" s="15">
        <v>81.594999999999985</v>
      </c>
      <c r="AW120" s="15">
        <v>81.594999999999985</v>
      </c>
      <c r="AX120" s="15">
        <v>0</v>
      </c>
      <c r="AY120" s="15">
        <v>0</v>
      </c>
      <c r="AZ120" s="15">
        <v>254.42834467447716</v>
      </c>
      <c r="BA120" s="15">
        <v>82.718698010625431</v>
      </c>
      <c r="BB120" s="15">
        <v>71.545686109938231</v>
      </c>
      <c r="BC120" s="15">
        <v>100.16396055391353</v>
      </c>
      <c r="BD120" s="15">
        <v>0</v>
      </c>
      <c r="BE120" s="15">
        <v>124.51044239562188</v>
      </c>
      <c r="BF120" s="15">
        <v>43.132389269944554</v>
      </c>
      <c r="BG120" s="15">
        <v>1.5831329762799127</v>
      </c>
      <c r="BH120" s="15">
        <v>79.794920149397413</v>
      </c>
      <c r="BI120" s="15">
        <v>0</v>
      </c>
      <c r="BJ120" s="15">
        <v>631.90496165087245</v>
      </c>
      <c r="BK120" s="15">
        <v>928.98428438659766</v>
      </c>
      <c r="BL120" s="15">
        <v>9.1840989461934835E-2</v>
      </c>
      <c r="BM120" s="15">
        <v>0.12886445457336429</v>
      </c>
    </row>
    <row r="121" spans="1:65" x14ac:dyDescent="0.35">
      <c r="A121" s="15" t="s">
        <v>10787</v>
      </c>
      <c r="B121" s="15" t="s">
        <v>10319</v>
      </c>
      <c r="C121" s="15" t="s">
        <v>10589</v>
      </c>
      <c r="D121" s="15" t="s">
        <v>10326</v>
      </c>
      <c r="E121" s="15" t="s">
        <v>10888</v>
      </c>
      <c r="F121" s="15">
        <v>170314</v>
      </c>
      <c r="G121" s="15">
        <v>0.89712419976575097</v>
      </c>
      <c r="H121" s="15">
        <v>200</v>
      </c>
      <c r="I121" s="92">
        <v>674.19809587428563</v>
      </c>
      <c r="J121" s="93">
        <v>0.23971140726576648</v>
      </c>
      <c r="K121" s="15">
        <v>30</v>
      </c>
      <c r="L121" s="15">
        <v>330.88737825572343</v>
      </c>
      <c r="M121" s="15">
        <v>30.189105477921959</v>
      </c>
      <c r="N121" s="15">
        <v>59.742203407321568</v>
      </c>
      <c r="O121" s="15">
        <v>43.659587538295725</v>
      </c>
      <c r="P121" s="15">
        <v>10.995552537117536</v>
      </c>
      <c r="Q121" s="15">
        <v>5.0870633319083076</v>
      </c>
      <c r="R121" s="15">
        <v>5.0870633319083076</v>
      </c>
      <c r="S121" s="15">
        <v>0</v>
      </c>
      <c r="T121" s="15">
        <v>0</v>
      </c>
      <c r="U121" s="15">
        <v>37880.674025975488</v>
      </c>
      <c r="V121" s="15">
        <v>0</v>
      </c>
      <c r="W121" s="15">
        <v>0</v>
      </c>
      <c r="X121" s="15">
        <v>0</v>
      </c>
      <c r="Y121" s="15">
        <v>984.44216694239731</v>
      </c>
      <c r="Z121" s="15">
        <v>0</v>
      </c>
      <c r="AA121" s="15">
        <v>0</v>
      </c>
      <c r="AB121" s="15">
        <v>0</v>
      </c>
      <c r="AC121" s="15">
        <v>984.44216694239731</v>
      </c>
      <c r="AD121" s="15">
        <v>310.24407106811168</v>
      </c>
      <c r="AE121" s="15">
        <v>30.522781980146696</v>
      </c>
      <c r="AF121" s="15">
        <v>0</v>
      </c>
      <c r="AG121" s="15">
        <v>0</v>
      </c>
      <c r="AH121" s="15">
        <v>153.64233029059614</v>
      </c>
      <c r="AI121" s="15">
        <v>123.00035822944254</v>
      </c>
      <c r="AJ121" s="15">
        <v>3.0786005679263186</v>
      </c>
      <c r="AK121" s="15">
        <v>0</v>
      </c>
      <c r="AL121" s="15">
        <v>0</v>
      </c>
      <c r="AM121" s="15">
        <v>0</v>
      </c>
      <c r="AN121" s="15">
        <v>0.31514707667562253</v>
      </c>
      <c r="AO121" s="15">
        <v>674.19809587428563</v>
      </c>
      <c r="AP121" s="15">
        <v>184.16511227074284</v>
      </c>
      <c r="AQ121" s="15">
        <v>30.522781980146696</v>
      </c>
      <c r="AR121" s="15">
        <v>0</v>
      </c>
      <c r="AS121" s="15">
        <v>0</v>
      </c>
      <c r="AT121" s="15">
        <v>153.64233029059614</v>
      </c>
      <c r="AU121" s="15">
        <v>451.64595794146783</v>
      </c>
      <c r="AV121" s="15">
        <v>81.594999999999985</v>
      </c>
      <c r="AW121" s="15">
        <v>81.594999999999985</v>
      </c>
      <c r="AX121" s="15">
        <v>0</v>
      </c>
      <c r="AY121" s="15">
        <v>0</v>
      </c>
      <c r="AZ121" s="15">
        <v>254.42834467447716</v>
      </c>
      <c r="BA121" s="15">
        <v>82.718698010625431</v>
      </c>
      <c r="BB121" s="15">
        <v>71.545686109938231</v>
      </c>
      <c r="BC121" s="15">
        <v>100.16396055391353</v>
      </c>
      <c r="BD121" s="15">
        <v>0</v>
      </c>
      <c r="BE121" s="15">
        <v>115.62261326699067</v>
      </c>
      <c r="BF121" s="15">
        <v>40.013852733582723</v>
      </c>
      <c r="BG121" s="15">
        <v>1.5831329762799127</v>
      </c>
      <c r="BH121" s="15">
        <v>74.025627557128033</v>
      </c>
      <c r="BI121" s="15">
        <v>0</v>
      </c>
      <c r="BJ121" s="15">
        <v>635.81107021221067</v>
      </c>
      <c r="BK121" s="15">
        <v>946.05514128032235</v>
      </c>
      <c r="BL121" s="15">
        <v>0.16416705802016057</v>
      </c>
      <c r="BM121" s="15">
        <v>0.23971140726576648</v>
      </c>
    </row>
    <row r="122" spans="1:65" s="56" customFormat="1" x14ac:dyDescent="0.35">
      <c r="A122" s="55" t="s">
        <v>10787</v>
      </c>
      <c r="B122" s="55" t="s">
        <v>10319</v>
      </c>
      <c r="C122" s="55" t="s">
        <v>10854</v>
      </c>
      <c r="D122" s="55" t="s">
        <v>10323</v>
      </c>
      <c r="E122" s="55" t="s">
        <v>10889</v>
      </c>
      <c r="F122" s="55">
        <v>170314</v>
      </c>
      <c r="G122" s="55">
        <v>0.89712419976575097</v>
      </c>
      <c r="H122" s="55">
        <v>200</v>
      </c>
      <c r="I122" s="55">
        <v>389.77440929856664</v>
      </c>
      <c r="J122" s="94">
        <v>0.27392786746831138</v>
      </c>
      <c r="K122" s="55">
        <v>30</v>
      </c>
      <c r="L122" s="55">
        <v>86.849303575158316</v>
      </c>
      <c r="M122" s="55">
        <v>18.696007107108528</v>
      </c>
      <c r="N122" s="55">
        <v>59.742203407321568</v>
      </c>
      <c r="O122" s="55">
        <v>8.3949744227968264</v>
      </c>
      <c r="P122" s="55">
        <v>24.110459740109803</v>
      </c>
      <c r="Q122" s="55">
        <v>27.236769244414937</v>
      </c>
      <c r="R122" s="55">
        <v>4.7644407217338944</v>
      </c>
      <c r="S122" s="55">
        <v>11.745615900896455</v>
      </c>
      <c r="T122" s="55">
        <v>10.726712621784587</v>
      </c>
      <c r="U122" s="55">
        <v>0</v>
      </c>
      <c r="V122" s="55">
        <v>0</v>
      </c>
      <c r="W122" s="55">
        <v>0</v>
      </c>
      <c r="X122" s="55">
        <v>0</v>
      </c>
      <c r="Y122" s="55">
        <v>473.77612216197997</v>
      </c>
      <c r="Z122" s="55">
        <v>0</v>
      </c>
      <c r="AA122" s="55">
        <v>0</v>
      </c>
      <c r="AB122" s="55">
        <v>0</v>
      </c>
      <c r="AC122" s="55">
        <v>473.77612216197997</v>
      </c>
      <c r="AD122" s="55">
        <v>84.001712863413331</v>
      </c>
      <c r="AE122" s="55">
        <v>-17.459055886586668</v>
      </c>
      <c r="AF122" s="55">
        <v>0</v>
      </c>
      <c r="AG122" s="55">
        <v>0</v>
      </c>
      <c r="AH122" s="55">
        <v>0</v>
      </c>
      <c r="AI122" s="55">
        <v>101.46076875000001</v>
      </c>
      <c r="AJ122" s="55">
        <v>0</v>
      </c>
      <c r="AK122" s="55">
        <v>0</v>
      </c>
      <c r="AL122" s="55">
        <v>0</v>
      </c>
      <c r="AM122" s="55">
        <v>0</v>
      </c>
      <c r="AN122" s="55">
        <v>0.17730254635900344</v>
      </c>
      <c r="AO122" s="55">
        <v>389.77440929856664</v>
      </c>
      <c r="AP122" s="55">
        <v>0</v>
      </c>
      <c r="AQ122" s="55">
        <v>0</v>
      </c>
      <c r="AR122" s="55">
        <v>0</v>
      </c>
      <c r="AS122" s="55">
        <v>0</v>
      </c>
      <c r="AT122" s="55">
        <v>0</v>
      </c>
      <c r="AU122" s="55">
        <v>296.54448203144369</v>
      </c>
      <c r="AV122" s="55">
        <v>59.642499999999998</v>
      </c>
      <c r="AW122" s="55">
        <v>59.642499999999998</v>
      </c>
      <c r="AX122" s="55">
        <v>0</v>
      </c>
      <c r="AY122" s="55">
        <v>0</v>
      </c>
      <c r="AZ122" s="55">
        <v>165.42860785009762</v>
      </c>
      <c r="BA122" s="55">
        <v>76.930878417473082</v>
      </c>
      <c r="BB122" s="55">
        <v>36.874053930260224</v>
      </c>
      <c r="BC122" s="55">
        <v>51.623675502364314</v>
      </c>
      <c r="BD122" s="55">
        <v>0</v>
      </c>
      <c r="BE122" s="55">
        <v>71.47337418134606</v>
      </c>
      <c r="BF122" s="55">
        <v>24.561758902428334</v>
      </c>
      <c r="BG122" s="55">
        <v>1.4723613094253221</v>
      </c>
      <c r="BH122" s="55">
        <v>45.439253969492412</v>
      </c>
      <c r="BI122" s="55">
        <v>0</v>
      </c>
      <c r="BJ122" s="55">
        <v>296.54448203144369</v>
      </c>
      <c r="BK122" s="55">
        <v>380.54619489485702</v>
      </c>
      <c r="BL122" s="55">
        <v>0.22535975904748815</v>
      </c>
      <c r="BM122" s="55">
        <v>0.27392786746831138</v>
      </c>
    </row>
    <row r="123" spans="1:65" s="56" customFormat="1" x14ac:dyDescent="0.35">
      <c r="A123" s="15" t="s">
        <v>10787</v>
      </c>
      <c r="B123" s="15" t="s">
        <v>10319</v>
      </c>
      <c r="C123" s="15" t="s">
        <v>10591</v>
      </c>
      <c r="D123" s="15" t="s">
        <v>10320</v>
      </c>
      <c r="E123" s="15" t="s">
        <v>10890</v>
      </c>
      <c r="F123" s="15">
        <v>19004</v>
      </c>
      <c r="G123" s="15">
        <v>0.8971204331892636</v>
      </c>
      <c r="H123" s="15">
        <v>200</v>
      </c>
      <c r="I123" s="92">
        <v>3301.1715646401653</v>
      </c>
      <c r="J123" s="93">
        <v>-0.38895450978889523</v>
      </c>
      <c r="K123" s="15">
        <v>30</v>
      </c>
      <c r="L123" s="15">
        <v>61.510293800529645</v>
      </c>
      <c r="M123" s="15">
        <v>16.384678085413036</v>
      </c>
      <c r="N123" s="15">
        <v>6.6661347089703309</v>
      </c>
      <c r="O123" s="15">
        <v>1.2425308460111706</v>
      </c>
      <c r="P123" s="15">
        <v>2.5810690306346094</v>
      </c>
      <c r="Q123" s="15">
        <v>2.8425348323245521</v>
      </c>
      <c r="R123" s="15">
        <v>0.53162424304038391</v>
      </c>
      <c r="S123" s="15">
        <v>1.1140061022885455</v>
      </c>
      <c r="T123" s="15">
        <v>1.1969044869956229</v>
      </c>
      <c r="U123" s="15">
        <v>0</v>
      </c>
      <c r="V123" s="15">
        <v>809.5060680646377</v>
      </c>
      <c r="W123" s="15">
        <v>0</v>
      </c>
      <c r="X123" s="15">
        <v>0</v>
      </c>
      <c r="Y123" s="15">
        <v>3442.327037733633</v>
      </c>
      <c r="Z123" s="15">
        <v>0</v>
      </c>
      <c r="AA123" s="15">
        <v>0</v>
      </c>
      <c r="AB123" s="15">
        <v>0</v>
      </c>
      <c r="AC123" s="15">
        <v>3442.327037733633</v>
      </c>
      <c r="AD123" s="15">
        <v>141.15547309346766</v>
      </c>
      <c r="AE123" s="15">
        <v>18.017536378206557</v>
      </c>
      <c r="AF123" s="15">
        <v>0</v>
      </c>
      <c r="AG123" s="15">
        <v>0</v>
      </c>
      <c r="AH123" s="15">
        <v>21.677167965261127</v>
      </c>
      <c r="AI123" s="15">
        <v>101.46076874999999</v>
      </c>
      <c r="AJ123" s="15">
        <v>0</v>
      </c>
      <c r="AK123" s="15">
        <v>0</v>
      </c>
      <c r="AL123" s="15">
        <v>0</v>
      </c>
      <c r="AM123" s="15">
        <v>0</v>
      </c>
      <c r="AN123" s="15">
        <v>4.1005828774015013E-2</v>
      </c>
      <c r="AO123" s="15">
        <v>3301.1715646401653</v>
      </c>
      <c r="AP123" s="15">
        <v>39.694704343467684</v>
      </c>
      <c r="AQ123" s="15">
        <v>18.017536378206557</v>
      </c>
      <c r="AR123" s="15">
        <v>0</v>
      </c>
      <c r="AS123" s="15">
        <v>0</v>
      </c>
      <c r="AT123" s="15">
        <v>21.677167965261127</v>
      </c>
      <c r="AU123" s="15">
        <v>1777.471292643042</v>
      </c>
      <c r="AV123" s="15">
        <v>61.280875000000002</v>
      </c>
      <c r="AW123" s="15">
        <v>61.280875000000002</v>
      </c>
      <c r="AX123" s="15">
        <v>0</v>
      </c>
      <c r="AY123" s="15">
        <v>0</v>
      </c>
      <c r="AZ123" s="15">
        <v>1229.8429488255183</v>
      </c>
      <c r="BA123" s="15">
        <v>76.930878417473068</v>
      </c>
      <c r="BB123" s="15">
        <v>480.3800293366856</v>
      </c>
      <c r="BC123" s="15">
        <v>672.5320410713598</v>
      </c>
      <c r="BD123" s="15">
        <v>0</v>
      </c>
      <c r="BE123" s="15">
        <v>486.34746881752392</v>
      </c>
      <c r="BF123" s="15">
        <v>170.13161666950828</v>
      </c>
      <c r="BG123" s="15">
        <v>1.4723613094253221</v>
      </c>
      <c r="BH123" s="15">
        <v>314.74349083859033</v>
      </c>
      <c r="BI123" s="15">
        <v>0</v>
      </c>
      <c r="BJ123" s="15">
        <v>1817.1659969865098</v>
      </c>
      <c r="BK123" s="55">
        <v>1958.3214700799774</v>
      </c>
      <c r="BL123" s="55">
        <v>-0.37300510775961088</v>
      </c>
      <c r="BM123" s="55">
        <v>-0.38895450978889523</v>
      </c>
    </row>
    <row r="124" spans="1:65" s="52" customFormat="1" x14ac:dyDescent="0.35">
      <c r="A124" s="15" t="s">
        <v>10787</v>
      </c>
      <c r="B124" s="15" t="s">
        <v>10319</v>
      </c>
      <c r="C124" s="15" t="s">
        <v>10591</v>
      </c>
      <c r="D124" s="15" t="s">
        <v>10321</v>
      </c>
      <c r="E124" s="15" t="s">
        <v>10891</v>
      </c>
      <c r="F124" s="15">
        <v>19004</v>
      </c>
      <c r="G124" s="15">
        <v>0.8971204331892636</v>
      </c>
      <c r="H124" s="15">
        <v>200</v>
      </c>
      <c r="I124" s="92">
        <v>4376.0452475646935</v>
      </c>
      <c r="J124" s="93">
        <v>-0.51502540607224034</v>
      </c>
      <c r="K124" s="15">
        <v>30</v>
      </c>
      <c r="L124" s="15">
        <v>61.510293800529645</v>
      </c>
      <c r="M124" s="15">
        <v>16.384678085413036</v>
      </c>
      <c r="N124" s="15">
        <v>6.6661347089703309</v>
      </c>
      <c r="O124" s="15">
        <v>1.2425308460111706</v>
      </c>
      <c r="P124" s="15">
        <v>2.5810690306346094</v>
      </c>
      <c r="Q124" s="15">
        <v>2.8425348323245521</v>
      </c>
      <c r="R124" s="15">
        <v>0.53162424304038391</v>
      </c>
      <c r="S124" s="15">
        <v>1.1140061022885455</v>
      </c>
      <c r="T124" s="15">
        <v>1.1969044869956229</v>
      </c>
      <c r="U124" s="15">
        <v>0</v>
      </c>
      <c r="V124" s="15">
        <v>0</v>
      </c>
      <c r="W124" s="15">
        <v>202.37651701615943</v>
      </c>
      <c r="X124" s="15">
        <v>0</v>
      </c>
      <c r="Y124" s="15">
        <v>3442.327037733633</v>
      </c>
      <c r="Z124" s="15">
        <v>0</v>
      </c>
      <c r="AA124" s="15">
        <v>0</v>
      </c>
      <c r="AB124" s="15">
        <v>0</v>
      </c>
      <c r="AC124" s="15">
        <v>3442.327037733633</v>
      </c>
      <c r="AD124" s="15">
        <v>-933.71820983106045</v>
      </c>
      <c r="AE124" s="15">
        <v>-20.47344647640119</v>
      </c>
      <c r="AF124" s="15">
        <v>90.975437455193173</v>
      </c>
      <c r="AG124" s="15">
        <v>-1046.9439484188176</v>
      </c>
      <c r="AH124" s="15">
        <v>0</v>
      </c>
      <c r="AI124" s="15">
        <v>101.46076874999999</v>
      </c>
      <c r="AJ124" s="15">
        <v>0</v>
      </c>
      <c r="AK124" s="15">
        <v>-58.737021141035584</v>
      </c>
      <c r="AL124" s="15">
        <v>0</v>
      </c>
      <c r="AM124" s="15">
        <v>0</v>
      </c>
      <c r="AN124" s="15">
        <v>-0.2712462237306203</v>
      </c>
      <c r="AO124" s="15">
        <v>4376.0452475646935</v>
      </c>
      <c r="AP124" s="15">
        <v>0</v>
      </c>
      <c r="AQ124" s="15">
        <v>0</v>
      </c>
      <c r="AR124" s="15">
        <v>0</v>
      </c>
      <c r="AS124" s="15">
        <v>0</v>
      </c>
      <c r="AT124" s="15">
        <v>0</v>
      </c>
      <c r="AU124" s="15">
        <v>1922.2707669471897</v>
      </c>
      <c r="AV124" s="15">
        <v>61.280875000000002</v>
      </c>
      <c r="AW124" s="15">
        <v>61.280875000000002</v>
      </c>
      <c r="AX124" s="15">
        <v>0</v>
      </c>
      <c r="AY124" s="15">
        <v>0</v>
      </c>
      <c r="AZ124" s="15">
        <v>1229.8429488255183</v>
      </c>
      <c r="BA124" s="15">
        <v>76.930878417473068</v>
      </c>
      <c r="BB124" s="15">
        <v>480.3800293366856</v>
      </c>
      <c r="BC124" s="15">
        <v>672.5320410713598</v>
      </c>
      <c r="BD124" s="15">
        <v>0</v>
      </c>
      <c r="BE124" s="15">
        <v>631.14694312167148</v>
      </c>
      <c r="BF124" s="15">
        <v>220.93844975868288</v>
      </c>
      <c r="BG124" s="15">
        <v>1.4723613094253221</v>
      </c>
      <c r="BH124" s="15">
        <v>408.73613205356332</v>
      </c>
      <c r="BI124" s="15">
        <v>0</v>
      </c>
      <c r="BJ124" s="15">
        <v>1922.2707669471897</v>
      </c>
      <c r="BK124" s="51">
        <v>988.55255711612926</v>
      </c>
      <c r="BL124" s="51">
        <v>-0.65472410259466485</v>
      </c>
      <c r="BM124" s="51">
        <v>-0.51502540607224034</v>
      </c>
    </row>
    <row r="125" spans="1:65" x14ac:dyDescent="0.35">
      <c r="A125" s="15" t="s">
        <v>10787</v>
      </c>
      <c r="B125" s="15" t="s">
        <v>10319</v>
      </c>
      <c r="C125" s="15" t="s">
        <v>10591</v>
      </c>
      <c r="D125" s="15" t="s">
        <v>10322</v>
      </c>
      <c r="E125" s="15" t="s">
        <v>10892</v>
      </c>
      <c r="F125" s="15">
        <v>19004</v>
      </c>
      <c r="G125" s="15">
        <v>0.8971204331892636</v>
      </c>
      <c r="H125" s="15">
        <v>200</v>
      </c>
      <c r="I125" s="92">
        <v>3382.9058678814081</v>
      </c>
      <c r="J125" s="93">
        <v>-0.41291737585986632</v>
      </c>
      <c r="K125" s="15">
        <v>30</v>
      </c>
      <c r="L125" s="15">
        <v>61.510293800529645</v>
      </c>
      <c r="M125" s="15">
        <v>16.384678085413036</v>
      </c>
      <c r="N125" s="15">
        <v>6.6661347089703309</v>
      </c>
      <c r="O125" s="15">
        <v>1.2425308460111706</v>
      </c>
      <c r="P125" s="15">
        <v>2.5810690306346094</v>
      </c>
      <c r="Q125" s="15">
        <v>2.8425348323245521</v>
      </c>
      <c r="R125" s="15">
        <v>0.53162424304038391</v>
      </c>
      <c r="S125" s="15">
        <v>1.1140061022885455</v>
      </c>
      <c r="T125" s="15">
        <v>1.1969044869956229</v>
      </c>
      <c r="U125" s="15">
        <v>0</v>
      </c>
      <c r="V125" s="15">
        <v>0</v>
      </c>
      <c r="W125" s="15">
        <v>0</v>
      </c>
      <c r="X125" s="15">
        <v>202376.51701615943</v>
      </c>
      <c r="Y125" s="15">
        <v>3442.327037733633</v>
      </c>
      <c r="Z125" s="15">
        <v>0</v>
      </c>
      <c r="AA125" s="15">
        <v>0</v>
      </c>
      <c r="AB125" s="15">
        <v>0</v>
      </c>
      <c r="AC125" s="15">
        <v>3442.327037733633</v>
      </c>
      <c r="AD125" s="15">
        <v>59.421169852224921</v>
      </c>
      <c r="AE125" s="15">
        <v>-20.47344647640119</v>
      </c>
      <c r="AF125" s="15">
        <v>0</v>
      </c>
      <c r="AG125" s="15">
        <v>0</v>
      </c>
      <c r="AH125" s="15">
        <v>0</v>
      </c>
      <c r="AI125" s="15">
        <v>101.46076874999999</v>
      </c>
      <c r="AJ125" s="15">
        <v>0</v>
      </c>
      <c r="AK125" s="15">
        <v>-21.566152421374102</v>
      </c>
      <c r="AL125" s="15">
        <v>0</v>
      </c>
      <c r="AM125" s="15">
        <v>0</v>
      </c>
      <c r="AN125" s="15">
        <v>1.726191881273046E-2</v>
      </c>
      <c r="AO125" s="15">
        <v>3382.9058678814081</v>
      </c>
      <c r="AP125" s="15">
        <v>0</v>
      </c>
      <c r="AQ125" s="15">
        <v>0</v>
      </c>
      <c r="AR125" s="15">
        <v>0</v>
      </c>
      <c r="AS125" s="15">
        <v>0</v>
      </c>
      <c r="AT125" s="15">
        <v>0</v>
      </c>
      <c r="AU125" s="15">
        <v>1786.0452541348734</v>
      </c>
      <c r="AV125" s="15">
        <v>61.280875000000002</v>
      </c>
      <c r="AW125" s="15">
        <v>61.280875000000002</v>
      </c>
      <c r="AX125" s="15">
        <v>0</v>
      </c>
      <c r="AY125" s="15">
        <v>0</v>
      </c>
      <c r="AZ125" s="15">
        <v>1229.8429488255183</v>
      </c>
      <c r="BA125" s="15">
        <v>76.930878417473068</v>
      </c>
      <c r="BB125" s="15">
        <v>480.3800293366856</v>
      </c>
      <c r="BC125" s="15">
        <v>672.5320410713598</v>
      </c>
      <c r="BD125" s="15">
        <v>0</v>
      </c>
      <c r="BE125" s="15">
        <v>494.92143030935517</v>
      </c>
      <c r="BF125" s="15">
        <v>173.14002421050171</v>
      </c>
      <c r="BG125" s="15">
        <v>1.4723613094253221</v>
      </c>
      <c r="BH125" s="15">
        <v>320.30904478942813</v>
      </c>
      <c r="BI125" s="15">
        <v>0</v>
      </c>
      <c r="BJ125" s="15">
        <v>1786.0452541348734</v>
      </c>
      <c r="BK125" s="15">
        <v>1845.4664239870983</v>
      </c>
      <c r="BL125" s="15">
        <v>-0.40578962964140758</v>
      </c>
      <c r="BM125" s="15">
        <v>-0.41291737585986632</v>
      </c>
    </row>
    <row r="126" spans="1:65" x14ac:dyDescent="0.35">
      <c r="A126" s="15" t="s">
        <v>10787</v>
      </c>
      <c r="B126" s="15" t="s">
        <v>10319</v>
      </c>
      <c r="C126" s="15" t="s">
        <v>10591</v>
      </c>
      <c r="D126" s="15" t="s">
        <v>10323</v>
      </c>
      <c r="E126" s="15" t="s">
        <v>10893</v>
      </c>
      <c r="F126" s="15">
        <v>19004</v>
      </c>
      <c r="G126" s="15">
        <v>0.8971204331892636</v>
      </c>
      <c r="H126" s="15">
        <v>200</v>
      </c>
      <c r="I126" s="92">
        <v>2816.8854647112657</v>
      </c>
      <c r="J126" s="93">
        <v>-0.45931366104712379</v>
      </c>
      <c r="K126" s="15">
        <v>30</v>
      </c>
      <c r="L126" s="15">
        <v>53.8070459598637</v>
      </c>
      <c r="M126" s="15">
        <v>13.640260630969568</v>
      </c>
      <c r="N126" s="15">
        <v>6.6661347089703309</v>
      </c>
      <c r="O126" s="15">
        <v>0.93672524930451107</v>
      </c>
      <c r="P126" s="15">
        <v>2.690285315172702</v>
      </c>
      <c r="Q126" s="15">
        <v>3.0391241444931194</v>
      </c>
      <c r="R126" s="15">
        <v>0.53162424304038391</v>
      </c>
      <c r="S126" s="15">
        <v>1.3105954144571124</v>
      </c>
      <c r="T126" s="15">
        <v>1.1969044869956229</v>
      </c>
      <c r="U126" s="15">
        <v>0</v>
      </c>
      <c r="V126" s="15">
        <v>0</v>
      </c>
      <c r="W126" s="15">
        <v>0</v>
      </c>
      <c r="X126" s="15">
        <v>0</v>
      </c>
      <c r="Y126" s="15">
        <v>2900.8871775746793</v>
      </c>
      <c r="Z126" s="15">
        <v>0</v>
      </c>
      <c r="AA126" s="15">
        <v>0</v>
      </c>
      <c r="AB126" s="15">
        <v>0</v>
      </c>
      <c r="AC126" s="15">
        <v>2900.8871775746793</v>
      </c>
      <c r="AD126" s="15">
        <v>84.001712863413559</v>
      </c>
      <c r="AE126" s="15">
        <v>-17.459055886586665</v>
      </c>
      <c r="AF126" s="15">
        <v>0</v>
      </c>
      <c r="AG126" s="15">
        <v>0</v>
      </c>
      <c r="AH126" s="15">
        <v>0</v>
      </c>
      <c r="AI126" s="15">
        <v>101.46076874999999</v>
      </c>
      <c r="AJ126" s="15">
        <v>0</v>
      </c>
      <c r="AK126" s="15">
        <v>0</v>
      </c>
      <c r="AL126" s="15">
        <v>0</v>
      </c>
      <c r="AM126" s="15">
        <v>0</v>
      </c>
      <c r="AN126" s="15">
        <v>2.895724918665888E-2</v>
      </c>
      <c r="AO126" s="15">
        <v>2816.8854647112657</v>
      </c>
      <c r="AP126" s="15">
        <v>0</v>
      </c>
      <c r="AQ126" s="15">
        <v>0</v>
      </c>
      <c r="AR126" s="15">
        <v>0</v>
      </c>
      <c r="AS126" s="15">
        <v>0</v>
      </c>
      <c r="AT126" s="15">
        <v>0</v>
      </c>
      <c r="AU126" s="15">
        <v>1323.0514891643056</v>
      </c>
      <c r="AV126" s="15">
        <v>59.642500000000005</v>
      </c>
      <c r="AW126" s="15">
        <v>59.642500000000005</v>
      </c>
      <c r="AX126" s="15">
        <v>0</v>
      </c>
      <c r="AY126" s="15">
        <v>0</v>
      </c>
      <c r="AZ126" s="15">
        <v>846.07228958664996</v>
      </c>
      <c r="BA126" s="15">
        <v>76.930878417473068</v>
      </c>
      <c r="BB126" s="15">
        <v>320.47558798715704</v>
      </c>
      <c r="BC126" s="15">
        <v>448.66582318201989</v>
      </c>
      <c r="BD126" s="15">
        <v>0</v>
      </c>
      <c r="BE126" s="15">
        <v>417.33669957765568</v>
      </c>
      <c r="BF126" s="15">
        <v>145.9173116730633</v>
      </c>
      <c r="BG126" s="15">
        <v>1.4723613094253221</v>
      </c>
      <c r="BH126" s="15">
        <v>269.94702659516707</v>
      </c>
      <c r="BI126" s="15">
        <v>0</v>
      </c>
      <c r="BJ126" s="15">
        <v>1323.0514891643056</v>
      </c>
      <c r="BK126" s="15">
        <v>1407.0532020277192</v>
      </c>
      <c r="BL126" s="15">
        <v>-0.44601320090934565</v>
      </c>
      <c r="BM126" s="15">
        <v>-0.45931366104712379</v>
      </c>
    </row>
    <row r="127" spans="1:65" x14ac:dyDescent="0.35">
      <c r="A127" s="15" t="s">
        <v>10787</v>
      </c>
      <c r="B127" s="15" t="s">
        <v>10319</v>
      </c>
      <c r="C127" s="15" t="s">
        <v>10591</v>
      </c>
      <c r="D127" s="15" t="s">
        <v>10324</v>
      </c>
      <c r="E127" s="15" t="s">
        <v>10894</v>
      </c>
      <c r="F127" s="15">
        <v>19004</v>
      </c>
      <c r="G127" s="15">
        <v>0.8971204331892636</v>
      </c>
      <c r="H127" s="15">
        <v>200</v>
      </c>
      <c r="I127" s="92">
        <v>3190.83318167679</v>
      </c>
      <c r="J127" s="93">
        <v>-0.49731616314630955</v>
      </c>
      <c r="K127" s="15">
        <v>30</v>
      </c>
      <c r="L127" s="15">
        <v>64.149992584936427</v>
      </c>
      <c r="M127" s="15">
        <v>14.635003483461706</v>
      </c>
      <c r="N127" s="15">
        <v>6.6661347089703309</v>
      </c>
      <c r="O127" s="15">
        <v>1.4938641229434788</v>
      </c>
      <c r="P127" s="15">
        <v>2.3319472438920021</v>
      </c>
      <c r="Q127" s="15">
        <v>2.8403233421348508</v>
      </c>
      <c r="R127" s="15">
        <v>0.53162424304038391</v>
      </c>
      <c r="S127" s="15">
        <v>0</v>
      </c>
      <c r="T127" s="15">
        <v>2.3086990990944667</v>
      </c>
      <c r="U127" s="15">
        <v>0</v>
      </c>
      <c r="V127" s="15">
        <v>0</v>
      </c>
      <c r="W127" s="15">
        <v>0</v>
      </c>
      <c r="X127" s="15">
        <v>0</v>
      </c>
      <c r="Y127" s="15">
        <v>3224.7804694180704</v>
      </c>
      <c r="Z127" s="15">
        <v>0</v>
      </c>
      <c r="AA127" s="15">
        <v>0</v>
      </c>
      <c r="AB127" s="15">
        <v>0</v>
      </c>
      <c r="AC127" s="15">
        <v>3224.7804694180704</v>
      </c>
      <c r="AD127" s="15">
        <v>33.947287741280434</v>
      </c>
      <c r="AE127" s="15">
        <v>-67.513481008719779</v>
      </c>
      <c r="AF127" s="15">
        <v>0</v>
      </c>
      <c r="AG127" s="15">
        <v>0</v>
      </c>
      <c r="AH127" s="15">
        <v>0</v>
      </c>
      <c r="AI127" s="15">
        <v>101.46076874999999</v>
      </c>
      <c r="AJ127" s="15">
        <v>0</v>
      </c>
      <c r="AK127" s="15">
        <v>0</v>
      </c>
      <c r="AL127" s="15">
        <v>0</v>
      </c>
      <c r="AM127" s="15">
        <v>0</v>
      </c>
      <c r="AN127" s="15">
        <v>1.0527007361653493E-2</v>
      </c>
      <c r="AO127" s="15">
        <v>3190.83318167679</v>
      </c>
      <c r="AP127" s="15">
        <v>0</v>
      </c>
      <c r="AQ127" s="15">
        <v>0</v>
      </c>
      <c r="AR127" s="15">
        <v>0</v>
      </c>
      <c r="AS127" s="15">
        <v>0</v>
      </c>
      <c r="AT127" s="15">
        <v>0</v>
      </c>
      <c r="AU127" s="15">
        <v>1403.9802665253576</v>
      </c>
      <c r="AV127" s="15">
        <v>65.018000000000001</v>
      </c>
      <c r="AW127" s="15">
        <v>65.018000000000001</v>
      </c>
      <c r="AX127" s="15">
        <v>0</v>
      </c>
      <c r="AY127" s="15">
        <v>0</v>
      </c>
      <c r="AZ127" s="15">
        <v>868.33801728011463</v>
      </c>
      <c r="BA127" s="15">
        <v>76.930878417473068</v>
      </c>
      <c r="BB127" s="15">
        <v>329.75297452610062</v>
      </c>
      <c r="BC127" s="15">
        <v>461.65416433654087</v>
      </c>
      <c r="BD127" s="15">
        <v>0</v>
      </c>
      <c r="BE127" s="15">
        <v>470.62424924524288</v>
      </c>
      <c r="BF127" s="15">
        <v>164.61469752133951</v>
      </c>
      <c r="BG127" s="15">
        <v>1.4723613094253221</v>
      </c>
      <c r="BH127" s="15">
        <v>304.53719041447806</v>
      </c>
      <c r="BI127" s="15">
        <v>0</v>
      </c>
      <c r="BJ127" s="15">
        <v>1403.9802665253576</v>
      </c>
      <c r="BK127" s="15">
        <v>1437.927554266638</v>
      </c>
      <c r="BL127" s="15">
        <v>-0.49208091223579908</v>
      </c>
      <c r="BM127" s="15">
        <v>-0.49731616314630955</v>
      </c>
    </row>
    <row r="128" spans="1:65" x14ac:dyDescent="0.35">
      <c r="A128" s="15" t="s">
        <v>10787</v>
      </c>
      <c r="B128" s="15" t="s">
        <v>10319</v>
      </c>
      <c r="C128" s="15" t="s">
        <v>10591</v>
      </c>
      <c r="D128" s="15" t="s">
        <v>10325</v>
      </c>
      <c r="E128" s="15" t="s">
        <v>10895</v>
      </c>
      <c r="F128" s="15">
        <v>19004</v>
      </c>
      <c r="G128" s="15">
        <v>0.8971204331892636</v>
      </c>
      <c r="H128" s="15">
        <v>200</v>
      </c>
      <c r="I128" s="92">
        <v>8267.016014616227</v>
      </c>
      <c r="J128" s="93">
        <v>-1.0651063087810531</v>
      </c>
      <c r="K128" s="15">
        <v>30</v>
      </c>
      <c r="L128" s="15">
        <v>76.590857803316339</v>
      </c>
      <c r="M128" s="15">
        <v>24.469758199389993</v>
      </c>
      <c r="N128" s="15">
        <v>6.6661347089703309</v>
      </c>
      <c r="O128" s="15">
        <v>4.8716096037511383</v>
      </c>
      <c r="P128" s="15">
        <v>1.2269020931859898</v>
      </c>
      <c r="Q128" s="15">
        <v>0.56762301203320442</v>
      </c>
      <c r="R128" s="15">
        <v>0.56762301203320442</v>
      </c>
      <c r="S128" s="15">
        <v>0</v>
      </c>
      <c r="T128" s="15">
        <v>0</v>
      </c>
      <c r="U128" s="15">
        <v>4226.788794549203</v>
      </c>
      <c r="V128" s="15">
        <v>0</v>
      </c>
      <c r="W128" s="15">
        <v>0</v>
      </c>
      <c r="X128" s="15">
        <v>0</v>
      </c>
      <c r="Y128" s="15">
        <v>4851.1663015873946</v>
      </c>
      <c r="Z128" s="15">
        <v>0</v>
      </c>
      <c r="AA128" s="15">
        <v>0</v>
      </c>
      <c r="AB128" s="15">
        <v>0</v>
      </c>
      <c r="AC128" s="15">
        <v>4851.1663015873946</v>
      </c>
      <c r="AD128" s="15">
        <v>-3415.8497130288324</v>
      </c>
      <c r="AE128" s="15">
        <v>-84.165652333816524</v>
      </c>
      <c r="AF128" s="15">
        <v>0</v>
      </c>
      <c r="AG128" s="15">
        <v>0</v>
      </c>
      <c r="AH128" s="15">
        <v>-3454.6844189244584</v>
      </c>
      <c r="AI128" s="15">
        <v>123.00035822944253</v>
      </c>
      <c r="AJ128" s="15">
        <v>0</v>
      </c>
      <c r="AK128" s="15">
        <v>0</v>
      </c>
      <c r="AL128" s="15">
        <v>0</v>
      </c>
      <c r="AM128" s="15">
        <v>0</v>
      </c>
      <c r="AN128" s="15">
        <v>-0.70412958465495212</v>
      </c>
      <c r="AO128" s="15">
        <v>8267.016014616227</v>
      </c>
      <c r="AP128" s="15">
        <v>-3538.850071258275</v>
      </c>
      <c r="AQ128" s="15">
        <v>-84.165652333816524</v>
      </c>
      <c r="AR128" s="15">
        <v>0</v>
      </c>
      <c r="AS128" s="15">
        <v>0</v>
      </c>
      <c r="AT128" s="15">
        <v>-3454.6844189244584</v>
      </c>
      <c r="AU128" s="15">
        <v>2800.6151739127595</v>
      </c>
      <c r="AV128" s="15">
        <v>81.594999999999999</v>
      </c>
      <c r="AW128" s="15">
        <v>81.594999999999999</v>
      </c>
      <c r="AX128" s="15">
        <v>0</v>
      </c>
      <c r="AY128" s="15">
        <v>0</v>
      </c>
      <c r="AZ128" s="15">
        <v>1521.8597078059715</v>
      </c>
      <c r="BA128" s="15">
        <v>82.718698010625431</v>
      </c>
      <c r="BB128" s="15">
        <v>599.6420874147276</v>
      </c>
      <c r="BC128" s="15">
        <v>839.49892238061864</v>
      </c>
      <c r="BD128" s="15">
        <v>0</v>
      </c>
      <c r="BE128" s="15">
        <v>1197.1604661067879</v>
      </c>
      <c r="BF128" s="15">
        <v>419.50081864228355</v>
      </c>
      <c r="BG128" s="15">
        <v>1.5831329762799125</v>
      </c>
      <c r="BH128" s="15">
        <v>776.07651448822446</v>
      </c>
      <c r="BI128" s="15">
        <v>0</v>
      </c>
      <c r="BJ128" s="15">
        <v>-738.23489734551549</v>
      </c>
      <c r="BK128" s="15">
        <v>-4154.0846103743479</v>
      </c>
      <c r="BL128" s="15">
        <v>-1.8150791715964254</v>
      </c>
      <c r="BM128" s="15">
        <v>-1.0651063087810531</v>
      </c>
    </row>
    <row r="129" spans="1:65" x14ac:dyDescent="0.35">
      <c r="A129" s="15" t="s">
        <v>10787</v>
      </c>
      <c r="B129" s="15" t="s">
        <v>10319</v>
      </c>
      <c r="C129" s="15" t="s">
        <v>10591</v>
      </c>
      <c r="D129" s="15" t="s">
        <v>10326</v>
      </c>
      <c r="E129" s="15" t="s">
        <v>10896</v>
      </c>
      <c r="F129" s="15">
        <v>19004</v>
      </c>
      <c r="G129" s="15">
        <v>0.8971204331892636</v>
      </c>
      <c r="H129" s="15">
        <v>200</v>
      </c>
      <c r="I129" s="92">
        <v>6029.1359646316896</v>
      </c>
      <c r="J129" s="93">
        <v>-0.93598423842182332</v>
      </c>
      <c r="K129" s="15">
        <v>30</v>
      </c>
      <c r="L129" s="15">
        <v>60.298807344749363</v>
      </c>
      <c r="M129" s="15">
        <v>19.377421234086071</v>
      </c>
      <c r="N129" s="15">
        <v>6.6661347089703309</v>
      </c>
      <c r="O129" s="15">
        <v>4.8716096037511383</v>
      </c>
      <c r="P129" s="15">
        <v>1.2269020931859898</v>
      </c>
      <c r="Q129" s="15">
        <v>0.56762301203320442</v>
      </c>
      <c r="R129" s="15">
        <v>0.56762301203320442</v>
      </c>
      <c r="S129" s="15">
        <v>0</v>
      </c>
      <c r="T129" s="15">
        <v>0</v>
      </c>
      <c r="U129" s="15">
        <v>4226.788794549203</v>
      </c>
      <c r="V129" s="15">
        <v>0</v>
      </c>
      <c r="W129" s="15">
        <v>0</v>
      </c>
      <c r="X129" s="15">
        <v>0</v>
      </c>
      <c r="Y129" s="15">
        <v>3856.3787865054414</v>
      </c>
      <c r="Z129" s="15">
        <v>0</v>
      </c>
      <c r="AA129" s="15">
        <v>0</v>
      </c>
      <c r="AB129" s="15">
        <v>0</v>
      </c>
      <c r="AC129" s="15">
        <v>3856.3787865054414</v>
      </c>
      <c r="AD129" s="15">
        <v>-2172.7571781262482</v>
      </c>
      <c r="AE129" s="15">
        <v>-55.342554238087573</v>
      </c>
      <c r="AF129" s="15">
        <v>0</v>
      </c>
      <c r="AG129" s="15">
        <v>0</v>
      </c>
      <c r="AH129" s="15">
        <v>-2240.4149821176029</v>
      </c>
      <c r="AI129" s="15">
        <v>123.00035822944253</v>
      </c>
      <c r="AJ129" s="15">
        <v>0</v>
      </c>
      <c r="AK129" s="15">
        <v>0</v>
      </c>
      <c r="AL129" s="15">
        <v>0</v>
      </c>
      <c r="AM129" s="15">
        <v>0</v>
      </c>
      <c r="AN129" s="15">
        <v>-0.56341902557117551</v>
      </c>
      <c r="AO129" s="15">
        <v>6029.1359646316896</v>
      </c>
      <c r="AP129" s="15">
        <v>-2295.7575363556903</v>
      </c>
      <c r="AQ129" s="15">
        <v>-55.342554238087573</v>
      </c>
      <c r="AR129" s="15">
        <v>0</v>
      </c>
      <c r="AS129" s="15">
        <v>0</v>
      </c>
      <c r="AT129" s="15">
        <v>-2240.4149821176029</v>
      </c>
      <c r="AU129" s="15">
        <v>2481.7172667899627</v>
      </c>
      <c r="AV129" s="15">
        <v>81.594999999999999</v>
      </c>
      <c r="AW129" s="15">
        <v>81.594999999999999</v>
      </c>
      <c r="AX129" s="15">
        <v>0</v>
      </c>
      <c r="AY129" s="15">
        <v>0</v>
      </c>
      <c r="AZ129" s="15">
        <v>1521.8597078059715</v>
      </c>
      <c r="BA129" s="15">
        <v>82.718698010625431</v>
      </c>
      <c r="BB129" s="15">
        <v>599.6420874147276</v>
      </c>
      <c r="BC129" s="15">
        <v>839.49892238061864</v>
      </c>
      <c r="BD129" s="15">
        <v>0</v>
      </c>
      <c r="BE129" s="15">
        <v>878.26255898399108</v>
      </c>
      <c r="BF129" s="15">
        <v>307.60681614305662</v>
      </c>
      <c r="BG129" s="15">
        <v>1.5831329762799125</v>
      </c>
      <c r="BH129" s="15">
        <v>569.07260986465462</v>
      </c>
      <c r="BI129" s="15">
        <v>0</v>
      </c>
      <c r="BJ129" s="15">
        <v>185.95973043427239</v>
      </c>
      <c r="BK129" s="15">
        <v>-1986.7974476919758</v>
      </c>
      <c r="BL129" s="15">
        <v>-1.463335565983426</v>
      </c>
      <c r="BM129" s="15">
        <v>-0.93598423842182332</v>
      </c>
    </row>
    <row r="130" spans="1:65" s="56" customFormat="1" x14ac:dyDescent="0.35">
      <c r="A130" s="55" t="s">
        <v>10787</v>
      </c>
      <c r="B130" s="55" t="s">
        <v>10319</v>
      </c>
      <c r="C130" s="55" t="s">
        <v>10863</v>
      </c>
      <c r="D130" s="55" t="s">
        <v>10323</v>
      </c>
      <c r="E130" s="55" t="s">
        <v>10897</v>
      </c>
      <c r="F130" s="55">
        <v>19004</v>
      </c>
      <c r="G130" s="55">
        <v>0.8971204331892636</v>
      </c>
      <c r="H130" s="55">
        <v>200</v>
      </c>
      <c r="I130" s="55">
        <v>2816.8854647112657</v>
      </c>
      <c r="J130" s="94">
        <v>-0.45931366104712379</v>
      </c>
      <c r="K130" s="55">
        <v>30</v>
      </c>
      <c r="L130" s="55">
        <v>53.8070459598637</v>
      </c>
      <c r="M130" s="55">
        <v>13.640260630969568</v>
      </c>
      <c r="N130" s="55">
        <v>6.6661347089703309</v>
      </c>
      <c r="O130" s="55">
        <v>0.93672524930451107</v>
      </c>
      <c r="P130" s="55">
        <v>2.690285315172702</v>
      </c>
      <c r="Q130" s="55">
        <v>3.0391241444931194</v>
      </c>
      <c r="R130" s="55">
        <v>0.53162424304038391</v>
      </c>
      <c r="S130" s="55">
        <v>1.3105954144571124</v>
      </c>
      <c r="T130" s="55">
        <v>1.1969044869956229</v>
      </c>
      <c r="U130" s="55">
        <v>0</v>
      </c>
      <c r="V130" s="55">
        <v>0</v>
      </c>
      <c r="W130" s="55">
        <v>0</v>
      </c>
      <c r="X130" s="55">
        <v>0</v>
      </c>
      <c r="Y130" s="55">
        <v>2900.8871775746793</v>
      </c>
      <c r="Z130" s="55">
        <v>0</v>
      </c>
      <c r="AA130" s="55">
        <v>0</v>
      </c>
      <c r="AB130" s="55">
        <v>0</v>
      </c>
      <c r="AC130" s="55">
        <v>2900.8871775746793</v>
      </c>
      <c r="AD130" s="55">
        <v>84.001712863413559</v>
      </c>
      <c r="AE130" s="55">
        <v>-17.459055886586665</v>
      </c>
      <c r="AF130" s="55">
        <v>0</v>
      </c>
      <c r="AG130" s="55">
        <v>0</v>
      </c>
      <c r="AH130" s="55">
        <v>0</v>
      </c>
      <c r="AI130" s="55">
        <v>101.46076874999999</v>
      </c>
      <c r="AJ130" s="55">
        <v>0</v>
      </c>
      <c r="AK130" s="55">
        <v>0</v>
      </c>
      <c r="AL130" s="55">
        <v>0</v>
      </c>
      <c r="AM130" s="55">
        <v>0</v>
      </c>
      <c r="AN130" s="55">
        <v>2.895724918665888E-2</v>
      </c>
      <c r="AO130" s="55">
        <v>2816.8854647112657</v>
      </c>
      <c r="AP130" s="55">
        <v>0</v>
      </c>
      <c r="AQ130" s="55">
        <v>0</v>
      </c>
      <c r="AR130" s="55">
        <v>0</v>
      </c>
      <c r="AS130" s="55">
        <v>0</v>
      </c>
      <c r="AT130" s="55">
        <v>0</v>
      </c>
      <c r="AU130" s="55">
        <v>1323.0514891643056</v>
      </c>
      <c r="AV130" s="55">
        <v>59.642500000000005</v>
      </c>
      <c r="AW130" s="55">
        <v>59.642500000000005</v>
      </c>
      <c r="AX130" s="55">
        <v>0</v>
      </c>
      <c r="AY130" s="55">
        <v>0</v>
      </c>
      <c r="AZ130" s="55">
        <v>846.07228958664996</v>
      </c>
      <c r="BA130" s="55">
        <v>76.930878417473068</v>
      </c>
      <c r="BB130" s="55">
        <v>320.47558798715704</v>
      </c>
      <c r="BC130" s="55">
        <v>448.66582318201989</v>
      </c>
      <c r="BD130" s="55">
        <v>0</v>
      </c>
      <c r="BE130" s="55">
        <v>417.33669957765568</v>
      </c>
      <c r="BF130" s="55">
        <v>145.9173116730633</v>
      </c>
      <c r="BG130" s="55">
        <v>1.4723613094253221</v>
      </c>
      <c r="BH130" s="55">
        <v>269.94702659516707</v>
      </c>
      <c r="BI130" s="55">
        <v>0</v>
      </c>
      <c r="BJ130" s="55">
        <v>1323.0514891643056</v>
      </c>
      <c r="BK130" s="55">
        <v>1407.0532020277192</v>
      </c>
      <c r="BL130" s="55">
        <v>-0.44601320090934565</v>
      </c>
      <c r="BM130" s="55">
        <v>-0.45931366104712379</v>
      </c>
    </row>
    <row r="131" spans="1:65" s="52" customFormat="1" x14ac:dyDescent="0.35">
      <c r="A131" s="51" t="s">
        <v>10787</v>
      </c>
      <c r="B131" s="51" t="s">
        <v>10865</v>
      </c>
      <c r="C131" s="51" t="s">
        <v>9780</v>
      </c>
      <c r="D131" s="51" t="s">
        <v>9780</v>
      </c>
      <c r="E131" s="51" t="s">
        <v>10016</v>
      </c>
      <c r="F131" s="51">
        <f>F122</f>
        <v>170314</v>
      </c>
      <c r="G131" s="51">
        <f>G122</f>
        <v>0.89712419976575097</v>
      </c>
      <c r="H131" s="51">
        <f>(H122*N122+H130*N130)/(N122+N130)</f>
        <v>200</v>
      </c>
      <c r="I131" s="51">
        <f>(I122*N122+I130*N130)/(N122+N130)</f>
        <v>633.41021931807563</v>
      </c>
      <c r="J131" s="95">
        <f>(J122*N122+J130*N130)/(N122+N130)</f>
        <v>0.20032435709683197</v>
      </c>
      <c r="K131" s="51">
        <f>K122</f>
        <v>30</v>
      </c>
      <c r="L131" s="51">
        <f t="shared" ref="L131:W131" si="8">L122+L130</f>
        <v>140.656349535022</v>
      </c>
      <c r="M131" s="51">
        <f t="shared" si="8"/>
        <v>32.336267738078092</v>
      </c>
      <c r="N131" s="51">
        <f t="shared" si="8"/>
        <v>66.408338116291901</v>
      </c>
      <c r="O131" s="51">
        <f t="shared" si="8"/>
        <v>9.3316996721013368</v>
      </c>
      <c r="P131" s="51">
        <f t="shared" si="8"/>
        <v>26.800745055282505</v>
      </c>
      <c r="Q131" s="51">
        <f t="shared" si="8"/>
        <v>30.275893388908056</v>
      </c>
      <c r="R131" s="51">
        <f t="shared" si="8"/>
        <v>5.2960649647742786</v>
      </c>
      <c r="S131" s="51">
        <f t="shared" si="8"/>
        <v>13.056211315353568</v>
      </c>
      <c r="T131" s="51">
        <f t="shared" si="8"/>
        <v>11.92361710878021</v>
      </c>
      <c r="U131" s="51">
        <f t="shared" si="8"/>
        <v>0</v>
      </c>
      <c r="V131" s="51">
        <f t="shared" si="8"/>
        <v>0</v>
      </c>
      <c r="W131" s="51">
        <f t="shared" si="8"/>
        <v>0</v>
      </c>
      <c r="X131" s="51">
        <f>(X122*N122+X130*N130)/(N122+N130)</f>
        <v>0</v>
      </c>
      <c r="Y131" s="51">
        <f>(Y122*N122+Y130*N130)/(N122+N130)</f>
        <v>717.41193218148885</v>
      </c>
      <c r="Z131" s="51">
        <f>(Z122*N122+Z130*N130)/(N122+N130)</f>
        <v>0</v>
      </c>
      <c r="AA131" s="51">
        <f>(AA122*N122+AA130*N130)/(N122+N130)</f>
        <v>0</v>
      </c>
      <c r="AB131" s="51">
        <f>(AB122*N122+AB130*N130)/(N122+N130)</f>
        <v>0</v>
      </c>
      <c r="AC131" s="51">
        <f>(AC122*N122+AC130*N130)/(N122+N130)</f>
        <v>717.41193218148885</v>
      </c>
      <c r="AD131" s="51">
        <f>(AD122*N122+AD130*N130)/(N122+N130)</f>
        <v>84.001712863413346</v>
      </c>
      <c r="AE131" s="51">
        <f>(AE122*N122+AE130*N130)/(N122+N130)</f>
        <v>-17.459055886586668</v>
      </c>
      <c r="AF131" s="51">
        <f>(AF122*N122+AF130*N130)/(N122+N130)</f>
        <v>0</v>
      </c>
      <c r="AG131" s="51">
        <f>(AG122*N122+AG130*N130)/(N122+N130)</f>
        <v>0</v>
      </c>
      <c r="AH131" s="51">
        <f>(AH122*N122+AH130*N130)/(N122+N130)</f>
        <v>0</v>
      </c>
      <c r="AI131" s="51">
        <f>(AI122*N122+AI130*N130)/(N122+N130)</f>
        <v>101.46076875000001</v>
      </c>
      <c r="AJ131" s="51">
        <f>(AJ122*N122+AJ130*N130)/(N122+N130)</f>
        <v>0</v>
      </c>
      <c r="AK131" s="51">
        <f>(AK122*N122+AK130*N130)/(N122+N130)</f>
        <v>0</v>
      </c>
      <c r="AL131" s="51">
        <f>(AL122*N122+AL130*N130)/(N122+N130)</f>
        <v>0</v>
      </c>
      <c r="AM131" s="51">
        <f>(AM122*N122+AM130*N130)/(N122+N130)</f>
        <v>0</v>
      </c>
      <c r="AN131" s="51">
        <f>(AN122*N122+AN130*N130)/(N122+N130)</f>
        <v>0.16241149860139539</v>
      </c>
      <c r="AO131" s="51">
        <f>(AO122*N122+AO130*N130)/(N122+N130)</f>
        <v>633.41021931807563</v>
      </c>
      <c r="AP131" s="51">
        <f>(AP122*N122+AP130*N130)/(N122+N130)</f>
        <v>0</v>
      </c>
      <c r="AQ131" s="51">
        <f>(AQ122*N122+AQ130*N130)/(N122+N130)</f>
        <v>0</v>
      </c>
      <c r="AR131" s="51">
        <f>(AR122*N122+AR130*N130)/(N122+N130)</f>
        <v>0</v>
      </c>
      <c r="AS131" s="51">
        <f>(AS122*N122+AS130*N130)/(N122+N130)</f>
        <v>0</v>
      </c>
      <c r="AT131" s="51">
        <f>(AT122*N122+AT130*N130)/(N122+N130)</f>
        <v>0</v>
      </c>
      <c r="AU131" s="51">
        <f>(AU122*N122+AU130*N130)/(N122+N130)</f>
        <v>399.58627141136611</v>
      </c>
      <c r="AV131" s="51">
        <f>(AV122*N122+AV130*N130)/(N122+N130)</f>
        <v>59.642499999999998</v>
      </c>
      <c r="AW131" s="51">
        <f>(AW122*N122+AW130*N130)/(N122+N130)</f>
        <v>59.642499999999998</v>
      </c>
      <c r="AX131" s="51">
        <f>(AX122*N122+AX130*N130)/(N122+N130)</f>
        <v>0</v>
      </c>
      <c r="AY131" s="51">
        <f>(AY122*N122+AY130*N130)/(N122+N130)</f>
        <v>0</v>
      </c>
      <c r="AZ131" s="51">
        <f>(AZ122*N122+AZ130*N130)/(N122+N130)</f>
        <v>233.75229430224005</v>
      </c>
      <c r="BA131" s="51">
        <f>(BA122*N122+BA130*N130)/(N122+N130)</f>
        <v>76.930878417473082</v>
      </c>
      <c r="BB131" s="51">
        <f>(BB122*N122+BB130*N130)/(N122+N130)</f>
        <v>65.342256618652911</v>
      </c>
      <c r="BC131" s="51">
        <f>(BC122*N122+BC130*N130)/(N122+N130)</f>
        <v>91.479159266114067</v>
      </c>
      <c r="BD131" s="51">
        <f>(BD122*N122+BD130*N130)/(N122+N130)</f>
        <v>0</v>
      </c>
      <c r="BE131" s="51">
        <f>(BE122*N122+BE130*N130)/(N122+N130)</f>
        <v>106.19147710912608</v>
      </c>
      <c r="BF131" s="51">
        <f>(BF122*N122+BF130*N130)/(N122+N130)</f>
        <v>36.743549403403776</v>
      </c>
      <c r="BG131" s="51">
        <f>(BG122*N122+BG130*N130)/(N122+N130)</f>
        <v>1.4723613094253221</v>
      </c>
      <c r="BH131" s="51">
        <f>(BH122*N122+BH130*N130)/(N122+N130)</f>
        <v>67.975566396296969</v>
      </c>
      <c r="BI131" s="51">
        <f>(BI122*N122+BI130*N130)/(N122+N130)</f>
        <v>0</v>
      </c>
      <c r="BJ131" s="51">
        <f>(BJ122*N122+BJ130*N130)/(N122+N130)</f>
        <v>399.58627141136611</v>
      </c>
      <c r="BK131" s="51">
        <f>(BK122*N122+BK130*N130)/(N122+N130)</f>
        <v>483.5879842747795</v>
      </c>
      <c r="BL131" s="51">
        <f>(BL122*N122+BL130*N130)/(N122+N130)</f>
        <v>0.15796667682345886</v>
      </c>
      <c r="BM131" s="51">
        <f>(BM122*N122+BM130*N130)/(N122+N130)</f>
        <v>0.20032435709683197</v>
      </c>
    </row>
    <row r="132" spans="1:65" s="56" customFormat="1" x14ac:dyDescent="0.35">
      <c r="A132" s="15" t="s">
        <v>10767</v>
      </c>
      <c r="B132" s="15" t="s">
        <v>10566</v>
      </c>
      <c r="C132" s="15" t="s">
        <v>10594</v>
      </c>
      <c r="D132" s="15" t="s">
        <v>10320</v>
      </c>
      <c r="E132" s="15" t="s">
        <v>10898</v>
      </c>
      <c r="F132" s="15">
        <v>19348</v>
      </c>
      <c r="G132" s="15">
        <v>0.89711895463337699</v>
      </c>
      <c r="H132" s="15">
        <v>200</v>
      </c>
      <c r="I132" s="92">
        <v>3537.0160721521515</v>
      </c>
      <c r="J132" s="93">
        <v>-0.35731342994231063</v>
      </c>
      <c r="K132" s="15">
        <v>30</v>
      </c>
      <c r="L132" s="15">
        <v>90.240662560001539</v>
      </c>
      <c r="M132" s="15">
        <v>19.269282189149521</v>
      </c>
      <c r="N132" s="15">
        <v>6.7867902431863394</v>
      </c>
      <c r="O132" s="15">
        <v>1.2650203739835963</v>
      </c>
      <c r="P132" s="15">
        <v>2.6277857977471233</v>
      </c>
      <c r="Q132" s="15">
        <v>2.8939840714556202</v>
      </c>
      <c r="R132" s="15">
        <v>0.54124652189411049</v>
      </c>
      <c r="S132" s="15">
        <v>1.1341693613974024</v>
      </c>
      <c r="T132" s="15">
        <v>1.2185681881641071</v>
      </c>
      <c r="U132" s="15">
        <v>0</v>
      </c>
      <c r="V132" s="15">
        <v>824.15794525547892</v>
      </c>
      <c r="W132" s="15">
        <v>0</v>
      </c>
      <c r="X132" s="15">
        <v>0</v>
      </c>
      <c r="Y132" s="15">
        <v>3678.1715452456192</v>
      </c>
      <c r="Z132" s="15">
        <v>0</v>
      </c>
      <c r="AA132" s="15">
        <v>0</v>
      </c>
      <c r="AB132" s="15">
        <v>0</v>
      </c>
      <c r="AC132" s="15">
        <v>3678.1715452456192</v>
      </c>
      <c r="AD132" s="15">
        <v>141.15547309346766</v>
      </c>
      <c r="AE132" s="15">
        <v>18.017536378206554</v>
      </c>
      <c r="AF132" s="15">
        <v>0</v>
      </c>
      <c r="AG132" s="15">
        <v>0</v>
      </c>
      <c r="AH132" s="15">
        <v>21.677167965261109</v>
      </c>
      <c r="AI132" s="15">
        <v>101.46076874999999</v>
      </c>
      <c r="AJ132" s="15">
        <v>0</v>
      </c>
      <c r="AK132" s="15">
        <v>0</v>
      </c>
      <c r="AL132" s="15">
        <v>0</v>
      </c>
      <c r="AM132" s="15">
        <v>0</v>
      </c>
      <c r="AN132" s="15">
        <v>3.8376533382714115E-2</v>
      </c>
      <c r="AO132" s="15">
        <v>3537.0160721521515</v>
      </c>
      <c r="AP132" s="15">
        <v>39.694704343467663</v>
      </c>
      <c r="AQ132" s="15">
        <v>18.017536378206554</v>
      </c>
      <c r="AR132" s="15">
        <v>0</v>
      </c>
      <c r="AS132" s="15">
        <v>0</v>
      </c>
      <c r="AT132" s="15">
        <v>21.677167965261109</v>
      </c>
      <c r="AU132" s="15">
        <v>2033.4980233069193</v>
      </c>
      <c r="AV132" s="15">
        <v>125.63676533448209</v>
      </c>
      <c r="AW132" s="15">
        <v>125.63676533448209</v>
      </c>
      <c r="AX132" s="15">
        <v>0</v>
      </c>
      <c r="AY132" s="15">
        <v>0</v>
      </c>
      <c r="AZ132" s="15">
        <v>1321.0146268739886</v>
      </c>
      <c r="BA132" s="15">
        <v>76.930878417473068</v>
      </c>
      <c r="BB132" s="15">
        <v>518.36822852354805</v>
      </c>
      <c r="BC132" s="15">
        <v>725.71551993296737</v>
      </c>
      <c r="BD132" s="15">
        <v>0</v>
      </c>
      <c r="BE132" s="15">
        <v>586.8466310984486</v>
      </c>
      <c r="BF132" s="15">
        <v>205.39448062772749</v>
      </c>
      <c r="BG132" s="15">
        <v>1.4723613094253218</v>
      </c>
      <c r="BH132" s="15">
        <v>379.97978916129586</v>
      </c>
      <c r="BI132" s="15">
        <v>0</v>
      </c>
      <c r="BJ132" s="15">
        <v>2073.192727650387</v>
      </c>
      <c r="BK132" s="55">
        <v>2214.3482007438547</v>
      </c>
      <c r="BL132" s="55">
        <v>-0.34360097917003746</v>
      </c>
      <c r="BM132" s="55">
        <v>-0.35731342994231063</v>
      </c>
    </row>
    <row r="133" spans="1:65" x14ac:dyDescent="0.35">
      <c r="A133" s="15" t="s">
        <v>10767</v>
      </c>
      <c r="B133" s="15" t="s">
        <v>10566</v>
      </c>
      <c r="C133" s="15" t="s">
        <v>10594</v>
      </c>
      <c r="D133" s="15" t="s">
        <v>10321</v>
      </c>
      <c r="E133" s="15" t="s">
        <v>10899</v>
      </c>
      <c r="F133" s="15">
        <v>19348</v>
      </c>
      <c r="G133" s="15">
        <v>0.89711895463337699</v>
      </c>
      <c r="H133" s="15">
        <v>200</v>
      </c>
      <c r="I133" s="92">
        <v>4593.1225130519751</v>
      </c>
      <c r="J133" s="93">
        <v>-0.48273191621840988</v>
      </c>
      <c r="K133" s="15">
        <v>30</v>
      </c>
      <c r="L133" s="15">
        <v>90.240662560001539</v>
      </c>
      <c r="M133" s="15">
        <v>19.269282189149521</v>
      </c>
      <c r="N133" s="15">
        <v>6.7867902431863394</v>
      </c>
      <c r="O133" s="15">
        <v>1.2650203739835963</v>
      </c>
      <c r="P133" s="15">
        <v>2.6277857977471233</v>
      </c>
      <c r="Q133" s="15">
        <v>2.8939840714556202</v>
      </c>
      <c r="R133" s="15">
        <v>0.54124652189411049</v>
      </c>
      <c r="S133" s="15">
        <v>1.1341693613974024</v>
      </c>
      <c r="T133" s="15">
        <v>1.2185681881641071</v>
      </c>
      <c r="U133" s="15">
        <v>0</v>
      </c>
      <c r="V133" s="15">
        <v>0</v>
      </c>
      <c r="W133" s="15">
        <v>206.03948631386973</v>
      </c>
      <c r="X133" s="15">
        <v>0</v>
      </c>
      <c r="Y133" s="15">
        <v>3678.1715452456192</v>
      </c>
      <c r="Z133" s="15">
        <v>0</v>
      </c>
      <c r="AA133" s="15">
        <v>0</v>
      </c>
      <c r="AB133" s="15">
        <v>0</v>
      </c>
      <c r="AC133" s="15">
        <v>3678.1715452456192</v>
      </c>
      <c r="AD133" s="15">
        <v>-914.95096780635595</v>
      </c>
      <c r="AE133" s="15">
        <v>-20.473446476401197</v>
      </c>
      <c r="AF133" s="15">
        <v>89.358076432770019</v>
      </c>
      <c r="AG133" s="15">
        <v>-1028.3313824097961</v>
      </c>
      <c r="AH133" s="15">
        <v>0</v>
      </c>
      <c r="AI133" s="15">
        <v>101.46076874999999</v>
      </c>
      <c r="AJ133" s="15">
        <v>0</v>
      </c>
      <c r="AK133" s="15">
        <v>-56.964984102928945</v>
      </c>
      <c r="AL133" s="15">
        <v>0</v>
      </c>
      <c r="AM133" s="15">
        <v>0</v>
      </c>
      <c r="AN133" s="15">
        <v>-0.24875157576296725</v>
      </c>
      <c r="AO133" s="15">
        <v>4593.1225130519751</v>
      </c>
      <c r="AP133" s="15">
        <v>0</v>
      </c>
      <c r="AQ133" s="15">
        <v>0</v>
      </c>
      <c r="AR133" s="15">
        <v>0</v>
      </c>
      <c r="AS133" s="15">
        <v>0</v>
      </c>
      <c r="AT133" s="15">
        <v>0</v>
      </c>
      <c r="AU133" s="15">
        <v>2175.8756809004767</v>
      </c>
      <c r="AV133" s="15">
        <v>125.63676533448209</v>
      </c>
      <c r="AW133" s="15">
        <v>125.63676533448209</v>
      </c>
      <c r="AX133" s="15">
        <v>0</v>
      </c>
      <c r="AY133" s="15">
        <v>0</v>
      </c>
      <c r="AZ133" s="15">
        <v>1321.0146268739886</v>
      </c>
      <c r="BA133" s="15">
        <v>76.930878417473068</v>
      </c>
      <c r="BB133" s="15">
        <v>518.36822852354805</v>
      </c>
      <c r="BC133" s="15">
        <v>725.71551993296737</v>
      </c>
      <c r="BD133" s="15">
        <v>0</v>
      </c>
      <c r="BE133" s="15">
        <v>729.2242886920061</v>
      </c>
      <c r="BF133" s="15">
        <v>255.35155346757222</v>
      </c>
      <c r="BG133" s="15">
        <v>1.4723613094253218</v>
      </c>
      <c r="BH133" s="15">
        <v>472.40037391500857</v>
      </c>
      <c r="BI133" s="15">
        <v>0</v>
      </c>
      <c r="BJ133" s="15">
        <v>2175.8756809004767</v>
      </c>
      <c r="BK133" s="15">
        <v>1260.9247130941208</v>
      </c>
      <c r="BL133" s="15">
        <v>-0.60281224104881603</v>
      </c>
      <c r="BM133" s="15">
        <v>-0.48273191621840988</v>
      </c>
    </row>
    <row r="134" spans="1:65" x14ac:dyDescent="0.35">
      <c r="A134" s="15" t="s">
        <v>10767</v>
      </c>
      <c r="B134" s="15" t="s">
        <v>10566</v>
      </c>
      <c r="C134" s="15" t="s">
        <v>10594</v>
      </c>
      <c r="D134" s="15" t="s">
        <v>10322</v>
      </c>
      <c r="E134" s="15" t="s">
        <v>10900</v>
      </c>
      <c r="F134" s="15">
        <v>19348</v>
      </c>
      <c r="G134" s="15">
        <v>0.89711895463337699</v>
      </c>
      <c r="H134" s="15">
        <v>200</v>
      </c>
      <c r="I134" s="92">
        <v>3617.6391619349092</v>
      </c>
      <c r="J134" s="93">
        <v>-0.38023891150062372</v>
      </c>
      <c r="K134" s="15">
        <v>30</v>
      </c>
      <c r="L134" s="15">
        <v>90.240662560001539</v>
      </c>
      <c r="M134" s="15">
        <v>19.269282189149521</v>
      </c>
      <c r="N134" s="15">
        <v>6.7867902431863394</v>
      </c>
      <c r="O134" s="15">
        <v>1.2650203739835963</v>
      </c>
      <c r="P134" s="15">
        <v>2.6277857977471233</v>
      </c>
      <c r="Q134" s="15">
        <v>2.8939840714556202</v>
      </c>
      <c r="R134" s="15">
        <v>0.54124652189411049</v>
      </c>
      <c r="S134" s="15">
        <v>1.1341693613974024</v>
      </c>
      <c r="T134" s="15">
        <v>1.2185681881641071</v>
      </c>
      <c r="U134" s="15">
        <v>0</v>
      </c>
      <c r="V134" s="15">
        <v>0</v>
      </c>
      <c r="W134" s="15">
        <v>0</v>
      </c>
      <c r="X134" s="15">
        <v>206039.48631386974</v>
      </c>
      <c r="Y134" s="15">
        <v>3678.1715452456192</v>
      </c>
      <c r="Z134" s="15">
        <v>0</v>
      </c>
      <c r="AA134" s="15">
        <v>0</v>
      </c>
      <c r="AB134" s="15">
        <v>0</v>
      </c>
      <c r="AC134" s="15">
        <v>3678.1715452456192</v>
      </c>
      <c r="AD134" s="15">
        <v>60.532383310709974</v>
      </c>
      <c r="AE134" s="15">
        <v>-20.473446476401197</v>
      </c>
      <c r="AF134" s="15">
        <v>0</v>
      </c>
      <c r="AG134" s="15">
        <v>0</v>
      </c>
      <c r="AH134" s="15">
        <v>0</v>
      </c>
      <c r="AI134" s="15">
        <v>101.46076874999999</v>
      </c>
      <c r="AJ134" s="15">
        <v>0</v>
      </c>
      <c r="AK134" s="15">
        <v>-20.45493896288913</v>
      </c>
      <c r="AL134" s="15">
        <v>0</v>
      </c>
      <c r="AM134" s="15">
        <v>0</v>
      </c>
      <c r="AN134" s="15">
        <v>1.6457194170009209E-2</v>
      </c>
      <c r="AO134" s="15">
        <v>3617.6391619349092</v>
      </c>
      <c r="AP134" s="15">
        <v>0</v>
      </c>
      <c r="AQ134" s="15">
        <v>0</v>
      </c>
      <c r="AR134" s="15">
        <v>0</v>
      </c>
      <c r="AS134" s="15">
        <v>0</v>
      </c>
      <c r="AT134" s="15">
        <v>0</v>
      </c>
      <c r="AU134" s="15">
        <v>2042.0719847987507</v>
      </c>
      <c r="AV134" s="15">
        <v>125.63676533448209</v>
      </c>
      <c r="AW134" s="15">
        <v>125.63676533448209</v>
      </c>
      <c r="AX134" s="15">
        <v>0</v>
      </c>
      <c r="AY134" s="15">
        <v>0</v>
      </c>
      <c r="AZ134" s="15">
        <v>1321.0146268739886</v>
      </c>
      <c r="BA134" s="15">
        <v>76.930878417473068</v>
      </c>
      <c r="BB134" s="15">
        <v>518.36822852354805</v>
      </c>
      <c r="BC134" s="15">
        <v>725.71551993296737</v>
      </c>
      <c r="BD134" s="15">
        <v>0</v>
      </c>
      <c r="BE134" s="15">
        <v>595.42059259027997</v>
      </c>
      <c r="BF134" s="15">
        <v>208.40288816872095</v>
      </c>
      <c r="BG134" s="15">
        <v>1.4723613094253218</v>
      </c>
      <c r="BH134" s="15">
        <v>385.54534311213371</v>
      </c>
      <c r="BI134" s="15">
        <v>0</v>
      </c>
      <c r="BJ134" s="15">
        <v>2042.0719847987507</v>
      </c>
      <c r="BK134" s="15">
        <v>2102.6043681094607</v>
      </c>
      <c r="BL134" s="15">
        <v>-0.37398124590306503</v>
      </c>
      <c r="BM134" s="15">
        <v>-0.38023891150062372</v>
      </c>
    </row>
    <row r="135" spans="1:65" x14ac:dyDescent="0.35">
      <c r="A135" s="15" t="s">
        <v>10767</v>
      </c>
      <c r="B135" s="15" t="s">
        <v>10566</v>
      </c>
      <c r="C135" s="15" t="s">
        <v>10594</v>
      </c>
      <c r="D135" s="15" t="s">
        <v>10323</v>
      </c>
      <c r="E135" s="15" t="s">
        <v>10901</v>
      </c>
      <c r="F135" s="15">
        <v>19348</v>
      </c>
      <c r="G135" s="15">
        <v>0.89711895463337699</v>
      </c>
      <c r="H135" s="15">
        <v>200</v>
      </c>
      <c r="I135" s="92">
        <v>3062.4859535375126</v>
      </c>
      <c r="J135" s="93">
        <v>-0.41707219664705697</v>
      </c>
      <c r="K135" s="15">
        <v>30</v>
      </c>
      <c r="L135" s="15">
        <v>82.482382400525978</v>
      </c>
      <c r="M135" s="15">
        <v>16.520930450528859</v>
      </c>
      <c r="N135" s="15">
        <v>6.7867902431863394</v>
      </c>
      <c r="O135" s="15">
        <v>0.95367976497254436</v>
      </c>
      <c r="P135" s="15">
        <v>2.7389788723939272</v>
      </c>
      <c r="Q135" s="15">
        <v>3.094131605819868</v>
      </c>
      <c r="R135" s="15">
        <v>0.54124652189411049</v>
      </c>
      <c r="S135" s="15">
        <v>1.33431689576165</v>
      </c>
      <c r="T135" s="15">
        <v>1.2185681881641071</v>
      </c>
      <c r="U135" s="15">
        <v>0</v>
      </c>
      <c r="V135" s="15">
        <v>0</v>
      </c>
      <c r="W135" s="15">
        <v>0</v>
      </c>
      <c r="X135" s="15">
        <v>0</v>
      </c>
      <c r="Y135" s="15">
        <v>3146.4876664009262</v>
      </c>
      <c r="Z135" s="15">
        <v>0</v>
      </c>
      <c r="AA135" s="15">
        <v>0</v>
      </c>
      <c r="AB135" s="15">
        <v>0</v>
      </c>
      <c r="AC135" s="15">
        <v>3146.4876664009262</v>
      </c>
      <c r="AD135" s="15">
        <v>84.001712863413559</v>
      </c>
      <c r="AE135" s="15">
        <v>-17.459055886586672</v>
      </c>
      <c r="AF135" s="15">
        <v>0</v>
      </c>
      <c r="AG135" s="15">
        <v>0</v>
      </c>
      <c r="AH135" s="15">
        <v>0</v>
      </c>
      <c r="AI135" s="15">
        <v>101.46076874999999</v>
      </c>
      <c r="AJ135" s="15">
        <v>0</v>
      </c>
      <c r="AK135" s="15">
        <v>0</v>
      </c>
      <c r="AL135" s="15">
        <v>0</v>
      </c>
      <c r="AM135" s="15">
        <v>0</v>
      </c>
      <c r="AN135" s="15">
        <v>2.66969782721246E-2</v>
      </c>
      <c r="AO135" s="15">
        <v>3062.4859535375126</v>
      </c>
      <c r="AP135" s="15">
        <v>0</v>
      </c>
      <c r="AQ135" s="15">
        <v>0</v>
      </c>
      <c r="AR135" s="15">
        <v>0</v>
      </c>
      <c r="AS135" s="15">
        <v>0</v>
      </c>
      <c r="AT135" s="15">
        <v>0</v>
      </c>
      <c r="AU135" s="15">
        <v>1585.2082096948654</v>
      </c>
      <c r="AV135" s="15">
        <v>121.89444398109391</v>
      </c>
      <c r="AW135" s="15">
        <v>121.89444398109391</v>
      </c>
      <c r="AX135" s="15">
        <v>0</v>
      </c>
      <c r="AY135" s="15">
        <v>0</v>
      </c>
      <c r="AZ135" s="15">
        <v>944.29851214594555</v>
      </c>
      <c r="BA135" s="15">
        <v>76.930878417473068</v>
      </c>
      <c r="BB135" s="15">
        <v>361.40318072019687</v>
      </c>
      <c r="BC135" s="15">
        <v>505.96445300827554</v>
      </c>
      <c r="BD135" s="15">
        <v>0</v>
      </c>
      <c r="BE135" s="15">
        <v>519.01525356782599</v>
      </c>
      <c r="BF135" s="15">
        <v>181.5939972836494</v>
      </c>
      <c r="BG135" s="15">
        <v>1.4723613094253218</v>
      </c>
      <c r="BH135" s="15">
        <v>335.94889497475134</v>
      </c>
      <c r="BI135" s="15">
        <v>0</v>
      </c>
      <c r="BJ135" s="15">
        <v>1585.2082096948654</v>
      </c>
      <c r="BK135" s="15">
        <v>1669.209922558279</v>
      </c>
      <c r="BL135" s="15">
        <v>-0.40593762927526317</v>
      </c>
      <c r="BM135" s="15">
        <v>-0.41707219664705697</v>
      </c>
    </row>
    <row r="136" spans="1:65" x14ac:dyDescent="0.35">
      <c r="A136" s="15" t="s">
        <v>10767</v>
      </c>
      <c r="B136" s="15" t="s">
        <v>10566</v>
      </c>
      <c r="C136" s="15" t="s">
        <v>10594</v>
      </c>
      <c r="D136" s="15" t="s">
        <v>10324</v>
      </c>
      <c r="E136" s="15" t="s">
        <v>10902</v>
      </c>
      <c r="F136" s="15">
        <v>19348</v>
      </c>
      <c r="G136" s="15">
        <v>0.89711895463337699</v>
      </c>
      <c r="H136" s="15">
        <v>200</v>
      </c>
      <c r="I136" s="92">
        <v>3426.1694323747829</v>
      </c>
      <c r="J136" s="93">
        <v>-0.45393298728639281</v>
      </c>
      <c r="K136" s="15">
        <v>30</v>
      </c>
      <c r="L136" s="15">
        <v>92.80009997434621</v>
      </c>
      <c r="M136" s="15">
        <v>17.524622179273468</v>
      </c>
      <c r="N136" s="15">
        <v>6.7867902431863394</v>
      </c>
      <c r="O136" s="15">
        <v>1.5209027265224513</v>
      </c>
      <c r="P136" s="15">
        <v>2.3741549628714451</v>
      </c>
      <c r="Q136" s="15">
        <v>2.8917325537924445</v>
      </c>
      <c r="R136" s="15">
        <v>0.54124652189411049</v>
      </c>
      <c r="S136" s="15">
        <v>0</v>
      </c>
      <c r="T136" s="15">
        <v>2.3504860318983329</v>
      </c>
      <c r="U136" s="15">
        <v>0</v>
      </c>
      <c r="V136" s="15">
        <v>0</v>
      </c>
      <c r="W136" s="15">
        <v>0</v>
      </c>
      <c r="X136" s="15">
        <v>0</v>
      </c>
      <c r="Y136" s="15">
        <v>3461.1000470045528</v>
      </c>
      <c r="Z136" s="15">
        <v>0</v>
      </c>
      <c r="AA136" s="15">
        <v>0</v>
      </c>
      <c r="AB136" s="15">
        <v>0</v>
      </c>
      <c r="AC136" s="15">
        <v>3461.1000470045528</v>
      </c>
      <c r="AD136" s="15">
        <v>34.930614629769934</v>
      </c>
      <c r="AE136" s="15">
        <v>-66.530154120230065</v>
      </c>
      <c r="AF136" s="15">
        <v>0</v>
      </c>
      <c r="AG136" s="15">
        <v>0</v>
      </c>
      <c r="AH136" s="15">
        <v>0</v>
      </c>
      <c r="AI136" s="15">
        <v>101.46076874999999</v>
      </c>
      <c r="AJ136" s="15">
        <v>0</v>
      </c>
      <c r="AK136" s="15">
        <v>0</v>
      </c>
      <c r="AL136" s="15">
        <v>0</v>
      </c>
      <c r="AM136" s="15">
        <v>0</v>
      </c>
      <c r="AN136" s="15">
        <v>1.0092344675214176E-2</v>
      </c>
      <c r="AO136" s="15">
        <v>3426.1694323747829</v>
      </c>
      <c r="AP136" s="15">
        <v>0</v>
      </c>
      <c r="AQ136" s="15">
        <v>0</v>
      </c>
      <c r="AR136" s="15">
        <v>0</v>
      </c>
      <c r="AS136" s="15">
        <v>0</v>
      </c>
      <c r="AT136" s="15">
        <v>0</v>
      </c>
      <c r="AU136" s="15">
        <v>1670.9181069875729</v>
      </c>
      <c r="AV136" s="15">
        <v>134.26985692540714</v>
      </c>
      <c r="AW136" s="15">
        <v>134.26985692540714</v>
      </c>
      <c r="AX136" s="15">
        <v>0</v>
      </c>
      <c r="AY136" s="15">
        <v>0</v>
      </c>
      <c r="AZ136" s="15">
        <v>965.10723710577895</v>
      </c>
      <c r="BA136" s="15">
        <v>76.930878417473068</v>
      </c>
      <c r="BB136" s="15">
        <v>370.0734827867941</v>
      </c>
      <c r="BC136" s="15">
        <v>518.10287590151177</v>
      </c>
      <c r="BD136" s="15">
        <v>0</v>
      </c>
      <c r="BE136" s="15">
        <v>571.54101295638679</v>
      </c>
      <c r="BF136" s="15">
        <v>200.0240882971795</v>
      </c>
      <c r="BG136" s="15">
        <v>1.4723613094253218</v>
      </c>
      <c r="BH136" s="15">
        <v>370.04456334978204</v>
      </c>
      <c r="BI136" s="15">
        <v>0</v>
      </c>
      <c r="BJ136" s="15">
        <v>1670.9181069875729</v>
      </c>
      <c r="BK136" s="15">
        <v>1705.8487216173428</v>
      </c>
      <c r="BL136" s="15">
        <v>-0.44935173911924892</v>
      </c>
      <c r="BM136" s="15">
        <v>-0.45393298728639281</v>
      </c>
    </row>
    <row r="137" spans="1:65" x14ac:dyDescent="0.35">
      <c r="A137" s="15" t="s">
        <v>10767</v>
      </c>
      <c r="B137" s="15" t="s">
        <v>10566</v>
      </c>
      <c r="C137" s="15" t="s">
        <v>10594</v>
      </c>
      <c r="D137" s="15" t="s">
        <v>10325</v>
      </c>
      <c r="E137" s="15" t="s">
        <v>10903</v>
      </c>
      <c r="F137" s="15">
        <v>19348</v>
      </c>
      <c r="G137" s="15">
        <v>0.89711895463337699</v>
      </c>
      <c r="H137" s="15">
        <v>200</v>
      </c>
      <c r="I137" s="92">
        <v>9095.6658190378566</v>
      </c>
      <c r="J137" s="93">
        <v>-1.0915487516243634</v>
      </c>
      <c r="K137" s="15">
        <v>30</v>
      </c>
      <c r="L137" s="15">
        <v>105.03707556136314</v>
      </c>
      <c r="M137" s="15">
        <v>27.39454654946978</v>
      </c>
      <c r="N137" s="15">
        <v>6.7867902431863394</v>
      </c>
      <c r="O137" s="15">
        <v>4.959784638444253</v>
      </c>
      <c r="P137" s="15">
        <v>1.2491087442584461</v>
      </c>
      <c r="Q137" s="15">
        <v>0.57789686048364242</v>
      </c>
      <c r="R137" s="15">
        <v>0.57789686048364242</v>
      </c>
      <c r="S137" s="15">
        <v>0</v>
      </c>
      <c r="T137" s="15">
        <v>0</v>
      </c>
      <c r="U137" s="15">
        <v>4303.2927180805273</v>
      </c>
      <c r="V137" s="15">
        <v>0</v>
      </c>
      <c r="W137" s="15">
        <v>0</v>
      </c>
      <c r="X137" s="15">
        <v>0</v>
      </c>
      <c r="Y137" s="15">
        <v>5020.7965146462084</v>
      </c>
      <c r="Z137" s="15">
        <v>0</v>
      </c>
      <c r="AA137" s="15">
        <v>0</v>
      </c>
      <c r="AB137" s="15">
        <v>0</v>
      </c>
      <c r="AC137" s="15">
        <v>5020.7965146462084</v>
      </c>
      <c r="AD137" s="15">
        <v>-4074.8693043916483</v>
      </c>
      <c r="AE137" s="15">
        <v>-101.16535416459283</v>
      </c>
      <c r="AF137" s="15">
        <v>0</v>
      </c>
      <c r="AG137" s="15">
        <v>0</v>
      </c>
      <c r="AH137" s="15">
        <v>-4096.7043084564975</v>
      </c>
      <c r="AI137" s="15">
        <v>123.00035822944254</v>
      </c>
      <c r="AJ137" s="15">
        <v>0</v>
      </c>
      <c r="AK137" s="15">
        <v>0</v>
      </c>
      <c r="AL137" s="15">
        <v>0</v>
      </c>
      <c r="AM137" s="15">
        <v>0</v>
      </c>
      <c r="AN137" s="15">
        <v>-0.81159817819838187</v>
      </c>
      <c r="AO137" s="15">
        <v>9095.6658190378566</v>
      </c>
      <c r="AP137" s="15">
        <v>-4197.8696626210904</v>
      </c>
      <c r="AQ137" s="15">
        <v>-101.16535416459283</v>
      </c>
      <c r="AR137" s="15">
        <v>0</v>
      </c>
      <c r="AS137" s="15">
        <v>0</v>
      </c>
      <c r="AT137" s="15">
        <v>-4096.7043084564975</v>
      </c>
      <c r="AU137" s="15">
        <v>3165.1728116957825</v>
      </c>
      <c r="AV137" s="15">
        <v>174.32158190827715</v>
      </c>
      <c r="AW137" s="15">
        <v>174.32158190827715</v>
      </c>
      <c r="AX137" s="15">
        <v>0</v>
      </c>
      <c r="AY137" s="15">
        <v>0</v>
      </c>
      <c r="AZ137" s="15">
        <v>1605.8878550028865</v>
      </c>
      <c r="BA137" s="15">
        <v>82.718698010625417</v>
      </c>
      <c r="BB137" s="15">
        <v>634.65381541344209</v>
      </c>
      <c r="BC137" s="15">
        <v>888.51534157881895</v>
      </c>
      <c r="BD137" s="15">
        <v>0</v>
      </c>
      <c r="BE137" s="15">
        <v>1384.9633747846187</v>
      </c>
      <c r="BF137" s="15">
        <v>485.39657607310141</v>
      </c>
      <c r="BG137" s="15">
        <v>1.5831329762799125</v>
      </c>
      <c r="BH137" s="15">
        <v>897.98366573523754</v>
      </c>
      <c r="BI137" s="15">
        <v>0</v>
      </c>
      <c r="BJ137" s="15">
        <v>-1032.6968509253079</v>
      </c>
      <c r="BK137" s="15">
        <v>-5107.5661553169557</v>
      </c>
      <c r="BL137" s="15">
        <v>-1.9774477298574145</v>
      </c>
      <c r="BM137" s="15">
        <v>-1.0915487516243634</v>
      </c>
    </row>
    <row r="138" spans="1:65" x14ac:dyDescent="0.35">
      <c r="A138" s="15" t="s">
        <v>10767</v>
      </c>
      <c r="B138" s="15" t="s">
        <v>10566</v>
      </c>
      <c r="C138" s="15" t="s">
        <v>10594</v>
      </c>
      <c r="D138" s="15" t="s">
        <v>10326</v>
      </c>
      <c r="E138" s="15" t="s">
        <v>10904</v>
      </c>
      <c r="F138" s="15">
        <v>19348</v>
      </c>
      <c r="G138" s="15">
        <v>0.89711895463337699</v>
      </c>
      <c r="H138" s="15">
        <v>200</v>
      </c>
      <c r="I138" s="92">
        <v>6925.0022387538456</v>
      </c>
      <c r="J138" s="93">
        <v>-0.99182052476361182</v>
      </c>
      <c r="K138" s="15">
        <v>30</v>
      </c>
      <c r="L138" s="15">
        <v>88.89745618457647</v>
      </c>
      <c r="M138" s="15">
        <v>22.302436365095048</v>
      </c>
      <c r="N138" s="15">
        <v>6.7867902431863394</v>
      </c>
      <c r="O138" s="15">
        <v>4.959784638444253</v>
      </c>
      <c r="P138" s="15">
        <v>1.2491087442584461</v>
      </c>
      <c r="Q138" s="15">
        <v>0.57789686048364242</v>
      </c>
      <c r="R138" s="15">
        <v>0.57789686048364242</v>
      </c>
      <c r="S138" s="15">
        <v>0</v>
      </c>
      <c r="T138" s="15">
        <v>0</v>
      </c>
      <c r="U138" s="15">
        <v>4303.2927180805273</v>
      </c>
      <c r="V138" s="15">
        <v>0</v>
      </c>
      <c r="W138" s="15">
        <v>0</v>
      </c>
      <c r="X138" s="15">
        <v>0</v>
      </c>
      <c r="Y138" s="15">
        <v>4048.792229801797</v>
      </c>
      <c r="Z138" s="15">
        <v>0</v>
      </c>
      <c r="AA138" s="15">
        <v>0</v>
      </c>
      <c r="AB138" s="15">
        <v>0</v>
      </c>
      <c r="AC138" s="15">
        <v>4048.792229801797</v>
      </c>
      <c r="AD138" s="15">
        <v>-2876.2100089520486</v>
      </c>
      <c r="AE138" s="15">
        <v>-72.881337980421847</v>
      </c>
      <c r="AF138" s="15">
        <v>0</v>
      </c>
      <c r="AG138" s="15">
        <v>0</v>
      </c>
      <c r="AH138" s="15">
        <v>-2926.3290292010684</v>
      </c>
      <c r="AI138" s="15">
        <v>123.00035822944254</v>
      </c>
      <c r="AJ138" s="15">
        <v>0</v>
      </c>
      <c r="AK138" s="15">
        <v>0</v>
      </c>
      <c r="AL138" s="15">
        <v>0</v>
      </c>
      <c r="AM138" s="15">
        <v>0</v>
      </c>
      <c r="AN138" s="15">
        <v>-0.7103871588621502</v>
      </c>
      <c r="AO138" s="15">
        <v>6925.0022387538456</v>
      </c>
      <c r="AP138" s="15">
        <v>-2999.2103671814903</v>
      </c>
      <c r="AQ138" s="15">
        <v>-72.881337980421847</v>
      </c>
      <c r="AR138" s="15">
        <v>0</v>
      </c>
      <c r="AS138" s="15">
        <v>0</v>
      </c>
      <c r="AT138" s="15">
        <v>-2926.3290292010684</v>
      </c>
      <c r="AU138" s="15">
        <v>2855.8532515053107</v>
      </c>
      <c r="AV138" s="15">
        <v>174.32158190827715</v>
      </c>
      <c r="AW138" s="15">
        <v>174.32158190827715</v>
      </c>
      <c r="AX138" s="15">
        <v>0</v>
      </c>
      <c r="AY138" s="15">
        <v>0</v>
      </c>
      <c r="AZ138" s="15">
        <v>1605.8878550028865</v>
      </c>
      <c r="BA138" s="15">
        <v>82.718698010625417</v>
      </c>
      <c r="BB138" s="15">
        <v>634.65381541344209</v>
      </c>
      <c r="BC138" s="15">
        <v>888.51534157881895</v>
      </c>
      <c r="BD138" s="15">
        <v>0</v>
      </c>
      <c r="BE138" s="15">
        <v>1075.643814594147</v>
      </c>
      <c r="BF138" s="15">
        <v>376.86339705890077</v>
      </c>
      <c r="BG138" s="15">
        <v>1.5831329762799125</v>
      </c>
      <c r="BH138" s="15">
        <v>697.19728455896643</v>
      </c>
      <c r="BI138" s="15">
        <v>0</v>
      </c>
      <c r="BJ138" s="15">
        <v>-143.35711567617955</v>
      </c>
      <c r="BK138" s="15">
        <v>-3019.5671246282282</v>
      </c>
      <c r="BL138" s="15">
        <v>-1.6963970894516009</v>
      </c>
      <c r="BM138" s="15">
        <v>-0.99182052476361182</v>
      </c>
    </row>
    <row r="139" spans="1:65" s="56" customFormat="1" x14ac:dyDescent="0.35">
      <c r="A139" s="55" t="s">
        <v>10767</v>
      </c>
      <c r="B139" s="55" t="s">
        <v>10566</v>
      </c>
      <c r="C139" s="55" t="s">
        <v>10905</v>
      </c>
      <c r="D139" s="55" t="s">
        <v>10323</v>
      </c>
      <c r="E139" s="55" t="s">
        <v>10906</v>
      </c>
      <c r="F139" s="55">
        <v>19348</v>
      </c>
      <c r="G139" s="55">
        <v>0.89711895463337699</v>
      </c>
      <c r="H139" s="55">
        <v>200</v>
      </c>
      <c r="I139" s="55">
        <v>3062.4859535375126</v>
      </c>
      <c r="J139" s="94">
        <v>-0.41707219664705697</v>
      </c>
      <c r="K139" s="55">
        <v>30</v>
      </c>
      <c r="L139" s="55">
        <v>82.482382400525978</v>
      </c>
      <c r="M139" s="55">
        <v>16.520930450528859</v>
      </c>
      <c r="N139" s="55">
        <v>6.7867902431863394</v>
      </c>
      <c r="O139" s="55">
        <v>0.95367976497254436</v>
      </c>
      <c r="P139" s="55">
        <v>2.7389788723939272</v>
      </c>
      <c r="Q139" s="55">
        <v>3.094131605819868</v>
      </c>
      <c r="R139" s="55">
        <v>0.54124652189411049</v>
      </c>
      <c r="S139" s="55">
        <v>1.33431689576165</v>
      </c>
      <c r="T139" s="55">
        <v>1.2185681881641071</v>
      </c>
      <c r="U139" s="55">
        <v>0</v>
      </c>
      <c r="V139" s="55">
        <v>0</v>
      </c>
      <c r="W139" s="55">
        <v>0</v>
      </c>
      <c r="X139" s="55">
        <v>0</v>
      </c>
      <c r="Y139" s="55">
        <v>3146.4876664009262</v>
      </c>
      <c r="Z139" s="55">
        <v>0</v>
      </c>
      <c r="AA139" s="55">
        <v>0</v>
      </c>
      <c r="AB139" s="55">
        <v>0</v>
      </c>
      <c r="AC139" s="55">
        <v>3146.4876664009262</v>
      </c>
      <c r="AD139" s="55">
        <v>84.001712863413559</v>
      </c>
      <c r="AE139" s="55">
        <v>-17.459055886586672</v>
      </c>
      <c r="AF139" s="55">
        <v>0</v>
      </c>
      <c r="AG139" s="55">
        <v>0</v>
      </c>
      <c r="AH139" s="55">
        <v>0</v>
      </c>
      <c r="AI139" s="55">
        <v>101.46076874999999</v>
      </c>
      <c r="AJ139" s="55">
        <v>0</v>
      </c>
      <c r="AK139" s="55">
        <v>0</v>
      </c>
      <c r="AL139" s="55">
        <v>0</v>
      </c>
      <c r="AM139" s="55">
        <v>0</v>
      </c>
      <c r="AN139" s="55">
        <v>2.66969782721246E-2</v>
      </c>
      <c r="AO139" s="55">
        <v>3062.4859535375126</v>
      </c>
      <c r="AP139" s="55">
        <v>0</v>
      </c>
      <c r="AQ139" s="55">
        <v>0</v>
      </c>
      <c r="AR139" s="55">
        <v>0</v>
      </c>
      <c r="AS139" s="55">
        <v>0</v>
      </c>
      <c r="AT139" s="55">
        <v>0</v>
      </c>
      <c r="AU139" s="55">
        <v>1585.2082096948654</v>
      </c>
      <c r="AV139" s="55">
        <v>121.89444398109391</v>
      </c>
      <c r="AW139" s="55">
        <v>121.89444398109391</v>
      </c>
      <c r="AX139" s="55">
        <v>0</v>
      </c>
      <c r="AY139" s="55">
        <v>0</v>
      </c>
      <c r="AZ139" s="55">
        <v>944.29851214594555</v>
      </c>
      <c r="BA139" s="55">
        <v>76.930878417473068</v>
      </c>
      <c r="BB139" s="55">
        <v>361.40318072019687</v>
      </c>
      <c r="BC139" s="55">
        <v>505.96445300827554</v>
      </c>
      <c r="BD139" s="55">
        <v>0</v>
      </c>
      <c r="BE139" s="55">
        <v>519.01525356782599</v>
      </c>
      <c r="BF139" s="55">
        <v>181.5939972836494</v>
      </c>
      <c r="BG139" s="55">
        <v>1.4723613094253218</v>
      </c>
      <c r="BH139" s="55">
        <v>335.94889497475134</v>
      </c>
      <c r="BI139" s="55">
        <v>0</v>
      </c>
      <c r="BJ139" s="55">
        <v>1585.2082096948654</v>
      </c>
      <c r="BK139" s="55">
        <v>1669.209922558279</v>
      </c>
      <c r="BL139" s="55">
        <v>-0.40593762927526317</v>
      </c>
      <c r="BM139" s="55">
        <v>-0.41707219664705697</v>
      </c>
    </row>
    <row r="140" spans="1:65" s="56" customFormat="1" x14ac:dyDescent="0.35">
      <c r="A140" s="15" t="s">
        <v>10767</v>
      </c>
      <c r="B140" s="15" t="s">
        <v>10566</v>
      </c>
      <c r="C140" s="15" t="s">
        <v>10596</v>
      </c>
      <c r="D140" s="15" t="s">
        <v>10320</v>
      </c>
      <c r="E140" s="15" t="s">
        <v>10907</v>
      </c>
      <c r="F140" s="15">
        <v>169970</v>
      </c>
      <c r="G140" s="15">
        <v>0.89712437569563031</v>
      </c>
      <c r="H140" s="15">
        <v>200</v>
      </c>
      <c r="I140" s="92">
        <v>498.31720653391039</v>
      </c>
      <c r="J140" s="93">
        <v>0.29451805767617939</v>
      </c>
      <c r="K140" s="15">
        <v>30</v>
      </c>
      <c r="L140" s="15">
        <v>167.51684928983394</v>
      </c>
      <c r="M140" s="15">
        <v>24.424121954192128</v>
      </c>
      <c r="N140" s="15">
        <v>59.62154787310557</v>
      </c>
      <c r="O140" s="15">
        <v>11.113128605033575</v>
      </c>
      <c r="P140" s="15">
        <v>23.084941647922584</v>
      </c>
      <c r="Q140" s="15">
        <v>25.423477620149402</v>
      </c>
      <c r="R140" s="15">
        <v>4.7548184428801701</v>
      </c>
      <c r="S140" s="15">
        <v>9.9636102566531299</v>
      </c>
      <c r="T140" s="15">
        <v>10.705048920616104</v>
      </c>
      <c r="U140" s="15">
        <v>0</v>
      </c>
      <c r="V140" s="15">
        <v>7240.1784388992992</v>
      </c>
      <c r="W140" s="15">
        <v>0</v>
      </c>
      <c r="X140" s="15">
        <v>0</v>
      </c>
      <c r="Y140" s="15">
        <v>639.47267962737794</v>
      </c>
      <c r="Z140" s="15">
        <v>0</v>
      </c>
      <c r="AA140" s="15">
        <v>0</v>
      </c>
      <c r="AB140" s="15">
        <v>0</v>
      </c>
      <c r="AC140" s="15">
        <v>639.47267962737794</v>
      </c>
      <c r="AD140" s="15">
        <v>141.15547309346755</v>
      </c>
      <c r="AE140" s="15">
        <v>18.01753637820655</v>
      </c>
      <c r="AF140" s="15">
        <v>0</v>
      </c>
      <c r="AG140" s="15">
        <v>0</v>
      </c>
      <c r="AH140" s="15">
        <v>21.677167965261123</v>
      </c>
      <c r="AI140" s="15">
        <v>101.46076874999997</v>
      </c>
      <c r="AJ140" s="15">
        <v>0</v>
      </c>
      <c r="AK140" s="15">
        <v>0</v>
      </c>
      <c r="AL140" s="15">
        <v>0</v>
      </c>
      <c r="AM140" s="15">
        <v>0</v>
      </c>
      <c r="AN140" s="15">
        <v>0.22073730057665503</v>
      </c>
      <c r="AO140" s="15">
        <v>498.31720653391039</v>
      </c>
      <c r="AP140" s="15">
        <v>39.694704343467677</v>
      </c>
      <c r="AQ140" s="15">
        <v>18.01753637820655</v>
      </c>
      <c r="AR140" s="15">
        <v>0</v>
      </c>
      <c r="AS140" s="15">
        <v>0</v>
      </c>
      <c r="AT140" s="15">
        <v>21.677167965261123</v>
      </c>
      <c r="AU140" s="15">
        <v>405.3859179654296</v>
      </c>
      <c r="AV140" s="15">
        <v>87.792547173790282</v>
      </c>
      <c r="AW140" s="15">
        <v>87.792547173790282</v>
      </c>
      <c r="AX140" s="15">
        <v>0</v>
      </c>
      <c r="AY140" s="15">
        <v>0</v>
      </c>
      <c r="AZ140" s="15">
        <v>225.33975243135922</v>
      </c>
      <c r="BA140" s="15">
        <v>76.930878417473082</v>
      </c>
      <c r="BB140" s="15">
        <v>61.837030839119215</v>
      </c>
      <c r="BC140" s="15">
        <v>86.571843174766897</v>
      </c>
      <c r="BD140" s="15">
        <v>0</v>
      </c>
      <c r="BE140" s="15">
        <v>92.253618360280058</v>
      </c>
      <c r="BF140" s="15">
        <v>31.853072649422714</v>
      </c>
      <c r="BG140" s="15">
        <v>1.4723613094253223</v>
      </c>
      <c r="BH140" s="15">
        <v>58.928184401432013</v>
      </c>
      <c r="BI140" s="15">
        <v>0</v>
      </c>
      <c r="BJ140" s="15">
        <v>445.08062230889726</v>
      </c>
      <c r="BK140" s="55">
        <v>586.23609540236475</v>
      </c>
      <c r="BL140" s="55">
        <v>0.22950693665365995</v>
      </c>
      <c r="BM140" s="55">
        <v>0.29451805767617939</v>
      </c>
    </row>
    <row r="141" spans="1:65" s="52" customFormat="1" x14ac:dyDescent="0.35">
      <c r="A141" s="15" t="s">
        <v>10767</v>
      </c>
      <c r="B141" s="15" t="s">
        <v>10566</v>
      </c>
      <c r="C141" s="15" t="s">
        <v>10596</v>
      </c>
      <c r="D141" s="15" t="s">
        <v>10321</v>
      </c>
      <c r="E141" s="15" t="s">
        <v>10908</v>
      </c>
      <c r="F141" s="15">
        <v>169970</v>
      </c>
      <c r="G141" s="15">
        <v>0.89712437569563031</v>
      </c>
      <c r="H141" s="15">
        <v>200</v>
      </c>
      <c r="I141" s="92">
        <v>635.57545321324255</v>
      </c>
      <c r="J141" s="93">
        <v>-1.0045295390628843E-2</v>
      </c>
      <c r="K141" s="15">
        <v>30</v>
      </c>
      <c r="L141" s="15">
        <v>167.51684928983394</v>
      </c>
      <c r="M141" s="15">
        <v>24.424121954192128</v>
      </c>
      <c r="N141" s="15">
        <v>59.62154787310557</v>
      </c>
      <c r="O141" s="15">
        <v>11.113128605033575</v>
      </c>
      <c r="P141" s="15">
        <v>23.084941647922584</v>
      </c>
      <c r="Q141" s="15">
        <v>25.423477620149402</v>
      </c>
      <c r="R141" s="15">
        <v>4.7548184428801701</v>
      </c>
      <c r="S141" s="15">
        <v>9.9636102566531299</v>
      </c>
      <c r="T141" s="15">
        <v>10.705048920616104</v>
      </c>
      <c r="U141" s="15">
        <v>0</v>
      </c>
      <c r="V141" s="15">
        <v>0</v>
      </c>
      <c r="W141" s="15">
        <v>1810.0446097248248</v>
      </c>
      <c r="X141" s="15">
        <v>0</v>
      </c>
      <c r="Y141" s="15">
        <v>639.47267962737794</v>
      </c>
      <c r="Z141" s="15">
        <v>0</v>
      </c>
      <c r="AA141" s="15">
        <v>0</v>
      </c>
      <c r="AB141" s="15">
        <v>0</v>
      </c>
      <c r="AC141" s="15">
        <v>639.47267962737794</v>
      </c>
      <c r="AD141" s="15">
        <v>3.8972264141353889</v>
      </c>
      <c r="AE141" s="15">
        <v>-20.47344647640119</v>
      </c>
      <c r="AF141" s="15">
        <v>10.171733927045288</v>
      </c>
      <c r="AG141" s="15">
        <v>-117.05615908790057</v>
      </c>
      <c r="AH141" s="15">
        <v>0</v>
      </c>
      <c r="AI141" s="15">
        <v>101.46076874999997</v>
      </c>
      <c r="AJ141" s="15">
        <v>0</v>
      </c>
      <c r="AK141" s="15">
        <v>29.794329301391947</v>
      </c>
      <c r="AL141" s="15">
        <v>0</v>
      </c>
      <c r="AM141" s="15">
        <v>0</v>
      </c>
      <c r="AN141" s="15">
        <v>6.0944377114067029E-3</v>
      </c>
      <c r="AO141" s="15">
        <v>635.57545321324255</v>
      </c>
      <c r="AP141" s="15">
        <v>0</v>
      </c>
      <c r="AQ141" s="15">
        <v>0</v>
      </c>
      <c r="AR141" s="15">
        <v>0</v>
      </c>
      <c r="AS141" s="15">
        <v>0</v>
      </c>
      <c r="AT141" s="15">
        <v>0</v>
      </c>
      <c r="AU141" s="15">
        <v>429.19091004268273</v>
      </c>
      <c r="AV141" s="15">
        <v>87.792547173790282</v>
      </c>
      <c r="AW141" s="15">
        <v>87.792547173790282</v>
      </c>
      <c r="AX141" s="15">
        <v>0</v>
      </c>
      <c r="AY141" s="15">
        <v>0</v>
      </c>
      <c r="AZ141" s="15">
        <v>225.33975243135922</v>
      </c>
      <c r="BA141" s="15">
        <v>76.930878417473082</v>
      </c>
      <c r="BB141" s="15">
        <v>61.837030839119215</v>
      </c>
      <c r="BC141" s="15">
        <v>86.571843174766897</v>
      </c>
      <c r="BD141" s="15">
        <v>0</v>
      </c>
      <c r="BE141" s="15">
        <v>116.05861043753325</v>
      </c>
      <c r="BF141" s="15">
        <v>40.205701448458917</v>
      </c>
      <c r="BG141" s="15">
        <v>1.4723613094253223</v>
      </c>
      <c r="BH141" s="15">
        <v>74.380547679648998</v>
      </c>
      <c r="BI141" s="15">
        <v>0</v>
      </c>
      <c r="BJ141" s="15">
        <v>429.19091004268273</v>
      </c>
      <c r="BK141" s="51">
        <v>433.08813645681812</v>
      </c>
      <c r="BL141" s="51">
        <v>-9.9840749635779734E-3</v>
      </c>
      <c r="BM141" s="51">
        <v>-1.0045295390628843E-2</v>
      </c>
    </row>
    <row r="142" spans="1:65" x14ac:dyDescent="0.35">
      <c r="A142" s="15" t="s">
        <v>10767</v>
      </c>
      <c r="B142" s="15" t="s">
        <v>10566</v>
      </c>
      <c r="C142" s="15" t="s">
        <v>10596</v>
      </c>
      <c r="D142" s="15" t="s">
        <v>10322</v>
      </c>
      <c r="E142" s="15" t="s">
        <v>10909</v>
      </c>
      <c r="F142" s="15">
        <v>169970</v>
      </c>
      <c r="G142" s="15">
        <v>0.89712437569563031</v>
      </c>
      <c r="H142" s="15">
        <v>200</v>
      </c>
      <c r="I142" s="92">
        <v>524.53504708620892</v>
      </c>
      <c r="J142" s="93">
        <v>0.1704839988630058</v>
      </c>
      <c r="K142" s="15">
        <v>30</v>
      </c>
      <c r="L142" s="15">
        <v>167.51684928983394</v>
      </c>
      <c r="M142" s="15">
        <v>24.424121954192128</v>
      </c>
      <c r="N142" s="15">
        <v>59.62154787310557</v>
      </c>
      <c r="O142" s="15">
        <v>11.113128605033575</v>
      </c>
      <c r="P142" s="15">
        <v>23.084941647922584</v>
      </c>
      <c r="Q142" s="15">
        <v>25.423477620149402</v>
      </c>
      <c r="R142" s="15">
        <v>4.7548184428801701</v>
      </c>
      <c r="S142" s="15">
        <v>9.9636102566531299</v>
      </c>
      <c r="T142" s="15">
        <v>10.705048920616104</v>
      </c>
      <c r="U142" s="15">
        <v>0</v>
      </c>
      <c r="V142" s="15">
        <v>0</v>
      </c>
      <c r="W142" s="15">
        <v>0</v>
      </c>
      <c r="X142" s="15">
        <v>1810044.6097248248</v>
      </c>
      <c r="Y142" s="15">
        <v>639.47267962737794</v>
      </c>
      <c r="Z142" s="15">
        <v>0</v>
      </c>
      <c r="AA142" s="15">
        <v>0</v>
      </c>
      <c r="AB142" s="15">
        <v>0</v>
      </c>
      <c r="AC142" s="15">
        <v>639.47267962737794</v>
      </c>
      <c r="AD142" s="15">
        <v>114.93763254116902</v>
      </c>
      <c r="AE142" s="15">
        <v>-20.47344647640119</v>
      </c>
      <c r="AF142" s="15">
        <v>0</v>
      </c>
      <c r="AG142" s="15">
        <v>0</v>
      </c>
      <c r="AH142" s="15">
        <v>0</v>
      </c>
      <c r="AI142" s="15">
        <v>101.46076874999997</v>
      </c>
      <c r="AJ142" s="15">
        <v>0</v>
      </c>
      <c r="AK142" s="15">
        <v>33.950310267570245</v>
      </c>
      <c r="AL142" s="15">
        <v>0</v>
      </c>
      <c r="AM142" s="15">
        <v>0</v>
      </c>
      <c r="AN142" s="15">
        <v>0.17973814394720258</v>
      </c>
      <c r="AO142" s="15">
        <v>524.53504708620892</v>
      </c>
      <c r="AP142" s="15">
        <v>0</v>
      </c>
      <c r="AQ142" s="15">
        <v>0</v>
      </c>
      <c r="AR142" s="15">
        <v>0</v>
      </c>
      <c r="AS142" s="15">
        <v>0</v>
      </c>
      <c r="AT142" s="15">
        <v>0</v>
      </c>
      <c r="AU142" s="15">
        <v>413.95987945726085</v>
      </c>
      <c r="AV142" s="15">
        <v>87.792547173790282</v>
      </c>
      <c r="AW142" s="15">
        <v>87.792547173790282</v>
      </c>
      <c r="AX142" s="15">
        <v>0</v>
      </c>
      <c r="AY142" s="15">
        <v>0</v>
      </c>
      <c r="AZ142" s="15">
        <v>225.33975243135922</v>
      </c>
      <c r="BA142" s="15">
        <v>76.930878417473082</v>
      </c>
      <c r="BB142" s="15">
        <v>61.837030839119215</v>
      </c>
      <c r="BC142" s="15">
        <v>86.571843174766897</v>
      </c>
      <c r="BD142" s="15">
        <v>0</v>
      </c>
      <c r="BE142" s="15">
        <v>100.82757985211134</v>
      </c>
      <c r="BF142" s="15">
        <v>34.861480190416152</v>
      </c>
      <c r="BG142" s="15">
        <v>1.4723613094253223</v>
      </c>
      <c r="BH142" s="15">
        <v>64.493738352269872</v>
      </c>
      <c r="BI142" s="15">
        <v>0</v>
      </c>
      <c r="BJ142" s="15">
        <v>413.95987945726085</v>
      </c>
      <c r="BK142" s="15">
        <v>528.89751199842988</v>
      </c>
      <c r="BL142" s="15">
        <v>0.13984152133467215</v>
      </c>
      <c r="BM142" s="15">
        <v>0.1704839988630058</v>
      </c>
    </row>
    <row r="143" spans="1:65" x14ac:dyDescent="0.35">
      <c r="A143" s="15" t="s">
        <v>10767</v>
      </c>
      <c r="B143" s="15" t="s">
        <v>10566</v>
      </c>
      <c r="C143" s="15" t="s">
        <v>10596</v>
      </c>
      <c r="D143" s="15" t="s">
        <v>10323</v>
      </c>
      <c r="E143" s="15" t="s">
        <v>10910</v>
      </c>
      <c r="F143" s="15">
        <v>169970</v>
      </c>
      <c r="G143" s="15">
        <v>0.89712437569563031</v>
      </c>
      <c r="H143" s="15">
        <v>200</v>
      </c>
      <c r="I143" s="92">
        <v>437.8301137288729</v>
      </c>
      <c r="J143" s="93">
        <v>0.25886303502538466</v>
      </c>
      <c r="K143" s="15">
        <v>30</v>
      </c>
      <c r="L143" s="15">
        <v>124.64676516035033</v>
      </c>
      <c r="M143" s="15">
        <v>20.941496854798132</v>
      </c>
      <c r="N143" s="15">
        <v>59.62154787310557</v>
      </c>
      <c r="O143" s="15">
        <v>8.3780199071287935</v>
      </c>
      <c r="P143" s="15">
        <v>24.061766182888579</v>
      </c>
      <c r="Q143" s="15">
        <v>27.181761783088191</v>
      </c>
      <c r="R143" s="15">
        <v>4.7548184428801701</v>
      </c>
      <c r="S143" s="15">
        <v>11.721894419591919</v>
      </c>
      <c r="T143" s="15">
        <v>10.705048920616104</v>
      </c>
      <c r="U143" s="15">
        <v>0</v>
      </c>
      <c r="V143" s="15">
        <v>0</v>
      </c>
      <c r="W143" s="15">
        <v>0</v>
      </c>
      <c r="X143" s="15">
        <v>0</v>
      </c>
      <c r="Y143" s="15">
        <v>521.83182659228623</v>
      </c>
      <c r="Z143" s="15">
        <v>0</v>
      </c>
      <c r="AA143" s="15">
        <v>0</v>
      </c>
      <c r="AB143" s="15">
        <v>0</v>
      </c>
      <c r="AC143" s="15">
        <v>521.83182659228623</v>
      </c>
      <c r="AD143" s="15">
        <v>84.001712863413331</v>
      </c>
      <c r="AE143" s="15">
        <v>-17.459055886586665</v>
      </c>
      <c r="AF143" s="15">
        <v>0</v>
      </c>
      <c r="AG143" s="15">
        <v>0</v>
      </c>
      <c r="AH143" s="15">
        <v>0</v>
      </c>
      <c r="AI143" s="15">
        <v>101.46076874999997</v>
      </c>
      <c r="AJ143" s="15">
        <v>0</v>
      </c>
      <c r="AK143" s="15">
        <v>0</v>
      </c>
      <c r="AL143" s="15">
        <v>0</v>
      </c>
      <c r="AM143" s="15">
        <v>0</v>
      </c>
      <c r="AN143" s="15">
        <v>0.16097468299695128</v>
      </c>
      <c r="AO143" s="15">
        <v>437.8301137288729</v>
      </c>
      <c r="AP143" s="15">
        <v>0</v>
      </c>
      <c r="AQ143" s="15">
        <v>0</v>
      </c>
      <c r="AR143" s="15">
        <v>0</v>
      </c>
      <c r="AS143" s="15">
        <v>0</v>
      </c>
      <c r="AT143" s="15">
        <v>0</v>
      </c>
      <c r="AU143" s="15">
        <v>351.16814579423828</v>
      </c>
      <c r="AV143" s="15">
        <v>84.388201942777002</v>
      </c>
      <c r="AW143" s="15">
        <v>84.388201942777002</v>
      </c>
      <c r="AX143" s="15">
        <v>0</v>
      </c>
      <c r="AY143" s="15">
        <v>0</v>
      </c>
      <c r="AZ143" s="15">
        <v>183.21137965200384</v>
      </c>
      <c r="BA143" s="15">
        <v>76.930878417473082</v>
      </c>
      <c r="BB143" s="15">
        <v>44.283542181054479</v>
      </c>
      <c r="BC143" s="15">
        <v>61.996959053476267</v>
      </c>
      <c r="BD143" s="15">
        <v>0</v>
      </c>
      <c r="BE143" s="15">
        <v>83.568564199457427</v>
      </c>
      <c r="BF143" s="15">
        <v>28.80568522457267</v>
      </c>
      <c r="BG143" s="15">
        <v>1.4723613094253223</v>
      </c>
      <c r="BH143" s="15">
        <v>53.29051766545944</v>
      </c>
      <c r="BI143" s="15">
        <v>0</v>
      </c>
      <c r="BJ143" s="15">
        <v>351.16814579423828</v>
      </c>
      <c r="BK143" s="15">
        <v>435.16985865765162</v>
      </c>
      <c r="BL143" s="15">
        <v>0.21719264002254468</v>
      </c>
      <c r="BM143" s="15">
        <v>0.25886303502538466</v>
      </c>
    </row>
    <row r="144" spans="1:65" x14ac:dyDescent="0.35">
      <c r="A144" s="15" t="s">
        <v>10767</v>
      </c>
      <c r="B144" s="15" t="s">
        <v>10566</v>
      </c>
      <c r="C144" s="15" t="s">
        <v>10596</v>
      </c>
      <c r="D144" s="15" t="s">
        <v>10324</v>
      </c>
      <c r="E144" s="15" t="s">
        <v>10911</v>
      </c>
      <c r="F144" s="15">
        <v>169970</v>
      </c>
      <c r="G144" s="15">
        <v>0.89712437569563031</v>
      </c>
      <c r="H144" s="15">
        <v>200</v>
      </c>
      <c r="I144" s="92">
        <v>560.30081148708678</v>
      </c>
      <c r="J144" s="93">
        <v>3.3433548267874952E-2</v>
      </c>
      <c r="K144" s="15">
        <v>30</v>
      </c>
      <c r="L144" s="15">
        <v>186.24869869832827</v>
      </c>
      <c r="M144" s="15">
        <v>23.632979219599001</v>
      </c>
      <c r="N144" s="15">
        <v>59.62154787310557</v>
      </c>
      <c r="O144" s="15">
        <v>13.361039824493275</v>
      </c>
      <c r="P144" s="15">
        <v>20.856809876969791</v>
      </c>
      <c r="Q144" s="15">
        <v>25.4036981716425</v>
      </c>
      <c r="R144" s="15">
        <v>4.7548184428801701</v>
      </c>
      <c r="S144" s="15">
        <v>0</v>
      </c>
      <c r="T144" s="15">
        <v>20.648879728762335</v>
      </c>
      <c r="U144" s="15">
        <v>0</v>
      </c>
      <c r="V144" s="15">
        <v>0</v>
      </c>
      <c r="W144" s="15">
        <v>0</v>
      </c>
      <c r="X144" s="15">
        <v>0</v>
      </c>
      <c r="Y144" s="15">
        <v>643.37532145469243</v>
      </c>
      <c r="Z144" s="15">
        <v>0</v>
      </c>
      <c r="AA144" s="15">
        <v>0</v>
      </c>
      <c r="AB144" s="15">
        <v>0</v>
      </c>
      <c r="AC144" s="15">
        <v>643.37532145469243</v>
      </c>
      <c r="AD144" s="15">
        <v>83.07450996760565</v>
      </c>
      <c r="AE144" s="15">
        <v>-18.386258782394336</v>
      </c>
      <c r="AF144" s="15">
        <v>0</v>
      </c>
      <c r="AG144" s="15">
        <v>0</v>
      </c>
      <c r="AH144" s="15">
        <v>0</v>
      </c>
      <c r="AI144" s="15">
        <v>101.46076874999997</v>
      </c>
      <c r="AJ144" s="15">
        <v>0</v>
      </c>
      <c r="AK144" s="15">
        <v>0</v>
      </c>
      <c r="AL144" s="15">
        <v>0</v>
      </c>
      <c r="AM144" s="15">
        <v>0</v>
      </c>
      <c r="AN144" s="15">
        <v>0.12912293524061741</v>
      </c>
      <c r="AO144" s="15">
        <v>560.30081148708678</v>
      </c>
      <c r="AP144" s="15">
        <v>0</v>
      </c>
      <c r="AQ144" s="15">
        <v>0</v>
      </c>
      <c r="AR144" s="15">
        <v>0</v>
      </c>
      <c r="AS144" s="15">
        <v>0</v>
      </c>
      <c r="AT144" s="15">
        <v>0</v>
      </c>
      <c r="AU144" s="15">
        <v>379.03365571246974</v>
      </c>
      <c r="AV144" s="15">
        <v>95.998442179653225</v>
      </c>
      <c r="AW144" s="15">
        <v>95.998442179653225</v>
      </c>
      <c r="AX144" s="15">
        <v>0</v>
      </c>
      <c r="AY144" s="15">
        <v>0</v>
      </c>
      <c r="AZ144" s="15">
        <v>181.78648194226105</v>
      </c>
      <c r="BA144" s="15">
        <v>76.930878417473082</v>
      </c>
      <c r="BB144" s="15">
        <v>43.689834801994991</v>
      </c>
      <c r="BC144" s="15">
        <v>61.165768722792983</v>
      </c>
      <c r="BD144" s="15">
        <v>0</v>
      </c>
      <c r="BE144" s="15">
        <v>101.24873159055545</v>
      </c>
      <c r="BF144" s="15">
        <v>35.0092527302211</v>
      </c>
      <c r="BG144" s="15">
        <v>1.4723613094253223</v>
      </c>
      <c r="BH144" s="15">
        <v>64.76711755090902</v>
      </c>
      <c r="BI144" s="15">
        <v>0</v>
      </c>
      <c r="BJ144" s="15">
        <v>379.03365571246974</v>
      </c>
      <c r="BK144" s="15">
        <v>462.10816568007539</v>
      </c>
      <c r="BL144" s="15">
        <v>2.9116510380018078E-2</v>
      </c>
      <c r="BM144" s="15">
        <v>3.3433548267874952E-2</v>
      </c>
    </row>
    <row r="145" spans="1:65" x14ac:dyDescent="0.35">
      <c r="A145" s="15" t="s">
        <v>10767</v>
      </c>
      <c r="B145" s="15" t="s">
        <v>10566</v>
      </c>
      <c r="C145" s="15" t="s">
        <v>10596</v>
      </c>
      <c r="D145" s="15" t="s">
        <v>10325</v>
      </c>
      <c r="E145" s="15" t="s">
        <v>10912</v>
      </c>
      <c r="F145" s="15">
        <v>169970</v>
      </c>
      <c r="G145" s="15">
        <v>0.89712437569563031</v>
      </c>
      <c r="H145" s="15">
        <v>200</v>
      </c>
      <c r="I145" s="92">
        <v>790.6935653581819</v>
      </c>
      <c r="J145" s="93">
        <v>0.14565079790291383</v>
      </c>
      <c r="K145" s="15">
        <v>30</v>
      </c>
      <c r="L145" s="15">
        <v>323.61217927697032</v>
      </c>
      <c r="M145" s="15">
        <v>38.080574188599101</v>
      </c>
      <c r="N145" s="15">
        <v>59.62154787310557</v>
      </c>
      <c r="O145" s="15">
        <v>43.571412503602616</v>
      </c>
      <c r="P145" s="15">
        <v>10.973345886045079</v>
      </c>
      <c r="Q145" s="15">
        <v>5.0767894834578708</v>
      </c>
      <c r="R145" s="15">
        <v>5.0767894834578708</v>
      </c>
      <c r="S145" s="15">
        <v>0</v>
      </c>
      <c r="T145" s="15">
        <v>0</v>
      </c>
      <c r="U145" s="15">
        <v>37804.170102444165</v>
      </c>
      <c r="V145" s="15">
        <v>0</v>
      </c>
      <c r="W145" s="15">
        <v>0</v>
      </c>
      <c r="X145" s="15">
        <v>0</v>
      </c>
      <c r="Y145" s="15">
        <v>1075.1336842057692</v>
      </c>
      <c r="Z145" s="15">
        <v>0</v>
      </c>
      <c r="AA145" s="15">
        <v>0</v>
      </c>
      <c r="AB145" s="15">
        <v>0</v>
      </c>
      <c r="AC145" s="15">
        <v>1075.1336842057692</v>
      </c>
      <c r="AD145" s="15">
        <v>284.44011884758731</v>
      </c>
      <c r="AE145" s="15">
        <v>26.101076221077545</v>
      </c>
      <c r="AF145" s="15">
        <v>0</v>
      </c>
      <c r="AG145" s="15">
        <v>0</v>
      </c>
      <c r="AH145" s="15">
        <v>133.12585358748996</v>
      </c>
      <c r="AI145" s="15">
        <v>123.00035822944253</v>
      </c>
      <c r="AJ145" s="15">
        <v>2.2128308095772247</v>
      </c>
      <c r="AK145" s="15">
        <v>0</v>
      </c>
      <c r="AL145" s="15">
        <v>0</v>
      </c>
      <c r="AM145" s="15">
        <v>0</v>
      </c>
      <c r="AN145" s="15">
        <v>0.26456255908093051</v>
      </c>
      <c r="AO145" s="15">
        <v>790.6935653581819</v>
      </c>
      <c r="AP145" s="15">
        <v>159.22692980856749</v>
      </c>
      <c r="AQ145" s="15">
        <v>26.101076221077545</v>
      </c>
      <c r="AR145" s="15">
        <v>0</v>
      </c>
      <c r="AS145" s="15">
        <v>0</v>
      </c>
      <c r="AT145" s="15">
        <v>133.12585358748996</v>
      </c>
      <c r="AU145" s="15">
        <v>546.63178424073351</v>
      </c>
      <c r="AV145" s="15">
        <v>139.55881801710035</v>
      </c>
      <c r="AW145" s="15">
        <v>139.55881801710035</v>
      </c>
      <c r="AX145" s="15">
        <v>0</v>
      </c>
      <c r="AY145" s="15">
        <v>0</v>
      </c>
      <c r="AZ145" s="15">
        <v>268.62754064143633</v>
      </c>
      <c r="BA145" s="15">
        <v>82.718698010625431</v>
      </c>
      <c r="BB145" s="15">
        <v>77.462017762837888</v>
      </c>
      <c r="BC145" s="15">
        <v>108.44682486797302</v>
      </c>
      <c r="BD145" s="15">
        <v>0</v>
      </c>
      <c r="BE145" s="15">
        <v>138.44542558219686</v>
      </c>
      <c r="BF145" s="15">
        <v>48.021857054707702</v>
      </c>
      <c r="BG145" s="15">
        <v>1.5831329762799127</v>
      </c>
      <c r="BH145" s="15">
        <v>88.840435551209239</v>
      </c>
      <c r="BI145" s="15">
        <v>0</v>
      </c>
      <c r="BJ145" s="15">
        <v>705.85871404930094</v>
      </c>
      <c r="BK145" s="15">
        <v>990.29883289688826</v>
      </c>
      <c r="BL145" s="15">
        <v>0.10711705007753951</v>
      </c>
      <c r="BM145" s="15">
        <v>0.14565079790291383</v>
      </c>
    </row>
    <row r="146" spans="1:65" x14ac:dyDescent="0.35">
      <c r="A146" s="15" t="s">
        <v>10767</v>
      </c>
      <c r="B146" s="15" t="s">
        <v>10566</v>
      </c>
      <c r="C146" s="15" t="s">
        <v>10596</v>
      </c>
      <c r="D146" s="15" t="s">
        <v>10326</v>
      </c>
      <c r="E146" s="15" t="s">
        <v>10913</v>
      </c>
      <c r="F146" s="15">
        <v>169970</v>
      </c>
      <c r="G146" s="15">
        <v>0.89712437569563031</v>
      </c>
      <c r="H146" s="15">
        <v>200</v>
      </c>
      <c r="I146" s="92">
        <v>727.71848164817879</v>
      </c>
      <c r="J146" s="93">
        <v>0.25018656101452247</v>
      </c>
      <c r="K146" s="15">
        <v>30</v>
      </c>
      <c r="L146" s="15">
        <v>362.59187061228977</v>
      </c>
      <c r="M146" s="15">
        <v>32.846361112560267</v>
      </c>
      <c r="N146" s="15">
        <v>59.62154787310557</v>
      </c>
      <c r="O146" s="15">
        <v>43.571412503602616</v>
      </c>
      <c r="P146" s="15">
        <v>10.973345886045079</v>
      </c>
      <c r="Q146" s="15">
        <v>5.0767894834578708</v>
      </c>
      <c r="R146" s="15">
        <v>5.0767894834578708</v>
      </c>
      <c r="S146" s="15">
        <v>0</v>
      </c>
      <c r="T146" s="15">
        <v>0</v>
      </c>
      <c r="U146" s="15">
        <v>37804.170102444165</v>
      </c>
      <c r="V146" s="15">
        <v>0</v>
      </c>
      <c r="W146" s="15">
        <v>0</v>
      </c>
      <c r="X146" s="15">
        <v>0</v>
      </c>
      <c r="Y146" s="15">
        <v>1025.3581572731343</v>
      </c>
      <c r="Z146" s="15">
        <v>0</v>
      </c>
      <c r="AA146" s="15">
        <v>0</v>
      </c>
      <c r="AB146" s="15">
        <v>0</v>
      </c>
      <c r="AC146" s="15">
        <v>1025.3581572731343</v>
      </c>
      <c r="AD146" s="15">
        <v>297.63967562495554</v>
      </c>
      <c r="AE146" s="15">
        <v>28.351264929535812</v>
      </c>
      <c r="AF146" s="15">
        <v>0</v>
      </c>
      <c r="AG146" s="15">
        <v>0</v>
      </c>
      <c r="AH146" s="15">
        <v>143.72483630415817</v>
      </c>
      <c r="AI146" s="15">
        <v>123.00035822944253</v>
      </c>
      <c r="AJ146" s="15">
        <v>2.5632161618190024</v>
      </c>
      <c r="AK146" s="15">
        <v>0</v>
      </c>
      <c r="AL146" s="15">
        <v>0</v>
      </c>
      <c r="AM146" s="15">
        <v>0</v>
      </c>
      <c r="AN146" s="15">
        <v>0.29027874164136624</v>
      </c>
      <c r="AO146" s="15">
        <v>727.71848164817879</v>
      </c>
      <c r="AP146" s="15">
        <v>172.07610123369398</v>
      </c>
      <c r="AQ146" s="15">
        <v>28.351264929535812</v>
      </c>
      <c r="AR146" s="15">
        <v>0</v>
      </c>
      <c r="AS146" s="15">
        <v>0</v>
      </c>
      <c r="AT146" s="15">
        <v>143.72483630415817</v>
      </c>
      <c r="AU146" s="15">
        <v>537.70776472475256</v>
      </c>
      <c r="AV146" s="15">
        <v>139.55881801710035</v>
      </c>
      <c r="AW146" s="15">
        <v>139.55881801710035</v>
      </c>
      <c r="AX146" s="15">
        <v>0</v>
      </c>
      <c r="AY146" s="15">
        <v>0</v>
      </c>
      <c r="AZ146" s="15">
        <v>268.62754064143633</v>
      </c>
      <c r="BA146" s="15">
        <v>82.718698010625431</v>
      </c>
      <c r="BB146" s="15">
        <v>77.462017762837888</v>
      </c>
      <c r="BC146" s="15">
        <v>108.44682486797302</v>
      </c>
      <c r="BD146" s="15">
        <v>0</v>
      </c>
      <c r="BE146" s="15">
        <v>129.52140606621586</v>
      </c>
      <c r="BF146" s="15">
        <v>44.890622136819637</v>
      </c>
      <c r="BG146" s="15">
        <v>1.5831329762799127</v>
      </c>
      <c r="BH146" s="15">
        <v>83.047650953116317</v>
      </c>
      <c r="BI146" s="15">
        <v>0</v>
      </c>
      <c r="BJ146" s="15">
        <v>709.78386595844654</v>
      </c>
      <c r="BK146" s="15">
        <v>1007.4235415834021</v>
      </c>
      <c r="BL146" s="15">
        <v>0.17756272090764599</v>
      </c>
      <c r="BM146" s="15">
        <v>0.25018656101452247</v>
      </c>
    </row>
    <row r="147" spans="1:65" s="56" customFormat="1" x14ac:dyDescent="0.35">
      <c r="A147" s="55" t="s">
        <v>10767</v>
      </c>
      <c r="B147" s="55" t="s">
        <v>10566</v>
      </c>
      <c r="C147" s="55" t="s">
        <v>10914</v>
      </c>
      <c r="D147" s="55" t="s">
        <v>10323</v>
      </c>
      <c r="E147" s="55" t="s">
        <v>10915</v>
      </c>
      <c r="F147" s="55">
        <v>169970</v>
      </c>
      <c r="G147" s="55">
        <v>0.89712437569563031</v>
      </c>
      <c r="H147" s="55">
        <v>200</v>
      </c>
      <c r="I147" s="55">
        <v>437.8301137288729</v>
      </c>
      <c r="J147" s="94">
        <v>0.25886303502538466</v>
      </c>
      <c r="K147" s="55">
        <v>30</v>
      </c>
      <c r="L147" s="55">
        <v>124.64676516035033</v>
      </c>
      <c r="M147" s="55">
        <v>20.941496854798132</v>
      </c>
      <c r="N147" s="55">
        <v>59.62154787310557</v>
      </c>
      <c r="O147" s="55">
        <v>8.3780199071287935</v>
      </c>
      <c r="P147" s="55">
        <v>24.061766182888579</v>
      </c>
      <c r="Q147" s="55">
        <v>27.181761783088191</v>
      </c>
      <c r="R147" s="55">
        <v>4.7548184428801701</v>
      </c>
      <c r="S147" s="55">
        <v>11.721894419591919</v>
      </c>
      <c r="T147" s="55">
        <v>10.705048920616104</v>
      </c>
      <c r="U147" s="55">
        <v>0</v>
      </c>
      <c r="V147" s="55">
        <v>0</v>
      </c>
      <c r="W147" s="55">
        <v>0</v>
      </c>
      <c r="X147" s="55">
        <v>0</v>
      </c>
      <c r="Y147" s="55">
        <v>521.83182659228623</v>
      </c>
      <c r="Z147" s="55">
        <v>0</v>
      </c>
      <c r="AA147" s="55">
        <v>0</v>
      </c>
      <c r="AB147" s="55">
        <v>0</v>
      </c>
      <c r="AC147" s="55">
        <v>521.83182659228623</v>
      </c>
      <c r="AD147" s="55">
        <v>84.001712863413331</v>
      </c>
      <c r="AE147" s="55">
        <v>-17.459055886586665</v>
      </c>
      <c r="AF147" s="55">
        <v>0</v>
      </c>
      <c r="AG147" s="55">
        <v>0</v>
      </c>
      <c r="AH147" s="55">
        <v>0</v>
      </c>
      <c r="AI147" s="55">
        <v>101.46076874999997</v>
      </c>
      <c r="AJ147" s="55">
        <v>0</v>
      </c>
      <c r="AK147" s="55">
        <v>0</v>
      </c>
      <c r="AL147" s="55">
        <v>0</v>
      </c>
      <c r="AM147" s="55">
        <v>0</v>
      </c>
      <c r="AN147" s="55">
        <v>0.16097468299695128</v>
      </c>
      <c r="AO147" s="55">
        <v>437.8301137288729</v>
      </c>
      <c r="AP147" s="55">
        <v>0</v>
      </c>
      <c r="AQ147" s="55">
        <v>0</v>
      </c>
      <c r="AR147" s="55">
        <v>0</v>
      </c>
      <c r="AS147" s="55">
        <v>0</v>
      </c>
      <c r="AT147" s="55">
        <v>0</v>
      </c>
      <c r="AU147" s="55">
        <v>351.16814579423828</v>
      </c>
      <c r="AV147" s="55">
        <v>84.388201942777002</v>
      </c>
      <c r="AW147" s="55">
        <v>84.388201942777002</v>
      </c>
      <c r="AX147" s="55">
        <v>0</v>
      </c>
      <c r="AY147" s="55">
        <v>0</v>
      </c>
      <c r="AZ147" s="55">
        <v>183.21137965200384</v>
      </c>
      <c r="BA147" s="55">
        <v>76.930878417473082</v>
      </c>
      <c r="BB147" s="55">
        <v>44.283542181054479</v>
      </c>
      <c r="BC147" s="55">
        <v>61.996959053476267</v>
      </c>
      <c r="BD147" s="55">
        <v>0</v>
      </c>
      <c r="BE147" s="55">
        <v>83.568564199457427</v>
      </c>
      <c r="BF147" s="55">
        <v>28.80568522457267</v>
      </c>
      <c r="BG147" s="55">
        <v>1.4723613094253223</v>
      </c>
      <c r="BH147" s="55">
        <v>53.29051766545944</v>
      </c>
      <c r="BI147" s="55">
        <v>0</v>
      </c>
      <c r="BJ147" s="55">
        <v>351.16814579423828</v>
      </c>
      <c r="BK147" s="55">
        <v>435.16985865765162</v>
      </c>
      <c r="BL147" s="55">
        <v>0.21719264002254468</v>
      </c>
      <c r="BM147" s="55">
        <v>0.25886303502538466</v>
      </c>
    </row>
    <row r="148" spans="1:65" s="52" customFormat="1" x14ac:dyDescent="0.35">
      <c r="A148" s="51" t="s">
        <v>10767</v>
      </c>
      <c r="B148" s="51" t="s">
        <v>10916</v>
      </c>
      <c r="C148" s="51" t="s">
        <v>9780</v>
      </c>
      <c r="D148" s="51" t="s">
        <v>9780</v>
      </c>
      <c r="E148" s="51" t="s">
        <v>10567</v>
      </c>
      <c r="F148" s="51">
        <f>F139</f>
        <v>19348</v>
      </c>
      <c r="G148" s="51">
        <f>G139</f>
        <v>0.89711895463337699</v>
      </c>
      <c r="H148" s="51">
        <f>(H139*N139+H147*N147)/(N139+N147)</f>
        <v>200</v>
      </c>
      <c r="I148" s="51">
        <f>(I139*N139+I147*N147)/(N139+N147)</f>
        <v>706.06433175947393</v>
      </c>
      <c r="J148" s="95">
        <f>(J139*N139+J147*N147)/(N139+N147)</f>
        <v>0.18978389879843854</v>
      </c>
      <c r="K148" s="51">
        <f>K139</f>
        <v>30</v>
      </c>
      <c r="L148" s="51">
        <f t="shared" ref="L148:W148" si="9">L139+L147</f>
        <v>207.12914756087631</v>
      </c>
      <c r="M148" s="51">
        <f t="shared" si="9"/>
        <v>37.46242730532699</v>
      </c>
      <c r="N148" s="51">
        <f t="shared" si="9"/>
        <v>66.408338116291915</v>
      </c>
      <c r="O148" s="51">
        <f t="shared" si="9"/>
        <v>9.3316996721013385</v>
      </c>
      <c r="P148" s="51">
        <f t="shared" si="9"/>
        <v>26.800745055282505</v>
      </c>
      <c r="Q148" s="51">
        <f t="shared" si="9"/>
        <v>30.275893388908059</v>
      </c>
      <c r="R148" s="51">
        <f t="shared" si="9"/>
        <v>5.2960649647742803</v>
      </c>
      <c r="S148" s="51">
        <f t="shared" si="9"/>
        <v>13.056211315353568</v>
      </c>
      <c r="T148" s="51">
        <f t="shared" si="9"/>
        <v>11.923617108780212</v>
      </c>
      <c r="U148" s="51">
        <f t="shared" si="9"/>
        <v>0</v>
      </c>
      <c r="V148" s="51">
        <f t="shared" si="9"/>
        <v>0</v>
      </c>
      <c r="W148" s="51">
        <f t="shared" si="9"/>
        <v>0</v>
      </c>
      <c r="X148" s="51">
        <f>(X139*N139+X147*N147)/(N139+N147)</f>
        <v>0</v>
      </c>
      <c r="Y148" s="51">
        <f>(Y139*N139+Y147*N147)/(N139+N147)</f>
        <v>790.06604462288726</v>
      </c>
      <c r="Z148" s="51">
        <f>(Z139*N139+Z147*N147)/(N139+N147)</f>
        <v>0</v>
      </c>
      <c r="AA148" s="51">
        <f>(AA139*N139+AA147*N147)/(N139+N147)</f>
        <v>0</v>
      </c>
      <c r="AB148" s="51">
        <f>(AB139*N139+AB147*N147)/(N139+N147)</f>
        <v>0</v>
      </c>
      <c r="AC148" s="51">
        <f>(AC139*N139+AC147*N147)/(N139+N147)</f>
        <v>790.06604462288726</v>
      </c>
      <c r="AD148" s="51">
        <f>(AD139*N139+AD147*N147)/(N139+N147)</f>
        <v>84.001712863413346</v>
      </c>
      <c r="AE148" s="51">
        <f>(AE139*N139+AE147*N147)/(N139+N147)</f>
        <v>-17.459055886586661</v>
      </c>
      <c r="AF148" s="51">
        <f>(AF139*N139+AF147*N147)/(N139+N147)</f>
        <v>0</v>
      </c>
      <c r="AG148" s="51">
        <f>(AG139*N139+AG147*N147)/(N139+N147)</f>
        <v>0</v>
      </c>
      <c r="AH148" s="51">
        <f>(AH139*N139+AH147*N147)/(N139+N147)</f>
        <v>0</v>
      </c>
      <c r="AI148" s="51">
        <f>(AI139*N139+AI147*N147)/(N139+N147)</f>
        <v>101.46076874999996</v>
      </c>
      <c r="AJ148" s="51">
        <f>(AJ139*N139+AJ147*N147)/(N139+N147)</f>
        <v>0</v>
      </c>
      <c r="AK148" s="51">
        <f>(AK139*N139+AK147*N147)/(N139+N147)</f>
        <v>0</v>
      </c>
      <c r="AL148" s="51">
        <f>(AL139*N139+AL147*N147)/(N139+N147)</f>
        <v>0</v>
      </c>
      <c r="AM148" s="51">
        <f>(AM139*N139+AM147*N147)/(N139+N147)</f>
        <v>0</v>
      </c>
      <c r="AN148" s="51">
        <f>(AN139*N139+AN147*N147)/(N139+N147)</f>
        <v>0.1472517885208382</v>
      </c>
      <c r="AO148" s="51">
        <f>(AO139*N139+AO147*N147)/(N139+N147)</f>
        <v>706.06433175947393</v>
      </c>
      <c r="AP148" s="51">
        <f>(AP139*N139+AP147*N147)/(N139+N147)</f>
        <v>0</v>
      </c>
      <c r="AQ148" s="51">
        <f>(AQ139*N139+AQ147*N147)/(N139+N147)</f>
        <v>0</v>
      </c>
      <c r="AR148" s="51">
        <f>(AR139*N139+AR147*N147)/(N139+N147)</f>
        <v>0</v>
      </c>
      <c r="AS148" s="51">
        <f>(AS139*N139+AS147*N147)/(N139+N147)</f>
        <v>0</v>
      </c>
      <c r="AT148" s="51">
        <f>(AT139*N139+AT147*N147)/(N139+N147)</f>
        <v>0</v>
      </c>
      <c r="AU148" s="51">
        <f>(AU139*N139+AU147*N147)/(N139+N147)</f>
        <v>477.28440322437484</v>
      </c>
      <c r="AV148" s="51">
        <f>(AV139*N139+AV147*N147)/(N139+N147)</f>
        <v>88.221259729563968</v>
      </c>
      <c r="AW148" s="51">
        <f>(AW139*N139+AW147*N147)/(N139+N147)</f>
        <v>88.221259729563968</v>
      </c>
      <c r="AX148" s="51">
        <f>(AX139*N139+AX147*N147)/(N139+N147)</f>
        <v>0</v>
      </c>
      <c r="AY148" s="51">
        <f>(AY139*N139+AY147*N147)/(N139+N147)</f>
        <v>0</v>
      </c>
      <c r="AZ148" s="51">
        <f>(AZ139*N139+AZ147*N147)/(N139+N147)</f>
        <v>260.99285817626981</v>
      </c>
      <c r="BA148" s="51">
        <f>(BA139*N139+BA147*N147)/(N139+N147)</f>
        <v>76.930878417473082</v>
      </c>
      <c r="BB148" s="51">
        <f>(BB139*N139+BB147*N147)/(N139+N147)</f>
        <v>76.692491566165288</v>
      </c>
      <c r="BC148" s="51">
        <f>(BC139*N139+BC147*N147)/(N139+N147)</f>
        <v>107.36948819263141</v>
      </c>
      <c r="BD148" s="51">
        <f>(BD139*N139+BD147*N147)/(N139+N147)</f>
        <v>0</v>
      </c>
      <c r="BE148" s="51">
        <f>(BE139*N139+BE147*N147)/(N139+N147)</f>
        <v>128.07028531854107</v>
      </c>
      <c r="BF148" s="51">
        <f>(BF139*N139+BF147*N147)/(N139+N147)</f>
        <v>44.420324213724832</v>
      </c>
      <c r="BG148" s="51">
        <f>(BG139*N139+BG147*N147)/(N139+N147)</f>
        <v>1.4723613094253221</v>
      </c>
      <c r="BH148" s="51">
        <f>(BH139*N139+BH147*N147)/(N139+N147)</f>
        <v>82.177599795390947</v>
      </c>
      <c r="BI148" s="51">
        <f>(BI139*N139+BI147*N147)/(N139+N147)</f>
        <v>0</v>
      </c>
      <c r="BJ148" s="51">
        <f>(BJ139*N139+BJ147*N147)/(N139+N147)</f>
        <v>477.28440322437484</v>
      </c>
      <c r="BK148" s="51">
        <f>(BK139*N139+BK147*N147)/(N139+N147)</f>
        <v>561.28611608778817</v>
      </c>
      <c r="BL148" s="51">
        <f>(BL139*N139+BL147*N147)/(N139+N147)</f>
        <v>0.1535100581079262</v>
      </c>
      <c r="BM148" s="51">
        <f>(BM139*N139+BM147*N147)/(N139+N147)</f>
        <v>0.18978389879843854</v>
      </c>
    </row>
    <row r="149" spans="1:65" s="56" customFormat="1" x14ac:dyDescent="0.35">
      <c r="A149" s="15" t="s">
        <v>10778</v>
      </c>
      <c r="B149" s="15" t="s">
        <v>10566</v>
      </c>
      <c r="C149" s="15" t="s">
        <v>10594</v>
      </c>
      <c r="D149" s="15" t="s">
        <v>10320</v>
      </c>
      <c r="E149" s="15" t="s">
        <v>10917</v>
      </c>
      <c r="F149" s="15">
        <v>19348</v>
      </c>
      <c r="G149" s="15">
        <v>0.89711895463337699</v>
      </c>
      <c r="H149" s="15">
        <v>200</v>
      </c>
      <c r="I149" s="92">
        <v>3517.6586071021516</v>
      </c>
      <c r="J149" s="93">
        <v>-0.35377676416329551</v>
      </c>
      <c r="K149" s="15">
        <v>30</v>
      </c>
      <c r="L149" s="15">
        <v>90.240662560001539</v>
      </c>
      <c r="M149" s="15">
        <v>19.269282189149521</v>
      </c>
      <c r="N149" s="15">
        <v>6.7867902431863394</v>
      </c>
      <c r="O149" s="15">
        <v>1.2650203739835963</v>
      </c>
      <c r="P149" s="15">
        <v>2.6277857977471233</v>
      </c>
      <c r="Q149" s="15">
        <v>2.8939840714556202</v>
      </c>
      <c r="R149" s="15">
        <v>0.54124652189411049</v>
      </c>
      <c r="S149" s="15">
        <v>1.1341693613974024</v>
      </c>
      <c r="T149" s="15">
        <v>1.2185681881641071</v>
      </c>
      <c r="U149" s="15">
        <v>0</v>
      </c>
      <c r="V149" s="15">
        <v>824.15794525547892</v>
      </c>
      <c r="W149" s="15">
        <v>0</v>
      </c>
      <c r="X149" s="15">
        <v>0</v>
      </c>
      <c r="Y149" s="15">
        <v>3678.1715452456192</v>
      </c>
      <c r="Z149" s="15">
        <v>0</v>
      </c>
      <c r="AA149" s="15">
        <v>0</v>
      </c>
      <c r="AB149" s="15">
        <v>0</v>
      </c>
      <c r="AC149" s="15">
        <v>3678.1715452456192</v>
      </c>
      <c r="AD149" s="15">
        <v>160.51293814346764</v>
      </c>
      <c r="AE149" s="15">
        <v>18.017536378206554</v>
      </c>
      <c r="AF149" s="15">
        <v>0</v>
      </c>
      <c r="AG149" s="15">
        <v>0</v>
      </c>
      <c r="AH149" s="15">
        <v>21.677167965261109</v>
      </c>
      <c r="AI149" s="15">
        <v>101.46076874999999</v>
      </c>
      <c r="AJ149" s="15">
        <v>0</v>
      </c>
      <c r="AK149" s="15">
        <v>0</v>
      </c>
      <c r="AL149" s="15">
        <v>0</v>
      </c>
      <c r="AM149" s="15">
        <v>19.357465049999995</v>
      </c>
      <c r="AN149" s="15">
        <v>4.3639328989683916E-2</v>
      </c>
      <c r="AO149" s="15">
        <v>3517.6586071021516</v>
      </c>
      <c r="AP149" s="15">
        <v>39.694704343467663</v>
      </c>
      <c r="AQ149" s="15">
        <v>18.017536378206554</v>
      </c>
      <c r="AR149" s="15">
        <v>0</v>
      </c>
      <c r="AS149" s="15">
        <v>0</v>
      </c>
      <c r="AT149" s="15">
        <v>21.677167965261109</v>
      </c>
      <c r="AU149" s="15">
        <v>2033.4980233069193</v>
      </c>
      <c r="AV149" s="15">
        <v>125.63676533448209</v>
      </c>
      <c r="AW149" s="15">
        <v>125.63676533448209</v>
      </c>
      <c r="AX149" s="15">
        <v>0</v>
      </c>
      <c r="AY149" s="15">
        <v>0</v>
      </c>
      <c r="AZ149" s="15">
        <v>1321.0146268739886</v>
      </c>
      <c r="BA149" s="15">
        <v>76.930878417473068</v>
      </c>
      <c r="BB149" s="15">
        <v>518.36822852354805</v>
      </c>
      <c r="BC149" s="15">
        <v>725.71551993296737</v>
      </c>
      <c r="BD149" s="15">
        <v>0</v>
      </c>
      <c r="BE149" s="15">
        <v>586.8466310984486</v>
      </c>
      <c r="BF149" s="15">
        <v>205.39448062772749</v>
      </c>
      <c r="BG149" s="15">
        <v>1.4723613094253218</v>
      </c>
      <c r="BH149" s="15">
        <v>379.97978916129586</v>
      </c>
      <c r="BI149" s="15">
        <v>0</v>
      </c>
      <c r="BJ149" s="15">
        <v>2073.192727650387</v>
      </c>
      <c r="BK149" s="55">
        <v>2233.7056657938547</v>
      </c>
      <c r="BL149" s="55">
        <v>-0.33833818356306766</v>
      </c>
      <c r="BM149" s="55">
        <v>-0.35377676416329551</v>
      </c>
    </row>
    <row r="150" spans="1:65" x14ac:dyDescent="0.35">
      <c r="A150" s="15" t="s">
        <v>10778</v>
      </c>
      <c r="B150" s="15" t="s">
        <v>10566</v>
      </c>
      <c r="C150" s="15" t="s">
        <v>10594</v>
      </c>
      <c r="D150" s="15" t="s">
        <v>10321</v>
      </c>
      <c r="E150" s="15" t="s">
        <v>10918</v>
      </c>
      <c r="F150" s="15">
        <v>19348</v>
      </c>
      <c r="G150" s="15">
        <v>0.89711895463337699</v>
      </c>
      <c r="H150" s="15">
        <v>200</v>
      </c>
      <c r="I150" s="92">
        <v>3479.1060108614324</v>
      </c>
      <c r="J150" s="93">
        <v>-0.367122650593174</v>
      </c>
      <c r="K150" s="15">
        <v>30</v>
      </c>
      <c r="L150" s="15">
        <v>90.240662560001539</v>
      </c>
      <c r="M150" s="15">
        <v>19.269282189149521</v>
      </c>
      <c r="N150" s="15">
        <v>6.7867902431863394</v>
      </c>
      <c r="O150" s="15">
        <v>1.2650203739835963</v>
      </c>
      <c r="P150" s="15">
        <v>2.6277857977471233</v>
      </c>
      <c r="Q150" s="15">
        <v>2.8939840714556202</v>
      </c>
      <c r="R150" s="15">
        <v>0.54124652189411049</v>
      </c>
      <c r="S150" s="15">
        <v>1.1341693613974024</v>
      </c>
      <c r="T150" s="15">
        <v>1.2185681881641071</v>
      </c>
      <c r="U150" s="15">
        <v>0</v>
      </c>
      <c r="V150" s="15">
        <v>0</v>
      </c>
      <c r="W150" s="15">
        <v>206.03948631386973</v>
      </c>
      <c r="X150" s="15">
        <v>0</v>
      </c>
      <c r="Y150" s="15">
        <v>3678.1715452456192</v>
      </c>
      <c r="Z150" s="15">
        <v>0</v>
      </c>
      <c r="AA150" s="15">
        <v>0</v>
      </c>
      <c r="AB150" s="15">
        <v>0</v>
      </c>
      <c r="AC150" s="15">
        <v>3678.1715452456192</v>
      </c>
      <c r="AD150" s="15">
        <v>199.06553438418678</v>
      </c>
      <c r="AE150" s="15">
        <v>-20.473446476401197</v>
      </c>
      <c r="AF150" s="15">
        <v>89.358076432770019</v>
      </c>
      <c r="AG150" s="15">
        <v>192.91977858064254</v>
      </c>
      <c r="AH150" s="15">
        <v>0</v>
      </c>
      <c r="AI150" s="15">
        <v>101.46076874999999</v>
      </c>
      <c r="AJ150" s="15">
        <v>0</v>
      </c>
      <c r="AK150" s="15">
        <v>-183.55710795282479</v>
      </c>
      <c r="AL150" s="15">
        <v>0</v>
      </c>
      <c r="AM150" s="15">
        <v>19.357465049999995</v>
      </c>
      <c r="AN150" s="15">
        <v>5.412078581312979E-2</v>
      </c>
      <c r="AO150" s="15">
        <v>3479.1060108614324</v>
      </c>
      <c r="AP150" s="15">
        <v>0</v>
      </c>
      <c r="AQ150" s="15">
        <v>0</v>
      </c>
      <c r="AR150" s="15">
        <v>0</v>
      </c>
      <c r="AS150" s="15">
        <v>0</v>
      </c>
      <c r="AT150" s="15">
        <v>0</v>
      </c>
      <c r="AU150" s="15">
        <v>2001.8473904593393</v>
      </c>
      <c r="AV150" s="15">
        <v>125.63676533448209</v>
      </c>
      <c r="AW150" s="15">
        <v>125.63676533448209</v>
      </c>
      <c r="AX150" s="15">
        <v>0</v>
      </c>
      <c r="AY150" s="15">
        <v>0</v>
      </c>
      <c r="AZ150" s="15">
        <v>1321.0146268739886</v>
      </c>
      <c r="BA150" s="15">
        <v>76.930878417473068</v>
      </c>
      <c r="BB150" s="15">
        <v>518.36822852354805</v>
      </c>
      <c r="BC150" s="15">
        <v>725.71551993296737</v>
      </c>
      <c r="BD150" s="15">
        <v>0</v>
      </c>
      <c r="BE150" s="15">
        <v>555.19599825086868</v>
      </c>
      <c r="BF150" s="15">
        <v>194.28899541805032</v>
      </c>
      <c r="BG150" s="15">
        <v>1.4723613094253218</v>
      </c>
      <c r="BH150" s="15">
        <v>359.43464152339305</v>
      </c>
      <c r="BI150" s="15">
        <v>0</v>
      </c>
      <c r="BJ150" s="15">
        <v>2001.8473904593393</v>
      </c>
      <c r="BK150" s="15">
        <v>2200.9129248435261</v>
      </c>
      <c r="BL150" s="15">
        <v>-0.34725368425327235</v>
      </c>
      <c r="BM150" s="15">
        <v>-0.367122650593174</v>
      </c>
    </row>
    <row r="151" spans="1:65" x14ac:dyDescent="0.35">
      <c r="A151" s="15" t="s">
        <v>10778</v>
      </c>
      <c r="B151" s="15" t="s">
        <v>10566</v>
      </c>
      <c r="C151" s="15" t="s">
        <v>10594</v>
      </c>
      <c r="D151" s="15" t="s">
        <v>10322</v>
      </c>
      <c r="E151" s="15" t="s">
        <v>10919</v>
      </c>
      <c r="F151" s="15">
        <v>19348</v>
      </c>
      <c r="G151" s="15">
        <v>0.89711895463337699</v>
      </c>
      <c r="H151" s="15">
        <v>200</v>
      </c>
      <c r="I151" s="92">
        <v>3549.7924618049092</v>
      </c>
      <c r="J151" s="93">
        <v>-0.36839350217709393</v>
      </c>
      <c r="K151" s="15">
        <v>30</v>
      </c>
      <c r="L151" s="15">
        <v>90.240662560001539</v>
      </c>
      <c r="M151" s="15">
        <v>19.269282189149521</v>
      </c>
      <c r="N151" s="15">
        <v>6.7867902431863394</v>
      </c>
      <c r="O151" s="15">
        <v>1.2650203739835963</v>
      </c>
      <c r="P151" s="15">
        <v>2.6277857977471233</v>
      </c>
      <c r="Q151" s="15">
        <v>2.8939840714556202</v>
      </c>
      <c r="R151" s="15">
        <v>0.54124652189411049</v>
      </c>
      <c r="S151" s="15">
        <v>1.1341693613974024</v>
      </c>
      <c r="T151" s="15">
        <v>1.2185681881641071</v>
      </c>
      <c r="U151" s="15">
        <v>0</v>
      </c>
      <c r="V151" s="15">
        <v>0</v>
      </c>
      <c r="W151" s="15">
        <v>0</v>
      </c>
      <c r="X151" s="15">
        <v>206039.48631386974</v>
      </c>
      <c r="Y151" s="15">
        <v>3678.1715452456192</v>
      </c>
      <c r="Z151" s="15">
        <v>0</v>
      </c>
      <c r="AA151" s="15">
        <v>0</v>
      </c>
      <c r="AB151" s="15">
        <v>0</v>
      </c>
      <c r="AC151" s="15">
        <v>3678.1715452456192</v>
      </c>
      <c r="AD151" s="15">
        <v>128.37908344071002</v>
      </c>
      <c r="AE151" s="15">
        <v>-20.473446476401197</v>
      </c>
      <c r="AF151" s="15">
        <v>0</v>
      </c>
      <c r="AG151" s="15">
        <v>0</v>
      </c>
      <c r="AH151" s="15">
        <v>0</v>
      </c>
      <c r="AI151" s="15">
        <v>101.46076874999999</v>
      </c>
      <c r="AJ151" s="15">
        <v>0</v>
      </c>
      <c r="AK151" s="15">
        <v>28.034296117110873</v>
      </c>
      <c r="AL151" s="15">
        <v>0</v>
      </c>
      <c r="AM151" s="15">
        <v>19.357465049999995</v>
      </c>
      <c r="AN151" s="15">
        <v>3.4902962480543351E-2</v>
      </c>
      <c r="AO151" s="15">
        <v>3549.7924618049092</v>
      </c>
      <c r="AP151" s="15">
        <v>0</v>
      </c>
      <c r="AQ151" s="15">
        <v>0</v>
      </c>
      <c r="AR151" s="15">
        <v>0</v>
      </c>
      <c r="AS151" s="15">
        <v>0</v>
      </c>
      <c r="AT151" s="15">
        <v>0</v>
      </c>
      <c r="AU151" s="15">
        <v>2042.0719847987507</v>
      </c>
      <c r="AV151" s="15">
        <v>125.63676533448209</v>
      </c>
      <c r="AW151" s="15">
        <v>125.63676533448209</v>
      </c>
      <c r="AX151" s="15">
        <v>0</v>
      </c>
      <c r="AY151" s="15">
        <v>0</v>
      </c>
      <c r="AZ151" s="15">
        <v>1321.0146268739886</v>
      </c>
      <c r="BA151" s="15">
        <v>76.930878417473068</v>
      </c>
      <c r="BB151" s="15">
        <v>518.36822852354805</v>
      </c>
      <c r="BC151" s="15">
        <v>725.71551993296737</v>
      </c>
      <c r="BD151" s="15">
        <v>0</v>
      </c>
      <c r="BE151" s="15">
        <v>595.42059259027985</v>
      </c>
      <c r="BF151" s="15">
        <v>208.40288816872089</v>
      </c>
      <c r="BG151" s="15">
        <v>1.4723613094253218</v>
      </c>
      <c r="BH151" s="15">
        <v>385.54534311213365</v>
      </c>
      <c r="BI151" s="15">
        <v>0</v>
      </c>
      <c r="BJ151" s="15">
        <v>2042.0719847987507</v>
      </c>
      <c r="BK151" s="15">
        <v>2170.4510682394607</v>
      </c>
      <c r="BL151" s="15">
        <v>-0.35553547759253085</v>
      </c>
      <c r="BM151" s="15">
        <v>-0.36839350217709393</v>
      </c>
    </row>
    <row r="152" spans="1:65" x14ac:dyDescent="0.35">
      <c r="A152" s="15" t="s">
        <v>10778</v>
      </c>
      <c r="B152" s="15" t="s">
        <v>10566</v>
      </c>
      <c r="C152" s="15" t="s">
        <v>10594</v>
      </c>
      <c r="D152" s="15" t="s">
        <v>10323</v>
      </c>
      <c r="E152" s="15" t="s">
        <v>10920</v>
      </c>
      <c r="F152" s="15">
        <v>19348</v>
      </c>
      <c r="G152" s="15">
        <v>0.89711895463337699</v>
      </c>
      <c r="H152" s="15">
        <v>200</v>
      </c>
      <c r="I152" s="92">
        <v>3043.1284884875126</v>
      </c>
      <c r="J152" s="93">
        <v>-0.41336416899631306</v>
      </c>
      <c r="K152" s="15">
        <v>30</v>
      </c>
      <c r="L152" s="15">
        <v>82.482382400525978</v>
      </c>
      <c r="M152" s="15">
        <v>16.520930450528859</v>
      </c>
      <c r="N152" s="15">
        <v>6.7867902431863394</v>
      </c>
      <c r="O152" s="15">
        <v>0.95367976497254436</v>
      </c>
      <c r="P152" s="15">
        <v>2.7389788723939272</v>
      </c>
      <c r="Q152" s="15">
        <v>3.094131605819868</v>
      </c>
      <c r="R152" s="15">
        <v>0.54124652189411049</v>
      </c>
      <c r="S152" s="15">
        <v>1.33431689576165</v>
      </c>
      <c r="T152" s="15">
        <v>1.2185681881641071</v>
      </c>
      <c r="U152" s="15">
        <v>0</v>
      </c>
      <c r="V152" s="15">
        <v>0</v>
      </c>
      <c r="W152" s="15">
        <v>0</v>
      </c>
      <c r="X152" s="15">
        <v>0</v>
      </c>
      <c r="Y152" s="15">
        <v>3146.4876664009262</v>
      </c>
      <c r="Z152" s="15">
        <v>0</v>
      </c>
      <c r="AA152" s="15">
        <v>0</v>
      </c>
      <c r="AB152" s="15">
        <v>0</v>
      </c>
      <c r="AC152" s="15">
        <v>3146.4876664009262</v>
      </c>
      <c r="AD152" s="15">
        <v>103.35917791341353</v>
      </c>
      <c r="AE152" s="15">
        <v>-17.459055886586672</v>
      </c>
      <c r="AF152" s="15">
        <v>0</v>
      </c>
      <c r="AG152" s="15">
        <v>0</v>
      </c>
      <c r="AH152" s="15">
        <v>0</v>
      </c>
      <c r="AI152" s="15">
        <v>101.46076874999999</v>
      </c>
      <c r="AJ152" s="15">
        <v>0</v>
      </c>
      <c r="AK152" s="15">
        <v>0</v>
      </c>
      <c r="AL152" s="15">
        <v>0</v>
      </c>
      <c r="AM152" s="15">
        <v>19.357465049999995</v>
      </c>
      <c r="AN152" s="15">
        <v>3.2849065012112294E-2</v>
      </c>
      <c r="AO152" s="15">
        <v>3043.1284884875126</v>
      </c>
      <c r="AP152" s="15">
        <v>0</v>
      </c>
      <c r="AQ152" s="15">
        <v>0</v>
      </c>
      <c r="AR152" s="15">
        <v>0</v>
      </c>
      <c r="AS152" s="15">
        <v>0</v>
      </c>
      <c r="AT152" s="15">
        <v>0</v>
      </c>
      <c r="AU152" s="15">
        <v>1585.2082096948657</v>
      </c>
      <c r="AV152" s="15">
        <v>121.89444398109391</v>
      </c>
      <c r="AW152" s="15">
        <v>121.89444398109391</v>
      </c>
      <c r="AX152" s="15">
        <v>0</v>
      </c>
      <c r="AY152" s="15">
        <v>0</v>
      </c>
      <c r="AZ152" s="15">
        <v>944.29851214594555</v>
      </c>
      <c r="BA152" s="15">
        <v>76.930878417473068</v>
      </c>
      <c r="BB152" s="15">
        <v>361.40318072019687</v>
      </c>
      <c r="BC152" s="15">
        <v>505.96445300827554</v>
      </c>
      <c r="BD152" s="15">
        <v>0</v>
      </c>
      <c r="BE152" s="15">
        <v>519.01525356782611</v>
      </c>
      <c r="BF152" s="15">
        <v>181.5939972836494</v>
      </c>
      <c r="BG152" s="15">
        <v>1.4723613094253218</v>
      </c>
      <c r="BH152" s="15">
        <v>335.9488949747514</v>
      </c>
      <c r="BI152" s="15">
        <v>0</v>
      </c>
      <c r="BJ152" s="15">
        <v>1585.2082096948657</v>
      </c>
      <c r="BK152" s="15">
        <v>1688.5673876082792</v>
      </c>
      <c r="BL152" s="15">
        <v>-0.39978554253527543</v>
      </c>
      <c r="BM152" s="15">
        <v>-0.41336416899631306</v>
      </c>
    </row>
    <row r="153" spans="1:65" x14ac:dyDescent="0.35">
      <c r="A153" s="15" t="s">
        <v>10778</v>
      </c>
      <c r="B153" s="15" t="s">
        <v>10566</v>
      </c>
      <c r="C153" s="15" t="s">
        <v>10594</v>
      </c>
      <c r="D153" s="15" t="s">
        <v>10324</v>
      </c>
      <c r="E153" s="15" t="s">
        <v>10921</v>
      </c>
      <c r="F153" s="15">
        <v>19348</v>
      </c>
      <c r="G153" s="15">
        <v>0.89711895463337699</v>
      </c>
      <c r="H153" s="15">
        <v>200</v>
      </c>
      <c r="I153" s="92">
        <v>3388.8309792172831</v>
      </c>
      <c r="J153" s="93">
        <v>-0.44791637043530036</v>
      </c>
      <c r="K153" s="15">
        <v>30</v>
      </c>
      <c r="L153" s="15">
        <v>92.80009997434621</v>
      </c>
      <c r="M153" s="15">
        <v>17.524622179273468</v>
      </c>
      <c r="N153" s="15">
        <v>6.7867902431863394</v>
      </c>
      <c r="O153" s="15">
        <v>1.5209027265224513</v>
      </c>
      <c r="P153" s="15">
        <v>2.3741549628714451</v>
      </c>
      <c r="Q153" s="15">
        <v>2.8917325537924445</v>
      </c>
      <c r="R153" s="15">
        <v>0.54124652189411049</v>
      </c>
      <c r="S153" s="15">
        <v>0</v>
      </c>
      <c r="T153" s="15">
        <v>2.3504860318983329</v>
      </c>
      <c r="U153" s="15">
        <v>0</v>
      </c>
      <c r="V153" s="15">
        <v>0</v>
      </c>
      <c r="W153" s="15">
        <v>0</v>
      </c>
      <c r="X153" s="15">
        <v>0</v>
      </c>
      <c r="Y153" s="15">
        <v>3461.1000470045528</v>
      </c>
      <c r="Z153" s="15">
        <v>0</v>
      </c>
      <c r="AA153" s="15">
        <v>0</v>
      </c>
      <c r="AB153" s="15">
        <v>0</v>
      </c>
      <c r="AC153" s="15">
        <v>3461.1000470045528</v>
      </c>
      <c r="AD153" s="15">
        <v>72.269067787269705</v>
      </c>
      <c r="AE153" s="15">
        <v>-66.530154120230065</v>
      </c>
      <c r="AF153" s="15">
        <v>0</v>
      </c>
      <c r="AG153" s="15">
        <v>0</v>
      </c>
      <c r="AH153" s="15">
        <v>0</v>
      </c>
      <c r="AI153" s="15">
        <v>101.46076874999999</v>
      </c>
      <c r="AJ153" s="15">
        <v>0</v>
      </c>
      <c r="AK153" s="15">
        <v>0</v>
      </c>
      <c r="AL153" s="15">
        <v>0</v>
      </c>
      <c r="AM153" s="15">
        <v>37.338453157499998</v>
      </c>
      <c r="AN153" s="15">
        <v>2.088037525809627E-2</v>
      </c>
      <c r="AO153" s="15">
        <v>3388.8309792172831</v>
      </c>
      <c r="AP153" s="15">
        <v>0</v>
      </c>
      <c r="AQ153" s="15">
        <v>0</v>
      </c>
      <c r="AR153" s="15">
        <v>0</v>
      </c>
      <c r="AS153" s="15">
        <v>0</v>
      </c>
      <c r="AT153" s="15">
        <v>0</v>
      </c>
      <c r="AU153" s="15">
        <v>1670.9181069875729</v>
      </c>
      <c r="AV153" s="15">
        <v>134.26985692540714</v>
      </c>
      <c r="AW153" s="15">
        <v>134.26985692540714</v>
      </c>
      <c r="AX153" s="15">
        <v>0</v>
      </c>
      <c r="AY153" s="15">
        <v>0</v>
      </c>
      <c r="AZ153" s="15">
        <v>965.10723710577895</v>
      </c>
      <c r="BA153" s="15">
        <v>76.930878417473068</v>
      </c>
      <c r="BB153" s="15">
        <v>370.0734827867941</v>
      </c>
      <c r="BC153" s="15">
        <v>518.10287590151177</v>
      </c>
      <c r="BD153" s="15">
        <v>0</v>
      </c>
      <c r="BE153" s="15">
        <v>571.54101295638679</v>
      </c>
      <c r="BF153" s="15">
        <v>200.0240882971795</v>
      </c>
      <c r="BG153" s="15">
        <v>1.4723613094253218</v>
      </c>
      <c r="BH153" s="15">
        <v>370.04456334978204</v>
      </c>
      <c r="BI153" s="15">
        <v>0</v>
      </c>
      <c r="BJ153" s="15">
        <v>1670.9181069875729</v>
      </c>
      <c r="BK153" s="15">
        <v>1743.1871747748426</v>
      </c>
      <c r="BL153" s="15">
        <v>-0.43856370853636684</v>
      </c>
      <c r="BM153" s="15">
        <v>-0.44791637043530036</v>
      </c>
    </row>
    <row r="154" spans="1:65" x14ac:dyDescent="0.35">
      <c r="A154" s="15" t="s">
        <v>10778</v>
      </c>
      <c r="B154" s="15" t="s">
        <v>10566</v>
      </c>
      <c r="C154" s="15" t="s">
        <v>10594</v>
      </c>
      <c r="D154" s="15" t="s">
        <v>10325</v>
      </c>
      <c r="E154" s="15" t="s">
        <v>10922</v>
      </c>
      <c r="F154" s="15">
        <v>19348</v>
      </c>
      <c r="G154" s="15">
        <v>0.89711895463337699</v>
      </c>
      <c r="H154" s="15">
        <v>200</v>
      </c>
      <c r="I154" s="92">
        <v>9095.6658190378566</v>
      </c>
      <c r="J154" s="93">
        <v>-1.0915487516243634</v>
      </c>
      <c r="K154" s="15">
        <v>30</v>
      </c>
      <c r="L154" s="15">
        <v>105.03707556136314</v>
      </c>
      <c r="M154" s="15">
        <v>27.39454654946978</v>
      </c>
      <c r="N154" s="15">
        <v>6.7867902431863394</v>
      </c>
      <c r="O154" s="15">
        <v>4.959784638444253</v>
      </c>
      <c r="P154" s="15">
        <v>1.2491087442584461</v>
      </c>
      <c r="Q154" s="15">
        <v>0.57789686048364242</v>
      </c>
      <c r="R154" s="15">
        <v>0.57789686048364242</v>
      </c>
      <c r="S154" s="15">
        <v>0</v>
      </c>
      <c r="T154" s="15">
        <v>0</v>
      </c>
      <c r="U154" s="15">
        <v>4303.2927180805273</v>
      </c>
      <c r="V154" s="15">
        <v>0</v>
      </c>
      <c r="W154" s="15">
        <v>0</v>
      </c>
      <c r="X154" s="15">
        <v>0</v>
      </c>
      <c r="Y154" s="15">
        <v>5020.7965146462084</v>
      </c>
      <c r="Z154" s="15">
        <v>0</v>
      </c>
      <c r="AA154" s="15">
        <v>0</v>
      </c>
      <c r="AB154" s="15">
        <v>0</v>
      </c>
      <c r="AC154" s="15">
        <v>5020.7965146462084</v>
      </c>
      <c r="AD154" s="15">
        <v>-4074.8693043916483</v>
      </c>
      <c r="AE154" s="15">
        <v>-101.16535416459283</v>
      </c>
      <c r="AF154" s="15">
        <v>0</v>
      </c>
      <c r="AG154" s="15">
        <v>0</v>
      </c>
      <c r="AH154" s="15">
        <v>-4096.7043084564975</v>
      </c>
      <c r="AI154" s="15">
        <v>123.00035822944254</v>
      </c>
      <c r="AJ154" s="15">
        <v>0</v>
      </c>
      <c r="AK154" s="15">
        <v>0</v>
      </c>
      <c r="AL154" s="15">
        <v>0</v>
      </c>
      <c r="AM154" s="15">
        <v>0</v>
      </c>
      <c r="AN154" s="15">
        <v>-0.81159817819838187</v>
      </c>
      <c r="AO154" s="15">
        <v>9095.6658190378566</v>
      </c>
      <c r="AP154" s="15">
        <v>-4197.8696626210904</v>
      </c>
      <c r="AQ154" s="15">
        <v>-101.16535416459283</v>
      </c>
      <c r="AR154" s="15">
        <v>0</v>
      </c>
      <c r="AS154" s="15">
        <v>0</v>
      </c>
      <c r="AT154" s="15">
        <v>-4096.7043084564975</v>
      </c>
      <c r="AU154" s="15">
        <v>3165.1728116957825</v>
      </c>
      <c r="AV154" s="15">
        <v>174.32158190827715</v>
      </c>
      <c r="AW154" s="15">
        <v>174.32158190827715</v>
      </c>
      <c r="AX154" s="15">
        <v>0</v>
      </c>
      <c r="AY154" s="15">
        <v>0</v>
      </c>
      <c r="AZ154" s="15">
        <v>1605.8878550028865</v>
      </c>
      <c r="BA154" s="15">
        <v>82.718698010625417</v>
      </c>
      <c r="BB154" s="15">
        <v>634.65381541344209</v>
      </c>
      <c r="BC154" s="15">
        <v>888.51534157881895</v>
      </c>
      <c r="BD154" s="15">
        <v>0</v>
      </c>
      <c r="BE154" s="15">
        <v>1384.9633747846187</v>
      </c>
      <c r="BF154" s="15">
        <v>485.39657607310141</v>
      </c>
      <c r="BG154" s="15">
        <v>1.5831329762799125</v>
      </c>
      <c r="BH154" s="15">
        <v>897.98366573523754</v>
      </c>
      <c r="BI154" s="15">
        <v>0</v>
      </c>
      <c r="BJ154" s="15">
        <v>-1032.6968509253079</v>
      </c>
      <c r="BK154" s="15">
        <v>-5107.5661553169557</v>
      </c>
      <c r="BL154" s="15">
        <v>-1.9774477298574145</v>
      </c>
      <c r="BM154" s="15">
        <v>-1.0915487516243634</v>
      </c>
    </row>
    <row r="155" spans="1:65" s="56" customFormat="1" x14ac:dyDescent="0.35">
      <c r="A155" s="15" t="s">
        <v>10778</v>
      </c>
      <c r="B155" s="15" t="s">
        <v>10566</v>
      </c>
      <c r="C155" s="15" t="s">
        <v>10594</v>
      </c>
      <c r="D155" s="15" t="s">
        <v>10326</v>
      </c>
      <c r="E155" s="15" t="s">
        <v>10923</v>
      </c>
      <c r="F155" s="15">
        <v>19348</v>
      </c>
      <c r="G155" s="15">
        <v>0.89711895463337699</v>
      </c>
      <c r="H155" s="15">
        <v>200</v>
      </c>
      <c r="I155" s="92">
        <v>6925.0022387538456</v>
      </c>
      <c r="J155" s="93">
        <v>-0.99182052476361182</v>
      </c>
      <c r="K155" s="15">
        <v>30</v>
      </c>
      <c r="L155" s="15">
        <v>88.89745618457647</v>
      </c>
      <c r="M155" s="15">
        <v>22.302436365095048</v>
      </c>
      <c r="N155" s="15">
        <v>6.7867902431863394</v>
      </c>
      <c r="O155" s="15">
        <v>4.959784638444253</v>
      </c>
      <c r="P155" s="15">
        <v>1.2491087442584461</v>
      </c>
      <c r="Q155" s="15">
        <v>0.57789686048364242</v>
      </c>
      <c r="R155" s="15">
        <v>0.57789686048364242</v>
      </c>
      <c r="S155" s="15">
        <v>0</v>
      </c>
      <c r="T155" s="15">
        <v>0</v>
      </c>
      <c r="U155" s="15">
        <v>4303.2927180805273</v>
      </c>
      <c r="V155" s="15">
        <v>0</v>
      </c>
      <c r="W155" s="15">
        <v>0</v>
      </c>
      <c r="X155" s="15">
        <v>0</v>
      </c>
      <c r="Y155" s="15">
        <v>4048.792229801797</v>
      </c>
      <c r="Z155" s="15">
        <v>0</v>
      </c>
      <c r="AA155" s="15">
        <v>0</v>
      </c>
      <c r="AB155" s="15">
        <v>0</v>
      </c>
      <c r="AC155" s="15">
        <v>4048.792229801797</v>
      </c>
      <c r="AD155" s="15">
        <v>-2876.2100089520486</v>
      </c>
      <c r="AE155" s="15">
        <v>-72.881337980421847</v>
      </c>
      <c r="AF155" s="15">
        <v>0</v>
      </c>
      <c r="AG155" s="15">
        <v>0</v>
      </c>
      <c r="AH155" s="15">
        <v>-2926.3290292010684</v>
      </c>
      <c r="AI155" s="15">
        <v>123.00035822944254</v>
      </c>
      <c r="AJ155" s="15">
        <v>0</v>
      </c>
      <c r="AK155" s="15">
        <v>0</v>
      </c>
      <c r="AL155" s="15">
        <v>0</v>
      </c>
      <c r="AM155" s="15">
        <v>0</v>
      </c>
      <c r="AN155" s="15">
        <v>-0.7103871588621502</v>
      </c>
      <c r="AO155" s="15">
        <v>6925.0022387538456</v>
      </c>
      <c r="AP155" s="15">
        <v>-2999.2103671814903</v>
      </c>
      <c r="AQ155" s="15">
        <v>-72.881337980421847</v>
      </c>
      <c r="AR155" s="15">
        <v>0</v>
      </c>
      <c r="AS155" s="15">
        <v>0</v>
      </c>
      <c r="AT155" s="15">
        <v>-2926.3290292010684</v>
      </c>
      <c r="AU155" s="15">
        <v>2855.8532515053107</v>
      </c>
      <c r="AV155" s="15">
        <v>174.32158190827715</v>
      </c>
      <c r="AW155" s="15">
        <v>174.32158190827715</v>
      </c>
      <c r="AX155" s="15">
        <v>0</v>
      </c>
      <c r="AY155" s="15">
        <v>0</v>
      </c>
      <c r="AZ155" s="15">
        <v>1605.8878550028865</v>
      </c>
      <c r="BA155" s="15">
        <v>82.718698010625417</v>
      </c>
      <c r="BB155" s="15">
        <v>634.65381541344209</v>
      </c>
      <c r="BC155" s="15">
        <v>888.51534157881895</v>
      </c>
      <c r="BD155" s="15">
        <v>0</v>
      </c>
      <c r="BE155" s="15">
        <v>1075.643814594147</v>
      </c>
      <c r="BF155" s="15">
        <v>376.86339705890077</v>
      </c>
      <c r="BG155" s="15">
        <v>1.5831329762799125</v>
      </c>
      <c r="BH155" s="15">
        <v>697.19728455896643</v>
      </c>
      <c r="BI155" s="15">
        <v>0</v>
      </c>
      <c r="BJ155" s="15">
        <v>-143.35711567617955</v>
      </c>
      <c r="BK155" s="55">
        <v>-3019.5671246282282</v>
      </c>
      <c r="BL155" s="55">
        <v>-1.6963970894516009</v>
      </c>
      <c r="BM155" s="55">
        <v>-0.99182052476361182</v>
      </c>
    </row>
    <row r="156" spans="1:65" s="54" customFormat="1" x14ac:dyDescent="0.35">
      <c r="A156" s="55" t="s">
        <v>10778</v>
      </c>
      <c r="B156" s="55" t="s">
        <v>10566</v>
      </c>
      <c r="C156" s="55" t="s">
        <v>10905</v>
      </c>
      <c r="D156" s="55" t="s">
        <v>10323</v>
      </c>
      <c r="E156" s="55" t="s">
        <v>10924</v>
      </c>
      <c r="F156" s="55">
        <v>19348</v>
      </c>
      <c r="G156" s="55">
        <v>0.89711895463337699</v>
      </c>
      <c r="H156" s="55">
        <v>200</v>
      </c>
      <c r="I156" s="55">
        <v>3043.1284884875126</v>
      </c>
      <c r="J156" s="94">
        <v>-0.41336416899631306</v>
      </c>
      <c r="K156" s="55">
        <v>30</v>
      </c>
      <c r="L156" s="55">
        <v>82.482382400525978</v>
      </c>
      <c r="M156" s="55">
        <v>16.520930450528859</v>
      </c>
      <c r="N156" s="55">
        <v>6.7867902431863394</v>
      </c>
      <c r="O156" s="55">
        <v>0.95367976497254436</v>
      </c>
      <c r="P156" s="55">
        <v>2.7389788723939272</v>
      </c>
      <c r="Q156" s="55">
        <v>3.094131605819868</v>
      </c>
      <c r="R156" s="55">
        <v>0.54124652189411049</v>
      </c>
      <c r="S156" s="55">
        <v>1.33431689576165</v>
      </c>
      <c r="T156" s="55">
        <v>1.2185681881641071</v>
      </c>
      <c r="U156" s="55">
        <v>0</v>
      </c>
      <c r="V156" s="55">
        <v>0</v>
      </c>
      <c r="W156" s="55">
        <v>0</v>
      </c>
      <c r="X156" s="55">
        <v>0</v>
      </c>
      <c r="Y156" s="55">
        <v>3146.4876664009262</v>
      </c>
      <c r="Z156" s="55">
        <v>0</v>
      </c>
      <c r="AA156" s="55">
        <v>0</v>
      </c>
      <c r="AB156" s="55">
        <v>0</v>
      </c>
      <c r="AC156" s="55">
        <v>3146.4876664009262</v>
      </c>
      <c r="AD156" s="55">
        <v>103.35917791341353</v>
      </c>
      <c r="AE156" s="55">
        <v>-17.459055886586672</v>
      </c>
      <c r="AF156" s="55">
        <v>0</v>
      </c>
      <c r="AG156" s="55">
        <v>0</v>
      </c>
      <c r="AH156" s="55">
        <v>0</v>
      </c>
      <c r="AI156" s="55">
        <v>101.46076874999999</v>
      </c>
      <c r="AJ156" s="55">
        <v>0</v>
      </c>
      <c r="AK156" s="55">
        <v>0</v>
      </c>
      <c r="AL156" s="55">
        <v>0</v>
      </c>
      <c r="AM156" s="55">
        <v>19.357465049999995</v>
      </c>
      <c r="AN156" s="55">
        <v>3.2849065012112294E-2</v>
      </c>
      <c r="AO156" s="55">
        <v>3043.1284884875126</v>
      </c>
      <c r="AP156" s="55">
        <v>0</v>
      </c>
      <c r="AQ156" s="55">
        <v>0</v>
      </c>
      <c r="AR156" s="55">
        <v>0</v>
      </c>
      <c r="AS156" s="55">
        <v>0</v>
      </c>
      <c r="AT156" s="55">
        <v>0</v>
      </c>
      <c r="AU156" s="55">
        <v>1585.2082096948657</v>
      </c>
      <c r="AV156" s="55">
        <v>121.89444398109391</v>
      </c>
      <c r="AW156" s="55">
        <v>121.89444398109391</v>
      </c>
      <c r="AX156" s="55">
        <v>0</v>
      </c>
      <c r="AY156" s="55">
        <v>0</v>
      </c>
      <c r="AZ156" s="55">
        <v>944.29851214594555</v>
      </c>
      <c r="BA156" s="55">
        <v>76.930878417473068</v>
      </c>
      <c r="BB156" s="55">
        <v>361.40318072019687</v>
      </c>
      <c r="BC156" s="55">
        <v>505.96445300827554</v>
      </c>
      <c r="BD156" s="55">
        <v>0</v>
      </c>
      <c r="BE156" s="55">
        <v>519.01525356782611</v>
      </c>
      <c r="BF156" s="55">
        <v>181.5939972836494</v>
      </c>
      <c r="BG156" s="55">
        <v>1.4723613094253218</v>
      </c>
      <c r="BH156" s="55">
        <v>335.9488949747514</v>
      </c>
      <c r="BI156" s="55">
        <v>0</v>
      </c>
      <c r="BJ156" s="55">
        <v>1585.2082096948657</v>
      </c>
      <c r="BK156" s="53">
        <v>1688.5673876082792</v>
      </c>
      <c r="BL156" s="53">
        <v>-0.39978554253527543</v>
      </c>
      <c r="BM156" s="53">
        <v>-0.41336416899631306</v>
      </c>
    </row>
    <row r="157" spans="1:65" s="56" customFormat="1" x14ac:dyDescent="0.35">
      <c r="A157" s="15" t="s">
        <v>10778</v>
      </c>
      <c r="B157" s="15" t="s">
        <v>10566</v>
      </c>
      <c r="C157" s="15" t="s">
        <v>10596</v>
      </c>
      <c r="D157" s="15" t="s">
        <v>10320</v>
      </c>
      <c r="E157" s="15" t="s">
        <v>10925</v>
      </c>
      <c r="F157" s="15">
        <v>169970</v>
      </c>
      <c r="G157" s="15">
        <v>0.89712437569563031</v>
      </c>
      <c r="H157" s="15">
        <v>200</v>
      </c>
      <c r="I157" s="92">
        <v>478.95974148391042</v>
      </c>
      <c r="J157" s="93">
        <v>0.34683683499225215</v>
      </c>
      <c r="K157" s="15">
        <v>30</v>
      </c>
      <c r="L157" s="15">
        <v>167.51684928983394</v>
      </c>
      <c r="M157" s="15">
        <v>24.424121954192128</v>
      </c>
      <c r="N157" s="15">
        <v>59.62154787310557</v>
      </c>
      <c r="O157" s="15">
        <v>11.113128605033575</v>
      </c>
      <c r="P157" s="15">
        <v>23.084941647922584</v>
      </c>
      <c r="Q157" s="15">
        <v>25.423477620149402</v>
      </c>
      <c r="R157" s="15">
        <v>4.7548184428801701</v>
      </c>
      <c r="S157" s="15">
        <v>9.9636102566531299</v>
      </c>
      <c r="T157" s="15">
        <v>10.705048920616104</v>
      </c>
      <c r="U157" s="15">
        <v>0</v>
      </c>
      <c r="V157" s="15">
        <v>7240.1784388992992</v>
      </c>
      <c r="W157" s="15">
        <v>0</v>
      </c>
      <c r="X157" s="15">
        <v>0</v>
      </c>
      <c r="Y157" s="15">
        <v>639.47267962737794</v>
      </c>
      <c r="Z157" s="15">
        <v>0</v>
      </c>
      <c r="AA157" s="15">
        <v>0</v>
      </c>
      <c r="AB157" s="15">
        <v>0</v>
      </c>
      <c r="AC157" s="15">
        <v>639.47267962737794</v>
      </c>
      <c r="AD157" s="15">
        <v>160.51293814346752</v>
      </c>
      <c r="AE157" s="15">
        <v>18.01753637820655</v>
      </c>
      <c r="AF157" s="15">
        <v>0</v>
      </c>
      <c r="AG157" s="15">
        <v>0</v>
      </c>
      <c r="AH157" s="15">
        <v>21.677167965261123</v>
      </c>
      <c r="AI157" s="15">
        <v>101.46076874999997</v>
      </c>
      <c r="AJ157" s="15">
        <v>0</v>
      </c>
      <c r="AK157" s="15">
        <v>0</v>
      </c>
      <c r="AL157" s="15">
        <v>0</v>
      </c>
      <c r="AM157" s="15">
        <v>19.357465049999995</v>
      </c>
      <c r="AN157" s="15">
        <v>0.25100828113094487</v>
      </c>
      <c r="AO157" s="15">
        <v>478.95974148391042</v>
      </c>
      <c r="AP157" s="15">
        <v>39.694704343467677</v>
      </c>
      <c r="AQ157" s="15">
        <v>18.01753637820655</v>
      </c>
      <c r="AR157" s="15">
        <v>0</v>
      </c>
      <c r="AS157" s="15">
        <v>0</v>
      </c>
      <c r="AT157" s="15">
        <v>21.677167965261123</v>
      </c>
      <c r="AU157" s="15">
        <v>405.3859179654296</v>
      </c>
      <c r="AV157" s="15">
        <v>87.792547173790282</v>
      </c>
      <c r="AW157" s="15">
        <v>87.792547173790282</v>
      </c>
      <c r="AX157" s="15">
        <v>0</v>
      </c>
      <c r="AY157" s="15">
        <v>0</v>
      </c>
      <c r="AZ157" s="15">
        <v>225.33975243135922</v>
      </c>
      <c r="BA157" s="15">
        <v>76.930878417473082</v>
      </c>
      <c r="BB157" s="15">
        <v>61.837030839119215</v>
      </c>
      <c r="BC157" s="15">
        <v>86.571843174766897</v>
      </c>
      <c r="BD157" s="15">
        <v>0</v>
      </c>
      <c r="BE157" s="15">
        <v>92.253618360280058</v>
      </c>
      <c r="BF157" s="15">
        <v>31.853072649422714</v>
      </c>
      <c r="BG157" s="15">
        <v>1.4723613094253223</v>
      </c>
      <c r="BH157" s="15">
        <v>58.928184401432013</v>
      </c>
      <c r="BI157" s="15">
        <v>0</v>
      </c>
      <c r="BJ157" s="15">
        <v>445.08062230889726</v>
      </c>
      <c r="BK157" s="55">
        <v>605.59356045236473</v>
      </c>
      <c r="BL157" s="55">
        <v>0.25977791720794979</v>
      </c>
      <c r="BM157" s="55">
        <v>0.34683683499225215</v>
      </c>
    </row>
    <row r="158" spans="1:65" s="52" customFormat="1" x14ac:dyDescent="0.35">
      <c r="A158" s="15" t="s">
        <v>10778</v>
      </c>
      <c r="B158" s="15" t="s">
        <v>10566</v>
      </c>
      <c r="C158" s="15" t="s">
        <v>10596</v>
      </c>
      <c r="D158" s="15" t="s">
        <v>10321</v>
      </c>
      <c r="E158" s="15" t="s">
        <v>10926</v>
      </c>
      <c r="F158" s="15">
        <v>169970</v>
      </c>
      <c r="G158" s="15">
        <v>0.89712437569563031</v>
      </c>
      <c r="H158" s="15">
        <v>200</v>
      </c>
      <c r="I158" s="92">
        <v>448.64202590782406</v>
      </c>
      <c r="J158" s="93">
        <v>0.35827905510151975</v>
      </c>
      <c r="K158" s="15">
        <v>30</v>
      </c>
      <c r="L158" s="15">
        <v>167.51684928983394</v>
      </c>
      <c r="M158" s="15">
        <v>24.424121954192128</v>
      </c>
      <c r="N158" s="15">
        <v>59.62154787310557</v>
      </c>
      <c r="O158" s="15">
        <v>11.113128605033575</v>
      </c>
      <c r="P158" s="15">
        <v>23.084941647922584</v>
      </c>
      <c r="Q158" s="15">
        <v>25.423477620149402</v>
      </c>
      <c r="R158" s="15">
        <v>4.7548184428801701</v>
      </c>
      <c r="S158" s="15">
        <v>9.9636102566531299</v>
      </c>
      <c r="T158" s="15">
        <v>10.705048920616104</v>
      </c>
      <c r="U158" s="15">
        <v>0</v>
      </c>
      <c r="V158" s="15">
        <v>0</v>
      </c>
      <c r="W158" s="15">
        <v>1810.0446097248248</v>
      </c>
      <c r="X158" s="15">
        <v>0</v>
      </c>
      <c r="Y158" s="15">
        <v>639.47267962737794</v>
      </c>
      <c r="Z158" s="15">
        <v>0</v>
      </c>
      <c r="AA158" s="15">
        <v>0</v>
      </c>
      <c r="AB158" s="15">
        <v>0</v>
      </c>
      <c r="AC158" s="15">
        <v>639.47267962737794</v>
      </c>
      <c r="AD158" s="15">
        <v>190.83065371955388</v>
      </c>
      <c r="AE158" s="15">
        <v>-20.47344647640119</v>
      </c>
      <c r="AF158" s="15">
        <v>10.171733927045288</v>
      </c>
      <c r="AG158" s="15">
        <v>21.960283114007893</v>
      </c>
      <c r="AH158" s="15">
        <v>0</v>
      </c>
      <c r="AI158" s="15">
        <v>101.46076874999997</v>
      </c>
      <c r="AJ158" s="15">
        <v>0</v>
      </c>
      <c r="AK158" s="15">
        <v>58.353849354901982</v>
      </c>
      <c r="AL158" s="15">
        <v>0</v>
      </c>
      <c r="AM158" s="15">
        <v>19.357465049999995</v>
      </c>
      <c r="AN158" s="15">
        <v>0.29841877503000019</v>
      </c>
      <c r="AO158" s="15">
        <v>448.64202590782406</v>
      </c>
      <c r="AP158" s="15">
        <v>0</v>
      </c>
      <c r="AQ158" s="15">
        <v>0</v>
      </c>
      <c r="AR158" s="15">
        <v>0</v>
      </c>
      <c r="AS158" s="15">
        <v>0</v>
      </c>
      <c r="AT158" s="15">
        <v>0</v>
      </c>
      <c r="AU158" s="15">
        <v>409.38106702891082</v>
      </c>
      <c r="AV158" s="15">
        <v>87.792547173790282</v>
      </c>
      <c r="AW158" s="15">
        <v>87.792547173790282</v>
      </c>
      <c r="AX158" s="15">
        <v>0</v>
      </c>
      <c r="AY158" s="15">
        <v>0</v>
      </c>
      <c r="AZ158" s="15">
        <v>225.33975243135922</v>
      </c>
      <c r="BA158" s="15">
        <v>76.930878417473082</v>
      </c>
      <c r="BB158" s="15">
        <v>61.837030839119215</v>
      </c>
      <c r="BC158" s="15">
        <v>86.571843174766897</v>
      </c>
      <c r="BD158" s="15">
        <v>0</v>
      </c>
      <c r="BE158" s="15">
        <v>96.248767423761294</v>
      </c>
      <c r="BF158" s="15">
        <v>33.254879338363502</v>
      </c>
      <c r="BG158" s="15">
        <v>1.4723613094253223</v>
      </c>
      <c r="BH158" s="15">
        <v>61.521526775972468</v>
      </c>
      <c r="BI158" s="15">
        <v>0</v>
      </c>
      <c r="BJ158" s="15">
        <v>409.38106702891082</v>
      </c>
      <c r="BK158" s="51">
        <v>600.2117207484647</v>
      </c>
      <c r="BL158" s="51">
        <v>0.25136185835921832</v>
      </c>
      <c r="BM158" s="51">
        <v>0.35827905510151975</v>
      </c>
    </row>
    <row r="159" spans="1:65" x14ac:dyDescent="0.35">
      <c r="A159" s="15" t="s">
        <v>10778</v>
      </c>
      <c r="B159" s="15" t="s">
        <v>10566</v>
      </c>
      <c r="C159" s="15" t="s">
        <v>10596</v>
      </c>
      <c r="D159" s="15" t="s">
        <v>10322</v>
      </c>
      <c r="E159" s="15" t="s">
        <v>10927</v>
      </c>
      <c r="F159" s="15">
        <v>169970</v>
      </c>
      <c r="G159" s="15">
        <v>0.89712437569563031</v>
      </c>
      <c r="H159" s="15">
        <v>200</v>
      </c>
      <c r="I159" s="92">
        <v>456.68834695620887</v>
      </c>
      <c r="J159" s="93">
        <v>0.34437386797638719</v>
      </c>
      <c r="K159" s="15">
        <v>30</v>
      </c>
      <c r="L159" s="15">
        <v>167.51684928983394</v>
      </c>
      <c r="M159" s="15">
        <v>24.424121954192128</v>
      </c>
      <c r="N159" s="15">
        <v>59.62154787310557</v>
      </c>
      <c r="O159" s="15">
        <v>11.113128605033575</v>
      </c>
      <c r="P159" s="15">
        <v>23.084941647922584</v>
      </c>
      <c r="Q159" s="15">
        <v>25.423477620149402</v>
      </c>
      <c r="R159" s="15">
        <v>4.7548184428801701</v>
      </c>
      <c r="S159" s="15">
        <v>9.9636102566531299</v>
      </c>
      <c r="T159" s="15">
        <v>10.705048920616104</v>
      </c>
      <c r="U159" s="15">
        <v>0</v>
      </c>
      <c r="V159" s="15">
        <v>0</v>
      </c>
      <c r="W159" s="15">
        <v>0</v>
      </c>
      <c r="X159" s="15">
        <v>1810044.6097248248</v>
      </c>
      <c r="Y159" s="15">
        <v>639.47267962737794</v>
      </c>
      <c r="Z159" s="15">
        <v>0</v>
      </c>
      <c r="AA159" s="15">
        <v>0</v>
      </c>
      <c r="AB159" s="15">
        <v>0</v>
      </c>
      <c r="AC159" s="15">
        <v>639.47267962737794</v>
      </c>
      <c r="AD159" s="15">
        <v>182.78433267116907</v>
      </c>
      <c r="AE159" s="15">
        <v>-20.47344647640119</v>
      </c>
      <c r="AF159" s="15">
        <v>0</v>
      </c>
      <c r="AG159" s="15">
        <v>0</v>
      </c>
      <c r="AH159" s="15">
        <v>0</v>
      </c>
      <c r="AI159" s="15">
        <v>101.46076874999997</v>
      </c>
      <c r="AJ159" s="15">
        <v>0</v>
      </c>
      <c r="AK159" s="15">
        <v>82.43954534757026</v>
      </c>
      <c r="AL159" s="15">
        <v>0</v>
      </c>
      <c r="AM159" s="15">
        <v>19.357465049999995</v>
      </c>
      <c r="AN159" s="15">
        <v>0.28583603098990545</v>
      </c>
      <c r="AO159" s="15">
        <v>456.68834695620887</v>
      </c>
      <c r="AP159" s="15">
        <v>0</v>
      </c>
      <c r="AQ159" s="15">
        <v>0</v>
      </c>
      <c r="AR159" s="15">
        <v>0</v>
      </c>
      <c r="AS159" s="15">
        <v>0</v>
      </c>
      <c r="AT159" s="15">
        <v>0</v>
      </c>
      <c r="AU159" s="15">
        <v>413.95987945726085</v>
      </c>
      <c r="AV159" s="15">
        <v>87.792547173790282</v>
      </c>
      <c r="AW159" s="15">
        <v>87.792547173790282</v>
      </c>
      <c r="AX159" s="15">
        <v>0</v>
      </c>
      <c r="AY159" s="15">
        <v>0</v>
      </c>
      <c r="AZ159" s="15">
        <v>225.33975243135922</v>
      </c>
      <c r="BA159" s="15">
        <v>76.930878417473082</v>
      </c>
      <c r="BB159" s="15">
        <v>61.837030839119215</v>
      </c>
      <c r="BC159" s="15">
        <v>86.571843174766897</v>
      </c>
      <c r="BD159" s="15">
        <v>0</v>
      </c>
      <c r="BE159" s="15">
        <v>100.82757985211137</v>
      </c>
      <c r="BF159" s="15">
        <v>34.861480190416152</v>
      </c>
      <c r="BG159" s="15">
        <v>1.4723613094253223</v>
      </c>
      <c r="BH159" s="15">
        <v>64.493738352269887</v>
      </c>
      <c r="BI159" s="15">
        <v>0</v>
      </c>
      <c r="BJ159" s="15">
        <v>413.95987945726085</v>
      </c>
      <c r="BK159" s="15">
        <v>596.74421212842992</v>
      </c>
      <c r="BL159" s="15">
        <v>0.24593940837737496</v>
      </c>
      <c r="BM159" s="15">
        <v>0.34437386797638719</v>
      </c>
    </row>
    <row r="160" spans="1:65" x14ac:dyDescent="0.35">
      <c r="A160" s="15" t="s">
        <v>10778</v>
      </c>
      <c r="B160" s="15" t="s">
        <v>10566</v>
      </c>
      <c r="C160" s="15" t="s">
        <v>10596</v>
      </c>
      <c r="D160" s="15" t="s">
        <v>10323</v>
      </c>
      <c r="E160" s="15" t="s">
        <v>10928</v>
      </c>
      <c r="F160" s="15">
        <v>169970</v>
      </c>
      <c r="G160" s="15">
        <v>0.89712437569563031</v>
      </c>
      <c r="H160" s="15">
        <v>200</v>
      </c>
      <c r="I160" s="92">
        <v>418.47264867887293</v>
      </c>
      <c r="J160" s="93">
        <v>0.3170947911035234</v>
      </c>
      <c r="K160" s="15">
        <v>30</v>
      </c>
      <c r="L160" s="15">
        <v>124.64676516035033</v>
      </c>
      <c r="M160" s="15">
        <v>20.941496854798132</v>
      </c>
      <c r="N160" s="15">
        <v>59.62154787310557</v>
      </c>
      <c r="O160" s="15">
        <v>8.3780199071287935</v>
      </c>
      <c r="P160" s="15">
        <v>24.061766182888579</v>
      </c>
      <c r="Q160" s="15">
        <v>27.181761783088191</v>
      </c>
      <c r="R160" s="15">
        <v>4.7548184428801701</v>
      </c>
      <c r="S160" s="15">
        <v>11.721894419591919</v>
      </c>
      <c r="T160" s="15">
        <v>10.705048920616104</v>
      </c>
      <c r="U160" s="15">
        <v>0</v>
      </c>
      <c r="V160" s="15">
        <v>0</v>
      </c>
      <c r="W160" s="15">
        <v>0</v>
      </c>
      <c r="X160" s="15">
        <v>0</v>
      </c>
      <c r="Y160" s="15">
        <v>521.83182659228623</v>
      </c>
      <c r="Z160" s="15">
        <v>0</v>
      </c>
      <c r="AA160" s="15">
        <v>0</v>
      </c>
      <c r="AB160" s="15">
        <v>0</v>
      </c>
      <c r="AC160" s="15">
        <v>521.83182659228623</v>
      </c>
      <c r="AD160" s="15">
        <v>103.3591779134133</v>
      </c>
      <c r="AE160" s="15">
        <v>-17.459055886586665</v>
      </c>
      <c r="AF160" s="15">
        <v>0</v>
      </c>
      <c r="AG160" s="15">
        <v>0</v>
      </c>
      <c r="AH160" s="15">
        <v>0</v>
      </c>
      <c r="AI160" s="15">
        <v>101.46076874999997</v>
      </c>
      <c r="AJ160" s="15">
        <v>0</v>
      </c>
      <c r="AK160" s="15">
        <v>0</v>
      </c>
      <c r="AL160" s="15">
        <v>0</v>
      </c>
      <c r="AM160" s="15">
        <v>19.357465049999995</v>
      </c>
      <c r="AN160" s="15">
        <v>0.19806990038989924</v>
      </c>
      <c r="AO160" s="15">
        <v>418.47264867887293</v>
      </c>
      <c r="AP160" s="15">
        <v>0</v>
      </c>
      <c r="AQ160" s="15">
        <v>0</v>
      </c>
      <c r="AR160" s="15">
        <v>0</v>
      </c>
      <c r="AS160" s="15">
        <v>0</v>
      </c>
      <c r="AT160" s="15">
        <v>0</v>
      </c>
      <c r="AU160" s="15">
        <v>351.16814579423828</v>
      </c>
      <c r="AV160" s="15">
        <v>84.388201942777002</v>
      </c>
      <c r="AW160" s="15">
        <v>84.388201942777002</v>
      </c>
      <c r="AX160" s="15">
        <v>0</v>
      </c>
      <c r="AY160" s="15">
        <v>0</v>
      </c>
      <c r="AZ160" s="15">
        <v>183.21137965200384</v>
      </c>
      <c r="BA160" s="15">
        <v>76.930878417473082</v>
      </c>
      <c r="BB160" s="15">
        <v>44.283542181054479</v>
      </c>
      <c r="BC160" s="15">
        <v>61.996959053476267</v>
      </c>
      <c r="BD160" s="15">
        <v>0</v>
      </c>
      <c r="BE160" s="15">
        <v>83.568564199457455</v>
      </c>
      <c r="BF160" s="15">
        <v>28.805685224572677</v>
      </c>
      <c r="BG160" s="15">
        <v>1.4723613094253223</v>
      </c>
      <c r="BH160" s="15">
        <v>53.290517665459447</v>
      </c>
      <c r="BI160" s="15">
        <v>0</v>
      </c>
      <c r="BJ160" s="15">
        <v>351.16814579423828</v>
      </c>
      <c r="BK160" s="15">
        <v>454.52732370765159</v>
      </c>
      <c r="BL160" s="15">
        <v>0.25428785741549265</v>
      </c>
      <c r="BM160" s="15">
        <v>0.3170947911035234</v>
      </c>
    </row>
    <row r="161" spans="1:65" x14ac:dyDescent="0.35">
      <c r="A161" s="15" t="s">
        <v>10778</v>
      </c>
      <c r="B161" s="15" t="s">
        <v>10566</v>
      </c>
      <c r="C161" s="15" t="s">
        <v>10596</v>
      </c>
      <c r="D161" s="15" t="s">
        <v>10324</v>
      </c>
      <c r="E161" s="15" t="s">
        <v>10929</v>
      </c>
      <c r="F161" s="15">
        <v>169970</v>
      </c>
      <c r="G161" s="15">
        <v>0.89712437569563031</v>
      </c>
      <c r="H161" s="15">
        <v>200</v>
      </c>
      <c r="I161" s="92">
        <v>522.96235832958678</v>
      </c>
      <c r="J161" s="93">
        <v>0.107218610459809</v>
      </c>
      <c r="K161" s="15">
        <v>30</v>
      </c>
      <c r="L161" s="15">
        <v>186.24869869832827</v>
      </c>
      <c r="M161" s="15">
        <v>23.632979219599001</v>
      </c>
      <c r="N161" s="15">
        <v>59.62154787310557</v>
      </c>
      <c r="O161" s="15">
        <v>13.361039824493275</v>
      </c>
      <c r="P161" s="15">
        <v>20.856809876969791</v>
      </c>
      <c r="Q161" s="15">
        <v>25.4036981716425</v>
      </c>
      <c r="R161" s="15">
        <v>4.7548184428801701</v>
      </c>
      <c r="S161" s="15">
        <v>0</v>
      </c>
      <c r="T161" s="15">
        <v>20.648879728762335</v>
      </c>
      <c r="U161" s="15">
        <v>0</v>
      </c>
      <c r="V161" s="15">
        <v>0</v>
      </c>
      <c r="W161" s="15">
        <v>0</v>
      </c>
      <c r="X161" s="15">
        <v>0</v>
      </c>
      <c r="Y161" s="15">
        <v>643.37532145469243</v>
      </c>
      <c r="Z161" s="15">
        <v>0</v>
      </c>
      <c r="AA161" s="15">
        <v>0</v>
      </c>
      <c r="AB161" s="15">
        <v>0</v>
      </c>
      <c r="AC161" s="15">
        <v>643.37532145469243</v>
      </c>
      <c r="AD161" s="15">
        <v>120.41296312510565</v>
      </c>
      <c r="AE161" s="15">
        <v>-18.386258782394336</v>
      </c>
      <c r="AF161" s="15">
        <v>0</v>
      </c>
      <c r="AG161" s="15">
        <v>0</v>
      </c>
      <c r="AH161" s="15">
        <v>0</v>
      </c>
      <c r="AI161" s="15">
        <v>101.46076874999997</v>
      </c>
      <c r="AJ161" s="15">
        <v>0</v>
      </c>
      <c r="AK161" s="15">
        <v>0</v>
      </c>
      <c r="AL161" s="15">
        <v>0</v>
      </c>
      <c r="AM161" s="15">
        <v>37.338453157499998</v>
      </c>
      <c r="AN161" s="15">
        <v>0.18715819384064661</v>
      </c>
      <c r="AO161" s="15">
        <v>522.96235832958678</v>
      </c>
      <c r="AP161" s="15">
        <v>0</v>
      </c>
      <c r="AQ161" s="15">
        <v>0</v>
      </c>
      <c r="AR161" s="15">
        <v>0</v>
      </c>
      <c r="AS161" s="15">
        <v>0</v>
      </c>
      <c r="AT161" s="15">
        <v>0</v>
      </c>
      <c r="AU161" s="15">
        <v>379.03365571246974</v>
      </c>
      <c r="AV161" s="15">
        <v>95.998442179653225</v>
      </c>
      <c r="AW161" s="15">
        <v>95.998442179653225</v>
      </c>
      <c r="AX161" s="15">
        <v>0</v>
      </c>
      <c r="AY161" s="15">
        <v>0</v>
      </c>
      <c r="AZ161" s="15">
        <v>181.78648194226105</v>
      </c>
      <c r="BA161" s="15">
        <v>76.930878417473082</v>
      </c>
      <c r="BB161" s="15">
        <v>43.689834801994991</v>
      </c>
      <c r="BC161" s="15">
        <v>61.165768722792983</v>
      </c>
      <c r="BD161" s="15">
        <v>0</v>
      </c>
      <c r="BE161" s="15">
        <v>101.24873159055545</v>
      </c>
      <c r="BF161" s="15">
        <v>35.0092527302211</v>
      </c>
      <c r="BG161" s="15">
        <v>1.4723613094253223</v>
      </c>
      <c r="BH161" s="15">
        <v>64.76711755090902</v>
      </c>
      <c r="BI161" s="15">
        <v>0</v>
      </c>
      <c r="BJ161" s="15">
        <v>379.03365571246974</v>
      </c>
      <c r="BK161" s="15">
        <v>499.44661883757539</v>
      </c>
      <c r="BL161" s="15">
        <v>8.7151768980047284E-2</v>
      </c>
      <c r="BM161" s="15">
        <v>0.107218610459809</v>
      </c>
    </row>
    <row r="162" spans="1:65" x14ac:dyDescent="0.35">
      <c r="A162" s="15" t="s">
        <v>10778</v>
      </c>
      <c r="B162" s="15" t="s">
        <v>10566</v>
      </c>
      <c r="C162" s="15" t="s">
        <v>10596</v>
      </c>
      <c r="D162" s="15" t="s">
        <v>10325</v>
      </c>
      <c r="E162" s="15" t="s">
        <v>10930</v>
      </c>
      <c r="F162" s="15">
        <v>169970</v>
      </c>
      <c r="G162" s="15">
        <v>0.89712437569563031</v>
      </c>
      <c r="H162" s="15">
        <v>200</v>
      </c>
      <c r="I162" s="92">
        <v>788.01062281110148</v>
      </c>
      <c r="J162" s="93">
        <v>0.14955139921565436</v>
      </c>
      <c r="K162" s="15">
        <v>30</v>
      </c>
      <c r="L162" s="15">
        <v>323.61217927697032</v>
      </c>
      <c r="M162" s="15">
        <v>38.080574188599101</v>
      </c>
      <c r="N162" s="15">
        <v>59.62154787310557</v>
      </c>
      <c r="O162" s="15">
        <v>43.571412503602616</v>
      </c>
      <c r="P162" s="15">
        <v>10.973345886045079</v>
      </c>
      <c r="Q162" s="15">
        <v>5.0767894834578708</v>
      </c>
      <c r="R162" s="15">
        <v>5.0767894834578708</v>
      </c>
      <c r="S162" s="15">
        <v>0</v>
      </c>
      <c r="T162" s="15">
        <v>0</v>
      </c>
      <c r="U162" s="15">
        <v>37804.170102444165</v>
      </c>
      <c r="V162" s="15">
        <v>0</v>
      </c>
      <c r="W162" s="15">
        <v>0</v>
      </c>
      <c r="X162" s="15">
        <v>0</v>
      </c>
      <c r="Y162" s="15">
        <v>1075.1336842057692</v>
      </c>
      <c r="Z162" s="15">
        <v>0</v>
      </c>
      <c r="AA162" s="15">
        <v>0</v>
      </c>
      <c r="AB162" s="15">
        <v>0</v>
      </c>
      <c r="AC162" s="15">
        <v>1075.1336842057692</v>
      </c>
      <c r="AD162" s="15">
        <v>287.12306139466773</v>
      </c>
      <c r="AE162" s="15">
        <v>26.101076221077545</v>
      </c>
      <c r="AF162" s="15">
        <v>0</v>
      </c>
      <c r="AG162" s="15">
        <v>0</v>
      </c>
      <c r="AH162" s="15">
        <v>133.12585358748996</v>
      </c>
      <c r="AI162" s="15">
        <v>123.00035822944253</v>
      </c>
      <c r="AJ162" s="15">
        <v>4.895773356657684</v>
      </c>
      <c r="AK162" s="15">
        <v>0</v>
      </c>
      <c r="AL162" s="15">
        <v>0</v>
      </c>
      <c r="AM162" s="15">
        <v>0</v>
      </c>
      <c r="AN162" s="15">
        <v>0.2670580092621444</v>
      </c>
      <c r="AO162" s="15">
        <v>788.01062281110148</v>
      </c>
      <c r="AP162" s="15">
        <v>159.22692980856749</v>
      </c>
      <c r="AQ162" s="15">
        <v>26.101076221077545</v>
      </c>
      <c r="AR162" s="15">
        <v>0</v>
      </c>
      <c r="AS162" s="15">
        <v>0</v>
      </c>
      <c r="AT162" s="15">
        <v>133.12585358748996</v>
      </c>
      <c r="AU162" s="15">
        <v>546.63178424073351</v>
      </c>
      <c r="AV162" s="15">
        <v>139.55881801710035</v>
      </c>
      <c r="AW162" s="15">
        <v>139.55881801710035</v>
      </c>
      <c r="AX162" s="15">
        <v>0</v>
      </c>
      <c r="AY162" s="15">
        <v>0</v>
      </c>
      <c r="AZ162" s="15">
        <v>268.62754064143633</v>
      </c>
      <c r="BA162" s="15">
        <v>82.718698010625431</v>
      </c>
      <c r="BB162" s="15">
        <v>77.462017762837888</v>
      </c>
      <c r="BC162" s="15">
        <v>108.44682486797302</v>
      </c>
      <c r="BD162" s="15">
        <v>0</v>
      </c>
      <c r="BE162" s="15">
        <v>138.44542558219686</v>
      </c>
      <c r="BF162" s="15">
        <v>48.021857054707702</v>
      </c>
      <c r="BG162" s="15">
        <v>1.5831329762799127</v>
      </c>
      <c r="BH162" s="15">
        <v>88.840435551209239</v>
      </c>
      <c r="BI162" s="15">
        <v>0</v>
      </c>
      <c r="BJ162" s="15">
        <v>705.85871404930094</v>
      </c>
      <c r="BK162" s="15">
        <v>992.98177544396867</v>
      </c>
      <c r="BL162" s="15">
        <v>0.10961250025875348</v>
      </c>
      <c r="BM162" s="15">
        <v>0.14955139921565436</v>
      </c>
    </row>
    <row r="163" spans="1:65" x14ac:dyDescent="0.35">
      <c r="A163" s="15" t="s">
        <v>10778</v>
      </c>
      <c r="B163" s="15" t="s">
        <v>10566</v>
      </c>
      <c r="C163" s="15" t="s">
        <v>10596</v>
      </c>
      <c r="D163" s="15" t="s">
        <v>10326</v>
      </c>
      <c r="E163" s="15" t="s">
        <v>10931</v>
      </c>
      <c r="F163" s="15">
        <v>169970</v>
      </c>
      <c r="G163" s="15">
        <v>0.89712437569563031</v>
      </c>
      <c r="H163" s="15">
        <v>200</v>
      </c>
      <c r="I163" s="92">
        <v>725.03553910109838</v>
      </c>
      <c r="J163" s="93">
        <v>0.25481278764127852</v>
      </c>
      <c r="K163" s="15">
        <v>30</v>
      </c>
      <c r="L163" s="15">
        <v>362.59187061228977</v>
      </c>
      <c r="M163" s="15">
        <v>32.846361112560267</v>
      </c>
      <c r="N163" s="15">
        <v>59.62154787310557</v>
      </c>
      <c r="O163" s="15">
        <v>43.571412503602616</v>
      </c>
      <c r="P163" s="15">
        <v>10.973345886045079</v>
      </c>
      <c r="Q163" s="15">
        <v>5.0767894834578708</v>
      </c>
      <c r="R163" s="15">
        <v>5.0767894834578708</v>
      </c>
      <c r="S163" s="15">
        <v>0</v>
      </c>
      <c r="T163" s="15">
        <v>0</v>
      </c>
      <c r="U163" s="15">
        <v>37804.170102444165</v>
      </c>
      <c r="V163" s="15">
        <v>0</v>
      </c>
      <c r="W163" s="15">
        <v>0</v>
      </c>
      <c r="X163" s="15">
        <v>0</v>
      </c>
      <c r="Y163" s="15">
        <v>1025.3581572731343</v>
      </c>
      <c r="Z163" s="15">
        <v>0</v>
      </c>
      <c r="AA163" s="15">
        <v>0</v>
      </c>
      <c r="AB163" s="15">
        <v>0</v>
      </c>
      <c r="AC163" s="15">
        <v>1025.3581572731343</v>
      </c>
      <c r="AD163" s="15">
        <v>300.32261817203596</v>
      </c>
      <c r="AE163" s="15">
        <v>28.351264929535812</v>
      </c>
      <c r="AF163" s="15">
        <v>0</v>
      </c>
      <c r="AG163" s="15">
        <v>0</v>
      </c>
      <c r="AH163" s="15">
        <v>143.72483630415817</v>
      </c>
      <c r="AI163" s="15">
        <v>123.00035822944253</v>
      </c>
      <c r="AJ163" s="15">
        <v>5.2461587088994621</v>
      </c>
      <c r="AK163" s="15">
        <v>0</v>
      </c>
      <c r="AL163" s="15">
        <v>0</v>
      </c>
      <c r="AM163" s="15">
        <v>0</v>
      </c>
      <c r="AN163" s="15">
        <v>0.29289533227172265</v>
      </c>
      <c r="AO163" s="15">
        <v>725.03553910109838</v>
      </c>
      <c r="AP163" s="15">
        <v>172.07610123369398</v>
      </c>
      <c r="AQ163" s="15">
        <v>28.351264929535812</v>
      </c>
      <c r="AR163" s="15">
        <v>0</v>
      </c>
      <c r="AS163" s="15">
        <v>0</v>
      </c>
      <c r="AT163" s="15">
        <v>143.72483630415817</v>
      </c>
      <c r="AU163" s="15">
        <v>537.70776472475256</v>
      </c>
      <c r="AV163" s="15">
        <v>139.55881801710035</v>
      </c>
      <c r="AW163" s="15">
        <v>139.55881801710035</v>
      </c>
      <c r="AX163" s="15">
        <v>0</v>
      </c>
      <c r="AY163" s="15">
        <v>0</v>
      </c>
      <c r="AZ163" s="15">
        <v>268.62754064143633</v>
      </c>
      <c r="BA163" s="15">
        <v>82.718698010625431</v>
      </c>
      <c r="BB163" s="15">
        <v>77.462017762837888</v>
      </c>
      <c r="BC163" s="15">
        <v>108.44682486797302</v>
      </c>
      <c r="BD163" s="15">
        <v>0</v>
      </c>
      <c r="BE163" s="15">
        <v>129.52140606621586</v>
      </c>
      <c r="BF163" s="15">
        <v>44.890622136819637</v>
      </c>
      <c r="BG163" s="15">
        <v>1.5831329762799127</v>
      </c>
      <c r="BH163" s="15">
        <v>83.047650953116317</v>
      </c>
      <c r="BI163" s="15">
        <v>0</v>
      </c>
      <c r="BJ163" s="15">
        <v>709.78386595844654</v>
      </c>
      <c r="BK163" s="15">
        <v>1010.1064841304825</v>
      </c>
      <c r="BL163" s="15">
        <v>0.18017931153800232</v>
      </c>
      <c r="BM163" s="15">
        <v>0.25481278764127852</v>
      </c>
    </row>
    <row r="164" spans="1:65" s="56" customFormat="1" x14ac:dyDescent="0.35">
      <c r="A164" s="55" t="s">
        <v>10778</v>
      </c>
      <c r="B164" s="55" t="s">
        <v>10566</v>
      </c>
      <c r="C164" s="55" t="s">
        <v>10914</v>
      </c>
      <c r="D164" s="55" t="s">
        <v>10323</v>
      </c>
      <c r="E164" s="55" t="s">
        <v>10932</v>
      </c>
      <c r="F164" s="55">
        <v>169970</v>
      </c>
      <c r="G164" s="55">
        <v>0.89712437569563031</v>
      </c>
      <c r="H164" s="55">
        <v>200</v>
      </c>
      <c r="I164" s="55">
        <v>418.47264867887293</v>
      </c>
      <c r="J164" s="94">
        <v>0.3170947911035234</v>
      </c>
      <c r="K164" s="55">
        <v>30</v>
      </c>
      <c r="L164" s="55">
        <v>124.64676516035033</v>
      </c>
      <c r="M164" s="55">
        <v>20.941496854798132</v>
      </c>
      <c r="N164" s="55">
        <v>59.62154787310557</v>
      </c>
      <c r="O164" s="55">
        <v>8.3780199071287935</v>
      </c>
      <c r="P164" s="55">
        <v>24.061766182888579</v>
      </c>
      <c r="Q164" s="55">
        <v>27.181761783088191</v>
      </c>
      <c r="R164" s="55">
        <v>4.7548184428801701</v>
      </c>
      <c r="S164" s="55">
        <v>11.721894419591919</v>
      </c>
      <c r="T164" s="55">
        <v>10.705048920616104</v>
      </c>
      <c r="U164" s="55">
        <v>0</v>
      </c>
      <c r="V164" s="55">
        <v>0</v>
      </c>
      <c r="W164" s="55">
        <v>0</v>
      </c>
      <c r="X164" s="55">
        <v>0</v>
      </c>
      <c r="Y164" s="55">
        <v>521.83182659228623</v>
      </c>
      <c r="Z164" s="55">
        <v>0</v>
      </c>
      <c r="AA164" s="55">
        <v>0</v>
      </c>
      <c r="AB164" s="55">
        <v>0</v>
      </c>
      <c r="AC164" s="55">
        <v>521.83182659228623</v>
      </c>
      <c r="AD164" s="55">
        <v>103.3591779134133</v>
      </c>
      <c r="AE164" s="55">
        <v>-17.459055886586665</v>
      </c>
      <c r="AF164" s="55">
        <v>0</v>
      </c>
      <c r="AG164" s="55">
        <v>0</v>
      </c>
      <c r="AH164" s="55">
        <v>0</v>
      </c>
      <c r="AI164" s="55">
        <v>101.46076874999997</v>
      </c>
      <c r="AJ164" s="55">
        <v>0</v>
      </c>
      <c r="AK164" s="55">
        <v>0</v>
      </c>
      <c r="AL164" s="55">
        <v>0</v>
      </c>
      <c r="AM164" s="55">
        <v>19.357465049999995</v>
      </c>
      <c r="AN164" s="55">
        <v>0.19806990038989924</v>
      </c>
      <c r="AO164" s="55">
        <v>418.47264867887293</v>
      </c>
      <c r="AP164" s="55">
        <v>0</v>
      </c>
      <c r="AQ164" s="55">
        <v>0</v>
      </c>
      <c r="AR164" s="55">
        <v>0</v>
      </c>
      <c r="AS164" s="55">
        <v>0</v>
      </c>
      <c r="AT164" s="55">
        <v>0</v>
      </c>
      <c r="AU164" s="55">
        <v>351.16814579423828</v>
      </c>
      <c r="AV164" s="55">
        <v>84.388201942777002</v>
      </c>
      <c r="AW164" s="55">
        <v>84.388201942777002</v>
      </c>
      <c r="AX164" s="55">
        <v>0</v>
      </c>
      <c r="AY164" s="55">
        <v>0</v>
      </c>
      <c r="AZ164" s="55">
        <v>183.21137965200384</v>
      </c>
      <c r="BA164" s="55">
        <v>76.930878417473082</v>
      </c>
      <c r="BB164" s="55">
        <v>44.283542181054479</v>
      </c>
      <c r="BC164" s="55">
        <v>61.996959053476267</v>
      </c>
      <c r="BD164" s="55">
        <v>0</v>
      </c>
      <c r="BE164" s="55">
        <v>83.568564199457455</v>
      </c>
      <c r="BF164" s="55">
        <v>28.805685224572677</v>
      </c>
      <c r="BG164" s="55">
        <v>1.4723613094253223</v>
      </c>
      <c r="BH164" s="55">
        <v>53.290517665459447</v>
      </c>
      <c r="BI164" s="55">
        <v>0</v>
      </c>
      <c r="BJ164" s="55">
        <v>351.16814579423828</v>
      </c>
      <c r="BK164" s="55">
        <v>454.52732370765159</v>
      </c>
      <c r="BL164" s="55">
        <v>0.25428785741549265</v>
      </c>
      <c r="BM164" s="55">
        <v>0.3170947911035234</v>
      </c>
    </row>
    <row r="165" spans="1:65" s="52" customFormat="1" x14ac:dyDescent="0.35">
      <c r="A165" s="51" t="s">
        <v>10778</v>
      </c>
      <c r="B165" s="51" t="s">
        <v>10916</v>
      </c>
      <c r="C165" s="51" t="s">
        <v>9780</v>
      </c>
      <c r="D165" s="51" t="s">
        <v>9780</v>
      </c>
      <c r="E165" s="51" t="s">
        <v>10568</v>
      </c>
      <c r="F165" s="51">
        <f>F156</f>
        <v>19348</v>
      </c>
      <c r="G165" s="51">
        <f>G156</f>
        <v>0.89711895463337699</v>
      </c>
      <c r="H165" s="51">
        <f>(H156*N156+H164*N164)/(N156+N164)</f>
        <v>200</v>
      </c>
      <c r="I165" s="51">
        <f>(I156*N156+I164*N164)/(N156+N164)</f>
        <v>686.70686670947396</v>
      </c>
      <c r="J165" s="95">
        <f>(J156*N156+J164*N164)/(N156+N164)</f>
        <v>0.24244344634660048</v>
      </c>
      <c r="K165" s="51">
        <f>K156</f>
        <v>30</v>
      </c>
      <c r="L165" s="51">
        <f t="shared" ref="L165:W165" si="10">L156+L164</f>
        <v>207.12914756087631</v>
      </c>
      <c r="M165" s="51">
        <f t="shared" si="10"/>
        <v>37.46242730532699</v>
      </c>
      <c r="N165" s="51">
        <f t="shared" si="10"/>
        <v>66.408338116291915</v>
      </c>
      <c r="O165" s="51">
        <f t="shared" si="10"/>
        <v>9.3316996721013385</v>
      </c>
      <c r="P165" s="51">
        <f t="shared" si="10"/>
        <v>26.800745055282505</v>
      </c>
      <c r="Q165" s="51">
        <f t="shared" si="10"/>
        <v>30.275893388908059</v>
      </c>
      <c r="R165" s="51">
        <f t="shared" si="10"/>
        <v>5.2960649647742803</v>
      </c>
      <c r="S165" s="51">
        <f t="shared" si="10"/>
        <v>13.056211315353568</v>
      </c>
      <c r="T165" s="51">
        <f t="shared" si="10"/>
        <v>11.923617108780212</v>
      </c>
      <c r="U165" s="51">
        <f t="shared" si="10"/>
        <v>0</v>
      </c>
      <c r="V165" s="51">
        <f t="shared" si="10"/>
        <v>0</v>
      </c>
      <c r="W165" s="51">
        <f t="shared" si="10"/>
        <v>0</v>
      </c>
      <c r="X165" s="51">
        <f>(X156*N156+X164*N164)/(N156+N164)</f>
        <v>0</v>
      </c>
      <c r="Y165" s="51">
        <f>(Y156*N156+Y164*N164)/(N156+N164)</f>
        <v>790.06604462288726</v>
      </c>
      <c r="Z165" s="51">
        <f>(Z156*N156+Z164*N164)/(N156+N164)</f>
        <v>0</v>
      </c>
      <c r="AA165" s="51">
        <f>(AA156*N156+AA164*N164)/(N156+N164)</f>
        <v>0</v>
      </c>
      <c r="AB165" s="51">
        <f>(AB156*N156+AB164*N164)/(N156+N164)</f>
        <v>0</v>
      </c>
      <c r="AC165" s="51">
        <f>(AC156*N156+AC164*N164)/(N156+N164)</f>
        <v>790.06604462288726</v>
      </c>
      <c r="AD165" s="51">
        <f>(AD156*N156+AD164*N164)/(N156+N164)</f>
        <v>103.35917791341332</v>
      </c>
      <c r="AE165" s="51">
        <f>(AE156*N156+AE164*N164)/(N156+N164)</f>
        <v>-17.459055886586661</v>
      </c>
      <c r="AF165" s="51">
        <f>(AF156*N156+AF164*N164)/(N156+N164)</f>
        <v>0</v>
      </c>
      <c r="AG165" s="51">
        <f>(AG156*N156+AG164*N164)/(N156+N164)</f>
        <v>0</v>
      </c>
      <c r="AH165" s="51">
        <f>(AH156*N156+AH164*N164)/(N156+N164)</f>
        <v>0</v>
      </c>
      <c r="AI165" s="51">
        <f>(AI156*N156+AI164*N164)/(N156+N164)</f>
        <v>101.46076874999996</v>
      </c>
      <c r="AJ165" s="51">
        <f>(AJ156*N156+AJ164*N164)/(N156+N164)</f>
        <v>0</v>
      </c>
      <c r="AK165" s="51">
        <f>(AK156*N156+AK164*N164)/(N156+N164)</f>
        <v>0</v>
      </c>
      <c r="AL165" s="51">
        <f>(AL156*N156+AL164*N164)/(N156+N164)</f>
        <v>0</v>
      </c>
      <c r="AM165" s="51">
        <f>(AM156*N156+AM164*N164)/(N156+N164)</f>
        <v>19.357465049999991</v>
      </c>
      <c r="AN165" s="51">
        <f>(AN156*N156+AN164*N164)/(N156+N164)</f>
        <v>0.18118468408544289</v>
      </c>
      <c r="AO165" s="51">
        <f>(AO156*N156+AO164*N164)/(N156+N164)</f>
        <v>686.70686670947396</v>
      </c>
      <c r="AP165" s="51">
        <f>(AP156*N156+AP164*N164)/(N156+N164)</f>
        <v>0</v>
      </c>
      <c r="AQ165" s="51">
        <f>(AQ156*N156+AQ164*N164)/(N156+N164)</f>
        <v>0</v>
      </c>
      <c r="AR165" s="51">
        <f>(AR156*N156+AR164*N164)/(N156+N164)</f>
        <v>0</v>
      </c>
      <c r="AS165" s="51">
        <f>(AS156*N156+AS164*N164)/(N156+N164)</f>
        <v>0</v>
      </c>
      <c r="AT165" s="51">
        <f>(AT156*N156+AT164*N164)/(N156+N164)</f>
        <v>0</v>
      </c>
      <c r="AU165" s="51">
        <f>(AU156*N156+AU164*N164)/(N156+N164)</f>
        <v>477.28440322437484</v>
      </c>
      <c r="AV165" s="51">
        <f>(AV156*N156+AV164*N164)/(N156+N164)</f>
        <v>88.221259729563968</v>
      </c>
      <c r="AW165" s="51">
        <f>(AW156*N156+AW164*N164)/(N156+N164)</f>
        <v>88.221259729563968</v>
      </c>
      <c r="AX165" s="51">
        <f>(AX156*N156+AX164*N164)/(N156+N164)</f>
        <v>0</v>
      </c>
      <c r="AY165" s="51">
        <f>(AY156*N156+AY164*N164)/(N156+N164)</f>
        <v>0</v>
      </c>
      <c r="AZ165" s="51">
        <f>(AZ156*N156+AZ164*N164)/(N156+N164)</f>
        <v>260.99285817626981</v>
      </c>
      <c r="BA165" s="51">
        <f>(BA156*N156+BA164*N164)/(N156+N164)</f>
        <v>76.930878417473082</v>
      </c>
      <c r="BB165" s="51">
        <f>(BB156*N156+BB164*N164)/(N156+N164)</f>
        <v>76.692491566165288</v>
      </c>
      <c r="BC165" s="51">
        <f>(BC156*N156+BC164*N164)/(N156+N164)</f>
        <v>107.36948819263141</v>
      </c>
      <c r="BD165" s="51">
        <f>(BD156*N156+BD164*N164)/(N156+N164)</f>
        <v>0</v>
      </c>
      <c r="BE165" s="51">
        <f>(BE156*N156+BE164*N164)/(N156+N164)</f>
        <v>128.0702853185411</v>
      </c>
      <c r="BF165" s="51">
        <f>(BF156*N156+BF164*N164)/(N156+N164)</f>
        <v>44.420324213724847</v>
      </c>
      <c r="BG165" s="51">
        <f>(BG156*N156+BG164*N164)/(N156+N164)</f>
        <v>1.4723613094253221</v>
      </c>
      <c r="BH165" s="51">
        <f>(BH156*N156+BH164*N164)/(N156+N164)</f>
        <v>82.177599795390947</v>
      </c>
      <c r="BI165" s="51">
        <f>(BI156*N156+BI164*N164)/(N156+N164)</f>
        <v>0</v>
      </c>
      <c r="BJ165" s="51">
        <f>(BJ156*N156+BJ164*N164)/(N156+N164)</f>
        <v>477.28440322437484</v>
      </c>
      <c r="BK165" s="51">
        <f>(BK156*N156+BK164*N164)/(N156+N164)</f>
        <v>580.64358113778815</v>
      </c>
      <c r="BL165" s="51">
        <f>(BL156*N156+BL164*N164)/(N156+N164)</f>
        <v>0.18744295367253092</v>
      </c>
      <c r="BM165" s="51">
        <f>(BM156*N156+BM164*N164)/(N156+N164)</f>
        <v>0.24244344634660048</v>
      </c>
    </row>
    <row r="166" spans="1:65" x14ac:dyDescent="0.35">
      <c r="A166" s="15" t="s">
        <v>10787</v>
      </c>
      <c r="B166" s="15" t="s">
        <v>10566</v>
      </c>
      <c r="C166" s="15" t="s">
        <v>10594</v>
      </c>
      <c r="D166" s="15" t="s">
        <v>10320</v>
      </c>
      <c r="E166" s="15" t="s">
        <v>10933</v>
      </c>
      <c r="F166" s="15">
        <v>19348</v>
      </c>
      <c r="G166" s="15">
        <v>0.89711895463337699</v>
      </c>
      <c r="H166" s="15">
        <v>200</v>
      </c>
      <c r="I166" s="92">
        <v>3244.8379216243588</v>
      </c>
      <c r="J166" s="93">
        <v>-0.38698178114210158</v>
      </c>
      <c r="K166" s="15">
        <v>30</v>
      </c>
      <c r="L166" s="15">
        <v>61.688529769423823</v>
      </c>
      <c r="M166" s="15">
        <v>16.40074526405207</v>
      </c>
      <c r="N166" s="15">
        <v>6.7867902431863394</v>
      </c>
      <c r="O166" s="15">
        <v>1.2650203739835963</v>
      </c>
      <c r="P166" s="15">
        <v>2.6277857977471233</v>
      </c>
      <c r="Q166" s="15">
        <v>2.8939840714556202</v>
      </c>
      <c r="R166" s="15">
        <v>0.54124652189411049</v>
      </c>
      <c r="S166" s="15">
        <v>1.1341693613974024</v>
      </c>
      <c r="T166" s="15">
        <v>1.2185681881641071</v>
      </c>
      <c r="U166" s="15">
        <v>0</v>
      </c>
      <c r="V166" s="15">
        <v>824.15794525547892</v>
      </c>
      <c r="W166" s="15">
        <v>0</v>
      </c>
      <c r="X166" s="15">
        <v>0</v>
      </c>
      <c r="Y166" s="15">
        <v>3385.9933947178265</v>
      </c>
      <c r="Z166" s="15">
        <v>0</v>
      </c>
      <c r="AA166" s="15">
        <v>0</v>
      </c>
      <c r="AB166" s="15">
        <v>0</v>
      </c>
      <c r="AC166" s="15">
        <v>3385.9933947178265</v>
      </c>
      <c r="AD166" s="15">
        <v>141.15547309346766</v>
      </c>
      <c r="AE166" s="15">
        <v>18.017536378206554</v>
      </c>
      <c r="AF166" s="15">
        <v>0</v>
      </c>
      <c r="AG166" s="15">
        <v>0</v>
      </c>
      <c r="AH166" s="15">
        <v>21.677167965261109</v>
      </c>
      <c r="AI166" s="15">
        <v>101.46076874999999</v>
      </c>
      <c r="AJ166" s="15">
        <v>0</v>
      </c>
      <c r="AK166" s="15">
        <v>0</v>
      </c>
      <c r="AL166" s="15">
        <v>0</v>
      </c>
      <c r="AM166" s="15">
        <v>0</v>
      </c>
      <c r="AN166" s="15">
        <v>4.1688053294395434E-2</v>
      </c>
      <c r="AO166" s="15">
        <v>3244.8379216243588</v>
      </c>
      <c r="AP166" s="15">
        <v>39.694704343467663</v>
      </c>
      <c r="AQ166" s="15">
        <v>18.017536378206554</v>
      </c>
      <c r="AR166" s="15">
        <v>0</v>
      </c>
      <c r="AS166" s="15">
        <v>0</v>
      </c>
      <c r="AT166" s="15">
        <v>21.677167965261109</v>
      </c>
      <c r="AU166" s="15">
        <v>1749.4500588532615</v>
      </c>
      <c r="AV166" s="15">
        <v>61.280874999999995</v>
      </c>
      <c r="AW166" s="15">
        <v>61.280874999999995</v>
      </c>
      <c r="AX166" s="15">
        <v>0</v>
      </c>
      <c r="AY166" s="15">
        <v>0</v>
      </c>
      <c r="AZ166" s="15">
        <v>1209.8492591654899</v>
      </c>
      <c r="BA166" s="15">
        <v>76.930878417473068</v>
      </c>
      <c r="BB166" s="15">
        <v>472.04932531167367</v>
      </c>
      <c r="BC166" s="15">
        <v>660.86905543634316</v>
      </c>
      <c r="BD166" s="15">
        <v>0</v>
      </c>
      <c r="BE166" s="15">
        <v>478.3199246877715</v>
      </c>
      <c r="BF166" s="15">
        <v>167.31493451871796</v>
      </c>
      <c r="BG166" s="15">
        <v>1.4723613094253218</v>
      </c>
      <c r="BH166" s="15">
        <v>309.53262885962823</v>
      </c>
      <c r="BI166" s="15">
        <v>0</v>
      </c>
      <c r="BJ166" s="15">
        <v>1789.1447631967292</v>
      </c>
      <c r="BK166" s="15">
        <v>1930.3002362901968</v>
      </c>
      <c r="BL166" s="15">
        <v>-0.37084926402588958</v>
      </c>
      <c r="BM166" s="15">
        <v>-0.38698178114210158</v>
      </c>
    </row>
    <row r="167" spans="1:65" x14ac:dyDescent="0.35">
      <c r="A167" s="15" t="s">
        <v>10787</v>
      </c>
      <c r="B167" s="15" t="s">
        <v>10566</v>
      </c>
      <c r="C167" s="15" t="s">
        <v>10594</v>
      </c>
      <c r="D167" s="15" t="s">
        <v>10321</v>
      </c>
      <c r="E167" s="15" t="s">
        <v>10934</v>
      </c>
      <c r="F167" s="15">
        <v>19348</v>
      </c>
      <c r="G167" s="15">
        <v>0.89711895463337699</v>
      </c>
      <c r="H167" s="15">
        <v>200</v>
      </c>
      <c r="I167" s="92">
        <v>4300.944362524182</v>
      </c>
      <c r="J167" s="93">
        <v>-0.51363525306820168</v>
      </c>
      <c r="K167" s="15">
        <v>30</v>
      </c>
      <c r="L167" s="15">
        <v>61.688529769423823</v>
      </c>
      <c r="M167" s="15">
        <v>16.40074526405207</v>
      </c>
      <c r="N167" s="15">
        <v>6.7867902431863394</v>
      </c>
      <c r="O167" s="15">
        <v>1.2650203739835963</v>
      </c>
      <c r="P167" s="15">
        <v>2.6277857977471233</v>
      </c>
      <c r="Q167" s="15">
        <v>2.8939840714556202</v>
      </c>
      <c r="R167" s="15">
        <v>0.54124652189411049</v>
      </c>
      <c r="S167" s="15">
        <v>1.1341693613974024</v>
      </c>
      <c r="T167" s="15">
        <v>1.2185681881641071</v>
      </c>
      <c r="U167" s="15">
        <v>0</v>
      </c>
      <c r="V167" s="15">
        <v>0</v>
      </c>
      <c r="W167" s="15">
        <v>206.03948631386973</v>
      </c>
      <c r="X167" s="15">
        <v>0</v>
      </c>
      <c r="Y167" s="15">
        <v>3385.9933947178265</v>
      </c>
      <c r="Z167" s="15">
        <v>0</v>
      </c>
      <c r="AA167" s="15">
        <v>0</v>
      </c>
      <c r="AB167" s="15">
        <v>0</v>
      </c>
      <c r="AC167" s="15">
        <v>3385.9933947178265</v>
      </c>
      <c r="AD167" s="15">
        <v>-914.95096780635549</v>
      </c>
      <c r="AE167" s="15">
        <v>-20.473446476401197</v>
      </c>
      <c r="AF167" s="15">
        <v>89.358076432770019</v>
      </c>
      <c r="AG167" s="15">
        <v>-1028.3313824097961</v>
      </c>
      <c r="AH167" s="15">
        <v>0</v>
      </c>
      <c r="AI167" s="15">
        <v>101.46076874999999</v>
      </c>
      <c r="AJ167" s="15">
        <v>0</v>
      </c>
      <c r="AK167" s="15">
        <v>-56.964984102928945</v>
      </c>
      <c r="AL167" s="15">
        <v>0</v>
      </c>
      <c r="AM167" s="15">
        <v>0</v>
      </c>
      <c r="AN167" s="15">
        <v>-0.27021640657471024</v>
      </c>
      <c r="AO167" s="15">
        <v>4300.944362524182</v>
      </c>
      <c r="AP167" s="15">
        <v>0</v>
      </c>
      <c r="AQ167" s="15">
        <v>0</v>
      </c>
      <c r="AR167" s="15">
        <v>0</v>
      </c>
      <c r="AS167" s="15">
        <v>0</v>
      </c>
      <c r="AT167" s="15">
        <v>0</v>
      </c>
      <c r="AU167" s="15">
        <v>1891.8277164468186</v>
      </c>
      <c r="AV167" s="15">
        <v>61.280874999999995</v>
      </c>
      <c r="AW167" s="15">
        <v>61.280874999999995</v>
      </c>
      <c r="AX167" s="15">
        <v>0</v>
      </c>
      <c r="AY167" s="15">
        <v>0</v>
      </c>
      <c r="AZ167" s="15">
        <v>1209.8492591654899</v>
      </c>
      <c r="BA167" s="15">
        <v>76.930878417473068</v>
      </c>
      <c r="BB167" s="15">
        <v>472.04932531167367</v>
      </c>
      <c r="BC167" s="15">
        <v>660.86905543634316</v>
      </c>
      <c r="BD167" s="15">
        <v>0</v>
      </c>
      <c r="BE167" s="15">
        <v>620.69758228132878</v>
      </c>
      <c r="BF167" s="15">
        <v>217.27200735856263</v>
      </c>
      <c r="BG167" s="15">
        <v>1.4723613094253218</v>
      </c>
      <c r="BH167" s="15">
        <v>401.95321361334089</v>
      </c>
      <c r="BI167" s="15">
        <v>0</v>
      </c>
      <c r="BJ167" s="15">
        <v>1891.8277164468186</v>
      </c>
      <c r="BK167" s="15">
        <v>976.87674864046312</v>
      </c>
      <c r="BL167" s="15">
        <v>-0.65242792544238304</v>
      </c>
      <c r="BM167" s="15">
        <v>-0.51363525306820168</v>
      </c>
    </row>
    <row r="168" spans="1:65" x14ac:dyDescent="0.35">
      <c r="A168" s="15" t="s">
        <v>10787</v>
      </c>
      <c r="B168" s="15" t="s">
        <v>10566</v>
      </c>
      <c r="C168" s="15" t="s">
        <v>10594</v>
      </c>
      <c r="D168" s="15" t="s">
        <v>10322</v>
      </c>
      <c r="E168" s="15" t="s">
        <v>10935</v>
      </c>
      <c r="F168" s="15">
        <v>19348</v>
      </c>
      <c r="G168" s="15">
        <v>0.89711895463337699</v>
      </c>
      <c r="H168" s="15">
        <v>200</v>
      </c>
      <c r="I168" s="92">
        <v>3325.4610114071165</v>
      </c>
      <c r="J168" s="93">
        <v>-0.4112022322232593</v>
      </c>
      <c r="K168" s="15">
        <v>30</v>
      </c>
      <c r="L168" s="15">
        <v>61.688529769423823</v>
      </c>
      <c r="M168" s="15">
        <v>16.40074526405207</v>
      </c>
      <c r="N168" s="15">
        <v>6.7867902431863394</v>
      </c>
      <c r="O168" s="15">
        <v>1.2650203739835963</v>
      </c>
      <c r="P168" s="15">
        <v>2.6277857977471233</v>
      </c>
      <c r="Q168" s="15">
        <v>2.8939840714556202</v>
      </c>
      <c r="R168" s="15">
        <v>0.54124652189411049</v>
      </c>
      <c r="S168" s="15">
        <v>1.1341693613974024</v>
      </c>
      <c r="T168" s="15">
        <v>1.2185681881641071</v>
      </c>
      <c r="U168" s="15">
        <v>0</v>
      </c>
      <c r="V168" s="15">
        <v>0</v>
      </c>
      <c r="W168" s="15">
        <v>0</v>
      </c>
      <c r="X168" s="15">
        <v>206039.48631386974</v>
      </c>
      <c r="Y168" s="15">
        <v>3385.9933947178265</v>
      </c>
      <c r="Z168" s="15">
        <v>0</v>
      </c>
      <c r="AA168" s="15">
        <v>0</v>
      </c>
      <c r="AB168" s="15">
        <v>0</v>
      </c>
      <c r="AC168" s="15">
        <v>3385.9933947178265</v>
      </c>
      <c r="AD168" s="15">
        <v>60.532383310709974</v>
      </c>
      <c r="AE168" s="15">
        <v>-20.473446476401197</v>
      </c>
      <c r="AF168" s="15">
        <v>0</v>
      </c>
      <c r="AG168" s="15">
        <v>0</v>
      </c>
      <c r="AH168" s="15">
        <v>0</v>
      </c>
      <c r="AI168" s="15">
        <v>101.46076874999999</v>
      </c>
      <c r="AJ168" s="15">
        <v>0</v>
      </c>
      <c r="AK168" s="15">
        <v>-20.45493896288913</v>
      </c>
      <c r="AL168" s="15">
        <v>0</v>
      </c>
      <c r="AM168" s="15">
        <v>0</v>
      </c>
      <c r="AN168" s="15">
        <v>1.7877289248449484E-2</v>
      </c>
      <c r="AO168" s="15">
        <v>3325.4610114071165</v>
      </c>
      <c r="AP168" s="15">
        <v>0</v>
      </c>
      <c r="AQ168" s="15">
        <v>0</v>
      </c>
      <c r="AR168" s="15">
        <v>0</v>
      </c>
      <c r="AS168" s="15">
        <v>0</v>
      </c>
      <c r="AT168" s="15">
        <v>0</v>
      </c>
      <c r="AU168" s="15">
        <v>1758.0240203450926</v>
      </c>
      <c r="AV168" s="15">
        <v>61.280874999999995</v>
      </c>
      <c r="AW168" s="15">
        <v>61.280874999999995</v>
      </c>
      <c r="AX168" s="15">
        <v>0</v>
      </c>
      <c r="AY168" s="15">
        <v>0</v>
      </c>
      <c r="AZ168" s="15">
        <v>1209.8492591654899</v>
      </c>
      <c r="BA168" s="15">
        <v>76.930878417473068</v>
      </c>
      <c r="BB168" s="15">
        <v>472.04932531167367</v>
      </c>
      <c r="BC168" s="15">
        <v>660.86905543634316</v>
      </c>
      <c r="BD168" s="15">
        <v>0</v>
      </c>
      <c r="BE168" s="15">
        <v>486.89388617960276</v>
      </c>
      <c r="BF168" s="15">
        <v>170.32334205971139</v>
      </c>
      <c r="BG168" s="15">
        <v>1.4723613094253218</v>
      </c>
      <c r="BH168" s="15">
        <v>315.09818281046603</v>
      </c>
      <c r="BI168" s="15">
        <v>0</v>
      </c>
      <c r="BJ168" s="15">
        <v>1758.0240203450926</v>
      </c>
      <c r="BK168" s="15">
        <v>1818.5564036558026</v>
      </c>
      <c r="BL168" s="15">
        <v>-0.40385105097819601</v>
      </c>
      <c r="BM168" s="15">
        <v>-0.4112022322232593</v>
      </c>
    </row>
    <row r="169" spans="1:65" x14ac:dyDescent="0.35">
      <c r="A169" s="15" t="s">
        <v>10787</v>
      </c>
      <c r="B169" s="15" t="s">
        <v>10566</v>
      </c>
      <c r="C169" s="15" t="s">
        <v>10594</v>
      </c>
      <c r="D169" s="15" t="s">
        <v>10323</v>
      </c>
      <c r="E169" s="15" t="s">
        <v>10936</v>
      </c>
      <c r="F169" s="15">
        <v>19348</v>
      </c>
      <c r="G169" s="15">
        <v>0.89711895463337699</v>
      </c>
      <c r="H169" s="15">
        <v>200</v>
      </c>
      <c r="I169" s="92">
        <v>2768.8161521319221</v>
      </c>
      <c r="J169" s="93">
        <v>-0.45712563103939591</v>
      </c>
      <c r="K169" s="15">
        <v>30</v>
      </c>
      <c r="L169" s="15">
        <v>53.880668151496643</v>
      </c>
      <c r="M169" s="15">
        <v>13.654893182064916</v>
      </c>
      <c r="N169" s="15">
        <v>6.7867902431863394</v>
      </c>
      <c r="O169" s="15">
        <v>0.95367976497254436</v>
      </c>
      <c r="P169" s="15">
        <v>2.7389788723939272</v>
      </c>
      <c r="Q169" s="15">
        <v>3.094131605819868</v>
      </c>
      <c r="R169" s="15">
        <v>0.54124652189411049</v>
      </c>
      <c r="S169" s="15">
        <v>1.33431689576165</v>
      </c>
      <c r="T169" s="15">
        <v>1.2185681881641071</v>
      </c>
      <c r="U169" s="15">
        <v>0</v>
      </c>
      <c r="V169" s="15">
        <v>0</v>
      </c>
      <c r="W169" s="15">
        <v>0</v>
      </c>
      <c r="X169" s="15">
        <v>0</v>
      </c>
      <c r="Y169" s="15">
        <v>2852.8178649953356</v>
      </c>
      <c r="Z169" s="15">
        <v>0</v>
      </c>
      <c r="AA169" s="15">
        <v>0</v>
      </c>
      <c r="AB169" s="15">
        <v>0</v>
      </c>
      <c r="AC169" s="15">
        <v>2852.8178649953356</v>
      </c>
      <c r="AD169" s="15">
        <v>84.001712863413559</v>
      </c>
      <c r="AE169" s="15">
        <v>-17.459055886586672</v>
      </c>
      <c r="AF169" s="15">
        <v>0</v>
      </c>
      <c r="AG169" s="15">
        <v>0</v>
      </c>
      <c r="AH169" s="15">
        <v>0</v>
      </c>
      <c r="AI169" s="15">
        <v>101.46076874999999</v>
      </c>
      <c r="AJ169" s="15">
        <v>0</v>
      </c>
      <c r="AK169" s="15">
        <v>0</v>
      </c>
      <c r="AL169" s="15">
        <v>0</v>
      </c>
      <c r="AM169" s="15">
        <v>0</v>
      </c>
      <c r="AN169" s="15">
        <v>2.9445172050459975E-2</v>
      </c>
      <c r="AO169" s="15">
        <v>2768.8161521319221</v>
      </c>
      <c r="AP169" s="15">
        <v>0</v>
      </c>
      <c r="AQ169" s="15">
        <v>0</v>
      </c>
      <c r="AR169" s="15">
        <v>0</v>
      </c>
      <c r="AS169" s="15">
        <v>0</v>
      </c>
      <c r="AT169" s="15">
        <v>0</v>
      </c>
      <c r="AU169" s="15">
        <v>1303.1193213565452</v>
      </c>
      <c r="AV169" s="15">
        <v>59.642499999999991</v>
      </c>
      <c r="AW169" s="15">
        <v>59.642499999999991</v>
      </c>
      <c r="AX169" s="15">
        <v>0</v>
      </c>
      <c r="AY169" s="15">
        <v>0</v>
      </c>
      <c r="AZ169" s="15">
        <v>832.98999882144597</v>
      </c>
      <c r="BA169" s="15">
        <v>76.930878417473068</v>
      </c>
      <c r="BB169" s="15">
        <v>315.02463350165539</v>
      </c>
      <c r="BC169" s="15">
        <v>441.0344869023175</v>
      </c>
      <c r="BD169" s="15">
        <v>0</v>
      </c>
      <c r="BE169" s="15">
        <v>410.48682253509924</v>
      </c>
      <c r="BF169" s="15">
        <v>143.51384604409611</v>
      </c>
      <c r="BG169" s="15">
        <v>1.4723613094253218</v>
      </c>
      <c r="BH169" s="15">
        <v>265.50061518157781</v>
      </c>
      <c r="BI169" s="15">
        <v>0</v>
      </c>
      <c r="BJ169" s="15">
        <v>1303.1193213565452</v>
      </c>
      <c r="BK169" s="15">
        <v>1387.1210342199588</v>
      </c>
      <c r="BL169" s="15">
        <v>-0.44366548818476581</v>
      </c>
      <c r="BM169" s="15">
        <v>-0.45712563103939591</v>
      </c>
    </row>
    <row r="170" spans="1:65" x14ac:dyDescent="0.35">
      <c r="A170" s="15" t="s">
        <v>10787</v>
      </c>
      <c r="B170" s="15" t="s">
        <v>10566</v>
      </c>
      <c r="C170" s="15" t="s">
        <v>10594</v>
      </c>
      <c r="D170" s="15" t="s">
        <v>10324</v>
      </c>
      <c r="E170" s="15" t="s">
        <v>10937</v>
      </c>
      <c r="F170" s="15">
        <v>19348</v>
      </c>
      <c r="G170" s="15">
        <v>0.89711895463337699</v>
      </c>
      <c r="H170" s="15">
        <v>200</v>
      </c>
      <c r="I170" s="92">
        <v>3137.4576810069316</v>
      </c>
      <c r="J170" s="93">
        <v>-0.49567299862109521</v>
      </c>
      <c r="K170" s="15">
        <v>30</v>
      </c>
      <c r="L170" s="15">
        <v>64.361062237047548</v>
      </c>
      <c r="M170" s="15">
        <v>14.650383550172668</v>
      </c>
      <c r="N170" s="15">
        <v>6.7867902431863394</v>
      </c>
      <c r="O170" s="15">
        <v>1.5209027265224513</v>
      </c>
      <c r="P170" s="15">
        <v>2.3741549628714451</v>
      </c>
      <c r="Q170" s="15">
        <v>2.8917325537924445</v>
      </c>
      <c r="R170" s="15">
        <v>0.54124652189411049</v>
      </c>
      <c r="S170" s="15">
        <v>0</v>
      </c>
      <c r="T170" s="15">
        <v>2.3504860318983329</v>
      </c>
      <c r="U170" s="15">
        <v>0</v>
      </c>
      <c r="V170" s="15">
        <v>0</v>
      </c>
      <c r="W170" s="15">
        <v>0</v>
      </c>
      <c r="X170" s="15">
        <v>0</v>
      </c>
      <c r="Y170" s="15">
        <v>3172.3882956367015</v>
      </c>
      <c r="Z170" s="15">
        <v>0</v>
      </c>
      <c r="AA170" s="15">
        <v>0</v>
      </c>
      <c r="AB170" s="15">
        <v>0</v>
      </c>
      <c r="AC170" s="15">
        <v>3172.3882956367015</v>
      </c>
      <c r="AD170" s="15">
        <v>34.930614629769934</v>
      </c>
      <c r="AE170" s="15">
        <v>-66.530154120230065</v>
      </c>
      <c r="AF170" s="15">
        <v>0</v>
      </c>
      <c r="AG170" s="15">
        <v>0</v>
      </c>
      <c r="AH170" s="15">
        <v>0</v>
      </c>
      <c r="AI170" s="15">
        <v>101.46076874999999</v>
      </c>
      <c r="AJ170" s="15">
        <v>0</v>
      </c>
      <c r="AK170" s="15">
        <v>0</v>
      </c>
      <c r="AL170" s="15">
        <v>0</v>
      </c>
      <c r="AM170" s="15">
        <v>0</v>
      </c>
      <c r="AN170" s="15">
        <v>1.1010825716956985E-2</v>
      </c>
      <c r="AO170" s="15">
        <v>3137.4576810069316</v>
      </c>
      <c r="AP170" s="15">
        <v>0</v>
      </c>
      <c r="AQ170" s="15">
        <v>0</v>
      </c>
      <c r="AR170" s="15">
        <v>0</v>
      </c>
      <c r="AS170" s="15">
        <v>0</v>
      </c>
      <c r="AT170" s="15">
        <v>0</v>
      </c>
      <c r="AU170" s="15">
        <v>1382.3046242154383</v>
      </c>
      <c r="AV170" s="15">
        <v>65.018000000000001</v>
      </c>
      <c r="AW170" s="15">
        <v>65.018000000000001</v>
      </c>
      <c r="AX170" s="15">
        <v>0</v>
      </c>
      <c r="AY170" s="15">
        <v>0</v>
      </c>
      <c r="AZ170" s="15">
        <v>854.26838381565017</v>
      </c>
      <c r="BA170" s="15">
        <v>76.930878417473068</v>
      </c>
      <c r="BB170" s="15">
        <v>323.89062724924042</v>
      </c>
      <c r="BC170" s="15">
        <v>453.44687814893661</v>
      </c>
      <c r="BD170" s="15">
        <v>0</v>
      </c>
      <c r="BE170" s="15">
        <v>463.01824039978806</v>
      </c>
      <c r="BF170" s="15">
        <v>161.94592248784659</v>
      </c>
      <c r="BG170" s="15">
        <v>1.4723613094253218</v>
      </c>
      <c r="BH170" s="15">
        <v>299.59995660251616</v>
      </c>
      <c r="BI170" s="15">
        <v>0</v>
      </c>
      <c r="BJ170" s="15">
        <v>1382.3046242154383</v>
      </c>
      <c r="BK170" s="15">
        <v>1417.2352388452082</v>
      </c>
      <c r="BL170" s="15">
        <v>-0.49021522962067687</v>
      </c>
      <c r="BM170" s="15">
        <v>-0.49567299862109521</v>
      </c>
    </row>
    <row r="171" spans="1:65" x14ac:dyDescent="0.35">
      <c r="A171" s="15" t="s">
        <v>10787</v>
      </c>
      <c r="B171" s="15" t="s">
        <v>10566</v>
      </c>
      <c r="C171" s="15" t="s">
        <v>10594</v>
      </c>
      <c r="D171" s="15" t="s">
        <v>10325</v>
      </c>
      <c r="E171" s="15" t="s">
        <v>10938</v>
      </c>
      <c r="F171" s="15">
        <v>19348</v>
      </c>
      <c r="G171" s="15">
        <v>0.89711895463337699</v>
      </c>
      <c r="H171" s="15">
        <v>200</v>
      </c>
      <c r="I171" s="92">
        <v>8034.0235561746913</v>
      </c>
      <c r="J171" s="93">
        <v>-1.0547967334057913</v>
      </c>
      <c r="K171" s="15">
        <v>30</v>
      </c>
      <c r="L171" s="15">
        <v>77.099700652630972</v>
      </c>
      <c r="M171" s="15">
        <v>24.495016513936701</v>
      </c>
      <c r="N171" s="15">
        <v>6.7867902431863394</v>
      </c>
      <c r="O171" s="15">
        <v>4.959784638444253</v>
      </c>
      <c r="P171" s="15">
        <v>1.2491087442584461</v>
      </c>
      <c r="Q171" s="15">
        <v>0.57789686048364242</v>
      </c>
      <c r="R171" s="15">
        <v>0.57789686048364242</v>
      </c>
      <c r="S171" s="15">
        <v>0</v>
      </c>
      <c r="T171" s="15">
        <v>0</v>
      </c>
      <c r="U171" s="15">
        <v>4303.2927180805273</v>
      </c>
      <c r="V171" s="15">
        <v>0</v>
      </c>
      <c r="W171" s="15">
        <v>0</v>
      </c>
      <c r="X171" s="15">
        <v>0</v>
      </c>
      <c r="Y171" s="15">
        <v>4774.7342844230006</v>
      </c>
      <c r="Z171" s="15">
        <v>0</v>
      </c>
      <c r="AA171" s="15">
        <v>0</v>
      </c>
      <c r="AB171" s="15">
        <v>0</v>
      </c>
      <c r="AC171" s="15">
        <v>4774.7342844230006</v>
      </c>
      <c r="AD171" s="15">
        <v>-3259.2892717516906</v>
      </c>
      <c r="AE171" s="15">
        <v>-81.920620543922681</v>
      </c>
      <c r="AF171" s="15">
        <v>0</v>
      </c>
      <c r="AG171" s="15">
        <v>0</v>
      </c>
      <c r="AH171" s="15">
        <v>-3300.36900943721</v>
      </c>
      <c r="AI171" s="15">
        <v>123.00035822944254</v>
      </c>
      <c r="AJ171" s="15">
        <v>0</v>
      </c>
      <c r="AK171" s="15">
        <v>0</v>
      </c>
      <c r="AL171" s="15">
        <v>0</v>
      </c>
      <c r="AM171" s="15">
        <v>0</v>
      </c>
      <c r="AN171" s="15">
        <v>-0.6826116549322403</v>
      </c>
      <c r="AO171" s="15">
        <v>8034.0235561746913</v>
      </c>
      <c r="AP171" s="15">
        <v>-3382.2896299811327</v>
      </c>
      <c r="AQ171" s="15">
        <v>-81.920620543922681</v>
      </c>
      <c r="AR171" s="15">
        <v>0</v>
      </c>
      <c r="AS171" s="15">
        <v>0</v>
      </c>
      <c r="AT171" s="15">
        <v>-3300.36900943721</v>
      </c>
      <c r="AU171" s="15">
        <v>2742.0513829975821</v>
      </c>
      <c r="AV171" s="15">
        <v>81.594999999999985</v>
      </c>
      <c r="AW171" s="15">
        <v>81.594999999999985</v>
      </c>
      <c r="AX171" s="15">
        <v>0</v>
      </c>
      <c r="AY171" s="15">
        <v>0</v>
      </c>
      <c r="AZ171" s="15">
        <v>1496.4973422187131</v>
      </c>
      <c r="BA171" s="15">
        <v>82.718698010625417</v>
      </c>
      <c r="BB171" s="15">
        <v>589.07443508670326</v>
      </c>
      <c r="BC171" s="15">
        <v>824.70420912138457</v>
      </c>
      <c r="BD171" s="15">
        <v>0</v>
      </c>
      <c r="BE171" s="15">
        <v>1163.9590407788689</v>
      </c>
      <c r="BF171" s="15">
        <v>407.8511957202067</v>
      </c>
      <c r="BG171" s="15">
        <v>1.5831329762799125</v>
      </c>
      <c r="BH171" s="15">
        <v>754.52471208238228</v>
      </c>
      <c r="BI171" s="15">
        <v>0</v>
      </c>
      <c r="BJ171" s="15">
        <v>-640.23824698355065</v>
      </c>
      <c r="BK171" s="15">
        <v>-3899.5275187352413</v>
      </c>
      <c r="BL171" s="15">
        <v>-1.7748132772130394</v>
      </c>
      <c r="BM171" s="15">
        <v>-1.0547967334057913</v>
      </c>
    </row>
    <row r="172" spans="1:65" s="56" customFormat="1" x14ac:dyDescent="0.35">
      <c r="A172" s="15" t="s">
        <v>10787</v>
      </c>
      <c r="B172" s="15" t="s">
        <v>10566</v>
      </c>
      <c r="C172" s="15" t="s">
        <v>10594</v>
      </c>
      <c r="D172" s="15" t="s">
        <v>10326</v>
      </c>
      <c r="E172" s="15" t="s">
        <v>10939</v>
      </c>
      <c r="F172" s="15">
        <v>19348</v>
      </c>
      <c r="G172" s="15">
        <v>0.89711895463337699</v>
      </c>
      <c r="H172" s="15">
        <v>200</v>
      </c>
      <c r="I172" s="92">
        <v>5859.8216086427847</v>
      </c>
      <c r="J172" s="93">
        <v>-0.92344523419089852</v>
      </c>
      <c r="K172" s="15">
        <v>30</v>
      </c>
      <c r="L172" s="15">
        <v>60.960081275844317</v>
      </c>
      <c r="M172" s="15">
        <v>19.402906329561922</v>
      </c>
      <c r="N172" s="15">
        <v>6.7867902431863394</v>
      </c>
      <c r="O172" s="15">
        <v>4.959784638444253</v>
      </c>
      <c r="P172" s="15">
        <v>1.2491087442584461</v>
      </c>
      <c r="Q172" s="15">
        <v>0.57789686048364242</v>
      </c>
      <c r="R172" s="15">
        <v>0.57789686048364242</v>
      </c>
      <c r="S172" s="15">
        <v>0</v>
      </c>
      <c r="T172" s="15">
        <v>0</v>
      </c>
      <c r="U172" s="15">
        <v>4303.2927180805273</v>
      </c>
      <c r="V172" s="15">
        <v>0</v>
      </c>
      <c r="W172" s="15">
        <v>0</v>
      </c>
      <c r="X172" s="15">
        <v>0</v>
      </c>
      <c r="Y172" s="15">
        <v>3799.1916323307023</v>
      </c>
      <c r="Z172" s="15">
        <v>0</v>
      </c>
      <c r="AA172" s="15">
        <v>0</v>
      </c>
      <c r="AB172" s="15">
        <v>0</v>
      </c>
      <c r="AC172" s="15">
        <v>3799.1916323307023</v>
      </c>
      <c r="AD172" s="15">
        <v>-2060.6299763120824</v>
      </c>
      <c r="AE172" s="15">
        <v>-53.636604359751502</v>
      </c>
      <c r="AF172" s="15">
        <v>0</v>
      </c>
      <c r="AG172" s="15">
        <v>0</v>
      </c>
      <c r="AH172" s="15">
        <v>-2129.9937301817731</v>
      </c>
      <c r="AI172" s="15">
        <v>123.00035822944254</v>
      </c>
      <c r="AJ172" s="15">
        <v>0</v>
      </c>
      <c r="AK172" s="15">
        <v>0</v>
      </c>
      <c r="AL172" s="15">
        <v>0</v>
      </c>
      <c r="AM172" s="15">
        <v>0</v>
      </c>
      <c r="AN172" s="15">
        <v>-0.54238642735900666</v>
      </c>
      <c r="AO172" s="15">
        <v>5859.8216086427847</v>
      </c>
      <c r="AP172" s="15">
        <v>-2183.6303345415245</v>
      </c>
      <c r="AQ172" s="15">
        <v>-53.636604359751502</v>
      </c>
      <c r="AR172" s="15">
        <v>0</v>
      </c>
      <c r="AS172" s="15">
        <v>0</v>
      </c>
      <c r="AT172" s="15">
        <v>-2129.9937301817731</v>
      </c>
      <c r="AU172" s="15">
        <v>2432.2276054742852</v>
      </c>
      <c r="AV172" s="15">
        <v>81.594999999999985</v>
      </c>
      <c r="AW172" s="15">
        <v>81.594999999999985</v>
      </c>
      <c r="AX172" s="15">
        <v>0</v>
      </c>
      <c r="AY172" s="15">
        <v>0</v>
      </c>
      <c r="AZ172" s="15">
        <v>1496.4973422187131</v>
      </c>
      <c r="BA172" s="15">
        <v>82.718698010625417</v>
      </c>
      <c r="BB172" s="15">
        <v>589.07443508670326</v>
      </c>
      <c r="BC172" s="15">
        <v>824.70420912138457</v>
      </c>
      <c r="BD172" s="15">
        <v>0</v>
      </c>
      <c r="BE172" s="15">
        <v>854.13526325557223</v>
      </c>
      <c r="BF172" s="15">
        <v>299.14109834361136</v>
      </c>
      <c r="BG172" s="15">
        <v>1.5831329762799125</v>
      </c>
      <c r="BH172" s="15">
        <v>553.41103193568097</v>
      </c>
      <c r="BI172" s="15">
        <v>0</v>
      </c>
      <c r="BJ172" s="15">
        <v>248.59727093276069</v>
      </c>
      <c r="BK172" s="55">
        <v>-1812.0327053793217</v>
      </c>
      <c r="BL172" s="55">
        <v>-1.4243093956254012</v>
      </c>
      <c r="BM172" s="55">
        <v>-0.92344523419089852</v>
      </c>
    </row>
    <row r="173" spans="1:65" s="56" customFormat="1" x14ac:dyDescent="0.35">
      <c r="A173" s="55" t="s">
        <v>10787</v>
      </c>
      <c r="B173" s="55" t="s">
        <v>10566</v>
      </c>
      <c r="C173" s="55" t="s">
        <v>10905</v>
      </c>
      <c r="D173" s="55" t="s">
        <v>10323</v>
      </c>
      <c r="E173" s="55" t="s">
        <v>10940</v>
      </c>
      <c r="F173" s="55">
        <v>19348</v>
      </c>
      <c r="G173" s="55">
        <v>0.89711895463337699</v>
      </c>
      <c r="H173" s="55">
        <v>200</v>
      </c>
      <c r="I173" s="55">
        <v>2768.8161521319221</v>
      </c>
      <c r="J173" s="94">
        <v>-0.45712563103939591</v>
      </c>
      <c r="K173" s="55">
        <v>30</v>
      </c>
      <c r="L173" s="55">
        <v>53.880668151496643</v>
      </c>
      <c r="M173" s="55">
        <v>13.654893182064916</v>
      </c>
      <c r="N173" s="55">
        <v>6.7867902431863394</v>
      </c>
      <c r="O173" s="55">
        <v>0.95367976497254436</v>
      </c>
      <c r="P173" s="55">
        <v>2.7389788723939272</v>
      </c>
      <c r="Q173" s="55">
        <v>3.094131605819868</v>
      </c>
      <c r="R173" s="55">
        <v>0.54124652189411049</v>
      </c>
      <c r="S173" s="55">
        <v>1.33431689576165</v>
      </c>
      <c r="T173" s="55">
        <v>1.2185681881641071</v>
      </c>
      <c r="U173" s="55">
        <v>0</v>
      </c>
      <c r="V173" s="55">
        <v>0</v>
      </c>
      <c r="W173" s="55">
        <v>0</v>
      </c>
      <c r="X173" s="55">
        <v>0</v>
      </c>
      <c r="Y173" s="55">
        <v>2852.8178649953356</v>
      </c>
      <c r="Z173" s="55">
        <v>0</v>
      </c>
      <c r="AA173" s="55">
        <v>0</v>
      </c>
      <c r="AB173" s="55">
        <v>0</v>
      </c>
      <c r="AC173" s="55">
        <v>2852.8178649953356</v>
      </c>
      <c r="AD173" s="55">
        <v>84.001712863413559</v>
      </c>
      <c r="AE173" s="55">
        <v>-17.459055886586672</v>
      </c>
      <c r="AF173" s="55">
        <v>0</v>
      </c>
      <c r="AG173" s="55">
        <v>0</v>
      </c>
      <c r="AH173" s="55">
        <v>0</v>
      </c>
      <c r="AI173" s="55">
        <v>101.46076874999999</v>
      </c>
      <c r="AJ173" s="55">
        <v>0</v>
      </c>
      <c r="AK173" s="55">
        <v>0</v>
      </c>
      <c r="AL173" s="55">
        <v>0</v>
      </c>
      <c r="AM173" s="55">
        <v>0</v>
      </c>
      <c r="AN173" s="55">
        <v>2.9445172050459975E-2</v>
      </c>
      <c r="AO173" s="55">
        <v>2768.8161521319221</v>
      </c>
      <c r="AP173" s="55">
        <v>0</v>
      </c>
      <c r="AQ173" s="55">
        <v>0</v>
      </c>
      <c r="AR173" s="55">
        <v>0</v>
      </c>
      <c r="AS173" s="55">
        <v>0</v>
      </c>
      <c r="AT173" s="55">
        <v>0</v>
      </c>
      <c r="AU173" s="55">
        <v>1303.1193213565452</v>
      </c>
      <c r="AV173" s="55">
        <v>59.642499999999991</v>
      </c>
      <c r="AW173" s="55">
        <v>59.642499999999991</v>
      </c>
      <c r="AX173" s="55">
        <v>0</v>
      </c>
      <c r="AY173" s="55">
        <v>0</v>
      </c>
      <c r="AZ173" s="55">
        <v>832.98999882144597</v>
      </c>
      <c r="BA173" s="55">
        <v>76.930878417473068</v>
      </c>
      <c r="BB173" s="55">
        <v>315.02463350165539</v>
      </c>
      <c r="BC173" s="55">
        <v>441.0344869023175</v>
      </c>
      <c r="BD173" s="55">
        <v>0</v>
      </c>
      <c r="BE173" s="55">
        <v>410.48682253509924</v>
      </c>
      <c r="BF173" s="55">
        <v>143.51384604409611</v>
      </c>
      <c r="BG173" s="55">
        <v>1.4723613094253218</v>
      </c>
      <c r="BH173" s="55">
        <v>265.50061518157781</v>
      </c>
      <c r="BI173" s="55">
        <v>0</v>
      </c>
      <c r="BJ173" s="55">
        <v>1303.1193213565452</v>
      </c>
      <c r="BK173" s="55">
        <v>1387.1210342199588</v>
      </c>
      <c r="BL173" s="55">
        <v>-0.44366548818476581</v>
      </c>
      <c r="BM173" s="55">
        <v>-0.45712563103939591</v>
      </c>
    </row>
    <row r="174" spans="1:65" x14ac:dyDescent="0.35">
      <c r="A174" s="15" t="s">
        <v>10787</v>
      </c>
      <c r="B174" s="15" t="s">
        <v>10566</v>
      </c>
      <c r="C174" s="15" t="s">
        <v>10596</v>
      </c>
      <c r="D174" s="15" t="s">
        <v>10320</v>
      </c>
      <c r="E174" s="15" t="s">
        <v>10941</v>
      </c>
      <c r="F174" s="15">
        <v>169970</v>
      </c>
      <c r="G174" s="15">
        <v>0.89712437569563031</v>
      </c>
      <c r="H174" s="15">
        <v>200</v>
      </c>
      <c r="I174" s="92">
        <v>450.99204171247959</v>
      </c>
      <c r="J174" s="93">
        <v>0.30662049858864315</v>
      </c>
      <c r="K174" s="15">
        <v>30</v>
      </c>
      <c r="L174" s="15">
        <v>130.04959144009007</v>
      </c>
      <c r="M174" s="15">
        <v>22.127824350306128</v>
      </c>
      <c r="N174" s="15">
        <v>59.62154787310557</v>
      </c>
      <c r="O174" s="15">
        <v>11.113128605033575</v>
      </c>
      <c r="P174" s="15">
        <v>23.084941647922584</v>
      </c>
      <c r="Q174" s="15">
        <v>25.423477620149402</v>
      </c>
      <c r="R174" s="15">
        <v>4.7548184428801701</v>
      </c>
      <c r="S174" s="15">
        <v>9.9636102566531299</v>
      </c>
      <c r="T174" s="15">
        <v>10.705048920616104</v>
      </c>
      <c r="U174" s="15">
        <v>0</v>
      </c>
      <c r="V174" s="15">
        <v>7240.1784388992992</v>
      </c>
      <c r="W174" s="15">
        <v>0</v>
      </c>
      <c r="X174" s="15">
        <v>0</v>
      </c>
      <c r="Y174" s="15">
        <v>592.14751480594714</v>
      </c>
      <c r="Z174" s="15">
        <v>0</v>
      </c>
      <c r="AA174" s="15">
        <v>0</v>
      </c>
      <c r="AB174" s="15">
        <v>0</v>
      </c>
      <c r="AC174" s="15">
        <v>592.14751480594714</v>
      </c>
      <c r="AD174" s="15">
        <v>141.15547309346755</v>
      </c>
      <c r="AE174" s="15">
        <v>18.01753637820655</v>
      </c>
      <c r="AF174" s="15">
        <v>0</v>
      </c>
      <c r="AG174" s="15">
        <v>0</v>
      </c>
      <c r="AH174" s="15">
        <v>21.677167965261123</v>
      </c>
      <c r="AI174" s="15">
        <v>101.46076874999997</v>
      </c>
      <c r="AJ174" s="15">
        <v>0</v>
      </c>
      <c r="AK174" s="15">
        <v>0</v>
      </c>
      <c r="AL174" s="15">
        <v>0</v>
      </c>
      <c r="AM174" s="15">
        <v>0</v>
      </c>
      <c r="AN174" s="15">
        <v>0.23837889979108612</v>
      </c>
      <c r="AO174" s="15">
        <v>450.99204171247959</v>
      </c>
      <c r="AP174" s="15">
        <v>39.694704343467677</v>
      </c>
      <c r="AQ174" s="15">
        <v>18.01753637820655</v>
      </c>
      <c r="AR174" s="15">
        <v>0</v>
      </c>
      <c r="AS174" s="15">
        <v>0</v>
      </c>
      <c r="AT174" s="15">
        <v>21.677167965261123</v>
      </c>
      <c r="AU174" s="15">
        <v>349.58074205840262</v>
      </c>
      <c r="AV174" s="15">
        <v>61.280875000000009</v>
      </c>
      <c r="AW174" s="15">
        <v>61.280875000000009</v>
      </c>
      <c r="AX174" s="15">
        <v>0</v>
      </c>
      <c r="AY174" s="15">
        <v>0</v>
      </c>
      <c r="AZ174" s="15">
        <v>208.1029802580739</v>
      </c>
      <c r="BA174" s="15">
        <v>76.930878417473082</v>
      </c>
      <c r="BB174" s="15">
        <v>54.655042433583681</v>
      </c>
      <c r="BC174" s="15">
        <v>76.517059407017143</v>
      </c>
      <c r="BD174" s="15">
        <v>0</v>
      </c>
      <c r="BE174" s="15">
        <v>80.196886800328656</v>
      </c>
      <c r="BF174" s="15">
        <v>27.622640523123977</v>
      </c>
      <c r="BG174" s="15">
        <v>1.4723613094253223</v>
      </c>
      <c r="BH174" s="15">
        <v>51.101884967779355</v>
      </c>
      <c r="BI174" s="15">
        <v>0</v>
      </c>
      <c r="BJ174" s="15">
        <v>389.27544640187028</v>
      </c>
      <c r="BK174" s="15">
        <v>530.43091949533778</v>
      </c>
      <c r="BL174" s="15">
        <v>0.23352864148168812</v>
      </c>
      <c r="BM174" s="15">
        <v>0.30662049858864315</v>
      </c>
    </row>
    <row r="175" spans="1:65" x14ac:dyDescent="0.35">
      <c r="A175" s="15" t="s">
        <v>10787</v>
      </c>
      <c r="B175" s="15" t="s">
        <v>10566</v>
      </c>
      <c r="C175" s="15" t="s">
        <v>10596</v>
      </c>
      <c r="D175" s="15" t="s">
        <v>10321</v>
      </c>
      <c r="E175" s="15" t="s">
        <v>10942</v>
      </c>
      <c r="F175" s="15">
        <v>169970</v>
      </c>
      <c r="G175" s="15">
        <v>0.89712437569563031</v>
      </c>
      <c r="H175" s="15">
        <v>200</v>
      </c>
      <c r="I175" s="92">
        <v>588.25028839181175</v>
      </c>
      <c r="J175" s="93">
        <v>-2.5269098119430532E-2</v>
      </c>
      <c r="K175" s="15">
        <v>30</v>
      </c>
      <c r="L175" s="15">
        <v>130.04959144009007</v>
      </c>
      <c r="M175" s="15">
        <v>22.127824350306128</v>
      </c>
      <c r="N175" s="15">
        <v>59.62154787310557</v>
      </c>
      <c r="O175" s="15">
        <v>11.113128605033575</v>
      </c>
      <c r="P175" s="15">
        <v>23.084941647922584</v>
      </c>
      <c r="Q175" s="15">
        <v>25.423477620149402</v>
      </c>
      <c r="R175" s="15">
        <v>4.7548184428801701</v>
      </c>
      <c r="S175" s="15">
        <v>9.9636102566531299</v>
      </c>
      <c r="T175" s="15">
        <v>10.705048920616104</v>
      </c>
      <c r="U175" s="15">
        <v>0</v>
      </c>
      <c r="V175" s="15">
        <v>0</v>
      </c>
      <c r="W175" s="15">
        <v>1810.0446097248248</v>
      </c>
      <c r="X175" s="15">
        <v>0</v>
      </c>
      <c r="Y175" s="15">
        <v>592.14751480594714</v>
      </c>
      <c r="Z175" s="15">
        <v>0</v>
      </c>
      <c r="AA175" s="15">
        <v>0</v>
      </c>
      <c r="AB175" s="15">
        <v>0</v>
      </c>
      <c r="AC175" s="15">
        <v>592.14751480594714</v>
      </c>
      <c r="AD175" s="15">
        <v>3.8972264141353889</v>
      </c>
      <c r="AE175" s="15">
        <v>-20.47344647640119</v>
      </c>
      <c r="AF175" s="15">
        <v>10.171733927045288</v>
      </c>
      <c r="AG175" s="15">
        <v>-117.05615908790057</v>
      </c>
      <c r="AH175" s="15">
        <v>0</v>
      </c>
      <c r="AI175" s="15">
        <v>101.46076874999997</v>
      </c>
      <c r="AJ175" s="15">
        <v>0</v>
      </c>
      <c r="AK175" s="15">
        <v>29.794329301391947</v>
      </c>
      <c r="AL175" s="15">
        <v>0</v>
      </c>
      <c r="AM175" s="15">
        <v>0</v>
      </c>
      <c r="AN175" s="15">
        <v>6.5815127425005752E-3</v>
      </c>
      <c r="AO175" s="15">
        <v>588.25028839181175</v>
      </c>
      <c r="AP175" s="15">
        <v>0</v>
      </c>
      <c r="AQ175" s="15">
        <v>0</v>
      </c>
      <c r="AR175" s="15">
        <v>0</v>
      </c>
      <c r="AS175" s="15">
        <v>0</v>
      </c>
      <c r="AT175" s="15">
        <v>0</v>
      </c>
      <c r="AU175" s="15">
        <v>373.38573413565575</v>
      </c>
      <c r="AV175" s="15">
        <v>61.280875000000009</v>
      </c>
      <c r="AW175" s="15">
        <v>61.280875000000009</v>
      </c>
      <c r="AX175" s="15">
        <v>0</v>
      </c>
      <c r="AY175" s="15">
        <v>0</v>
      </c>
      <c r="AZ175" s="15">
        <v>208.1029802580739</v>
      </c>
      <c r="BA175" s="15">
        <v>76.930878417473082</v>
      </c>
      <c r="BB175" s="15">
        <v>54.655042433583681</v>
      </c>
      <c r="BC175" s="15">
        <v>76.517059407017143</v>
      </c>
      <c r="BD175" s="15">
        <v>0</v>
      </c>
      <c r="BE175" s="15">
        <v>104.00187887758185</v>
      </c>
      <c r="BF175" s="15">
        <v>35.97526932216018</v>
      </c>
      <c r="BG175" s="15">
        <v>1.4723613094253223</v>
      </c>
      <c r="BH175" s="15">
        <v>66.554248245996334</v>
      </c>
      <c r="BI175" s="15">
        <v>0</v>
      </c>
      <c r="BJ175" s="15">
        <v>373.38573413565575</v>
      </c>
      <c r="BK175" s="15">
        <v>377.28296054979114</v>
      </c>
      <c r="BL175" s="15">
        <v>-2.5102789228166E-2</v>
      </c>
      <c r="BM175" s="15">
        <v>-2.5269098119430532E-2</v>
      </c>
    </row>
    <row r="176" spans="1:65" x14ac:dyDescent="0.35">
      <c r="A176" s="15" t="s">
        <v>10787</v>
      </c>
      <c r="B176" s="15" t="s">
        <v>10566</v>
      </c>
      <c r="C176" s="15" t="s">
        <v>10596</v>
      </c>
      <c r="D176" s="15" t="s">
        <v>10322</v>
      </c>
      <c r="E176" s="15" t="s">
        <v>10943</v>
      </c>
      <c r="F176" s="15">
        <v>169970</v>
      </c>
      <c r="G176" s="15">
        <v>0.89712437569563031</v>
      </c>
      <c r="H176" s="15">
        <v>200</v>
      </c>
      <c r="I176" s="92">
        <v>477.20988226477812</v>
      </c>
      <c r="J176" s="93">
        <v>0.16962100805897357</v>
      </c>
      <c r="K176" s="15">
        <v>30</v>
      </c>
      <c r="L176" s="15">
        <v>130.04959144009007</v>
      </c>
      <c r="M176" s="15">
        <v>22.127824350306128</v>
      </c>
      <c r="N176" s="15">
        <v>59.62154787310557</v>
      </c>
      <c r="O176" s="15">
        <v>11.113128605033575</v>
      </c>
      <c r="P176" s="15">
        <v>23.084941647922584</v>
      </c>
      <c r="Q176" s="15">
        <v>25.423477620149402</v>
      </c>
      <c r="R176" s="15">
        <v>4.7548184428801701</v>
      </c>
      <c r="S176" s="15">
        <v>9.9636102566531299</v>
      </c>
      <c r="T176" s="15">
        <v>10.705048920616104</v>
      </c>
      <c r="U176" s="15">
        <v>0</v>
      </c>
      <c r="V176" s="15">
        <v>0</v>
      </c>
      <c r="W176" s="15">
        <v>0</v>
      </c>
      <c r="X176" s="15">
        <v>1810044.6097248248</v>
      </c>
      <c r="Y176" s="15">
        <v>592.14751480594714</v>
      </c>
      <c r="Z176" s="15">
        <v>0</v>
      </c>
      <c r="AA176" s="15">
        <v>0</v>
      </c>
      <c r="AB176" s="15">
        <v>0</v>
      </c>
      <c r="AC176" s="15">
        <v>592.14751480594714</v>
      </c>
      <c r="AD176" s="15">
        <v>114.93763254116902</v>
      </c>
      <c r="AE176" s="15">
        <v>-20.47344647640119</v>
      </c>
      <c r="AF176" s="15">
        <v>0</v>
      </c>
      <c r="AG176" s="15">
        <v>0</v>
      </c>
      <c r="AH176" s="15">
        <v>0</v>
      </c>
      <c r="AI176" s="15">
        <v>101.46076874999997</v>
      </c>
      <c r="AJ176" s="15">
        <v>0</v>
      </c>
      <c r="AK176" s="15">
        <v>33.950310267570245</v>
      </c>
      <c r="AL176" s="15">
        <v>0</v>
      </c>
      <c r="AM176" s="15">
        <v>0</v>
      </c>
      <c r="AN176" s="15">
        <v>0.19410303964348355</v>
      </c>
      <c r="AO176" s="15">
        <v>477.20988226477812</v>
      </c>
      <c r="AP176" s="15">
        <v>0</v>
      </c>
      <c r="AQ176" s="15">
        <v>0</v>
      </c>
      <c r="AR176" s="15">
        <v>0</v>
      </c>
      <c r="AS176" s="15">
        <v>0</v>
      </c>
      <c r="AT176" s="15">
        <v>0</v>
      </c>
      <c r="AU176" s="15">
        <v>358.15470355023388</v>
      </c>
      <c r="AV176" s="15">
        <v>61.280875000000009</v>
      </c>
      <c r="AW176" s="15">
        <v>61.280875000000009</v>
      </c>
      <c r="AX176" s="15">
        <v>0</v>
      </c>
      <c r="AY176" s="15">
        <v>0</v>
      </c>
      <c r="AZ176" s="15">
        <v>208.1029802580739</v>
      </c>
      <c r="BA176" s="15">
        <v>76.930878417473082</v>
      </c>
      <c r="BB176" s="15">
        <v>54.655042433583681</v>
      </c>
      <c r="BC176" s="15">
        <v>76.517059407017143</v>
      </c>
      <c r="BD176" s="15">
        <v>0</v>
      </c>
      <c r="BE176" s="15">
        <v>88.770848292159968</v>
      </c>
      <c r="BF176" s="15">
        <v>30.631048064117422</v>
      </c>
      <c r="BG176" s="15">
        <v>1.4723613094253223</v>
      </c>
      <c r="BH176" s="15">
        <v>56.667438918617222</v>
      </c>
      <c r="BI176" s="15">
        <v>0</v>
      </c>
      <c r="BJ176" s="15">
        <v>358.15470355023388</v>
      </c>
      <c r="BK176" s="15">
        <v>473.0923360914029</v>
      </c>
      <c r="BL176" s="15">
        <v>0.13669705480733499</v>
      </c>
      <c r="BM176" s="15">
        <v>0.16962100805897357</v>
      </c>
    </row>
    <row r="177" spans="1:65" x14ac:dyDescent="0.35">
      <c r="A177" s="15" t="s">
        <v>10787</v>
      </c>
      <c r="B177" s="15" t="s">
        <v>10566</v>
      </c>
      <c r="C177" s="15" t="s">
        <v>10596</v>
      </c>
      <c r="D177" s="15" t="s">
        <v>10323</v>
      </c>
      <c r="E177" s="15" t="s">
        <v>10944</v>
      </c>
      <c r="F177" s="15">
        <v>169970</v>
      </c>
      <c r="G177" s="15">
        <v>0.89712437569563031</v>
      </c>
      <c r="H177" s="15">
        <v>200</v>
      </c>
      <c r="I177" s="92">
        <v>390.38129724621695</v>
      </c>
      <c r="J177" s="93">
        <v>0.27259459253922663</v>
      </c>
      <c r="K177" s="15">
        <v>30</v>
      </c>
      <c r="L177" s="15">
        <v>86.77482250264562</v>
      </c>
      <c r="M177" s="15">
        <v>18.683938263953451</v>
      </c>
      <c r="N177" s="15">
        <v>59.62154787310557</v>
      </c>
      <c r="O177" s="15">
        <v>8.3780199071287935</v>
      </c>
      <c r="P177" s="15">
        <v>24.061766182888579</v>
      </c>
      <c r="Q177" s="15">
        <v>27.181761783088191</v>
      </c>
      <c r="R177" s="15">
        <v>4.7548184428801701</v>
      </c>
      <c r="S177" s="15">
        <v>11.721894419591919</v>
      </c>
      <c r="T177" s="15">
        <v>10.705048920616104</v>
      </c>
      <c r="U177" s="15">
        <v>0</v>
      </c>
      <c r="V177" s="15">
        <v>0</v>
      </c>
      <c r="W177" s="15">
        <v>0</v>
      </c>
      <c r="X177" s="15">
        <v>0</v>
      </c>
      <c r="Y177" s="15">
        <v>474.38301010963022</v>
      </c>
      <c r="Z177" s="15">
        <v>0</v>
      </c>
      <c r="AA177" s="15">
        <v>0</v>
      </c>
      <c r="AB177" s="15">
        <v>0</v>
      </c>
      <c r="AC177" s="15">
        <v>474.38301010963022</v>
      </c>
      <c r="AD177" s="15">
        <v>84.001712863413275</v>
      </c>
      <c r="AE177" s="15">
        <v>-17.459055886586665</v>
      </c>
      <c r="AF177" s="15">
        <v>0</v>
      </c>
      <c r="AG177" s="15">
        <v>0</v>
      </c>
      <c r="AH177" s="15">
        <v>0</v>
      </c>
      <c r="AI177" s="15">
        <v>101.46076874999997</v>
      </c>
      <c r="AJ177" s="15">
        <v>0</v>
      </c>
      <c r="AK177" s="15">
        <v>0</v>
      </c>
      <c r="AL177" s="15">
        <v>0</v>
      </c>
      <c r="AM177" s="15">
        <v>0</v>
      </c>
      <c r="AN177" s="15">
        <v>0.17707571956255436</v>
      </c>
      <c r="AO177" s="15">
        <v>390.38129724621695</v>
      </c>
      <c r="AP177" s="15">
        <v>0</v>
      </c>
      <c r="AQ177" s="15">
        <v>0</v>
      </c>
      <c r="AR177" s="15">
        <v>0</v>
      </c>
      <c r="AS177" s="15">
        <v>0</v>
      </c>
      <c r="AT177" s="15">
        <v>0</v>
      </c>
      <c r="AU177" s="15">
        <v>296.79712790398418</v>
      </c>
      <c r="AV177" s="15">
        <v>59.642499999999998</v>
      </c>
      <c r="AW177" s="15">
        <v>59.642499999999998</v>
      </c>
      <c r="AX177" s="15">
        <v>0</v>
      </c>
      <c r="AY177" s="15">
        <v>0</v>
      </c>
      <c r="AZ177" s="15">
        <v>165.59477219009796</v>
      </c>
      <c r="BA177" s="15">
        <v>76.930878417473082</v>
      </c>
      <c r="BB177" s="15">
        <v>36.943289071927026</v>
      </c>
      <c r="BC177" s="15">
        <v>51.720604700697834</v>
      </c>
      <c r="BD177" s="15">
        <v>0</v>
      </c>
      <c r="BE177" s="15">
        <v>71.559855713886236</v>
      </c>
      <c r="BF177" s="15">
        <v>24.592103299810844</v>
      </c>
      <c r="BG177" s="15">
        <v>1.4723613094253223</v>
      </c>
      <c r="BH177" s="15">
        <v>45.495391104650061</v>
      </c>
      <c r="BI177" s="15">
        <v>0</v>
      </c>
      <c r="BJ177" s="15">
        <v>296.79712790398418</v>
      </c>
      <c r="BK177" s="15">
        <v>380.79884076739745</v>
      </c>
      <c r="BL177" s="15">
        <v>0.22432470891648176</v>
      </c>
      <c r="BM177" s="15">
        <v>0.27259459253922663</v>
      </c>
    </row>
    <row r="178" spans="1:65" x14ac:dyDescent="0.35">
      <c r="A178" s="15" t="s">
        <v>10787</v>
      </c>
      <c r="B178" s="15" t="s">
        <v>10566</v>
      </c>
      <c r="C178" s="15" t="s">
        <v>10596</v>
      </c>
      <c r="D178" s="15" t="s">
        <v>10324</v>
      </c>
      <c r="E178" s="15" t="s">
        <v>10945</v>
      </c>
      <c r="F178" s="15">
        <v>169970</v>
      </c>
      <c r="G178" s="15">
        <v>0.89712437569563031</v>
      </c>
      <c r="H178" s="15">
        <v>200</v>
      </c>
      <c r="I178" s="92">
        <v>513.34693885702075</v>
      </c>
      <c r="J178" s="93">
        <v>1.201844686330412E-2</v>
      </c>
      <c r="K178" s="15">
        <v>30</v>
      </c>
      <c r="L178" s="15">
        <v>149.70452482688643</v>
      </c>
      <c r="M178" s="15">
        <v>21.248318124990778</v>
      </c>
      <c r="N178" s="15">
        <v>59.62154787310557</v>
      </c>
      <c r="O178" s="15">
        <v>13.361039824493275</v>
      </c>
      <c r="P178" s="15">
        <v>20.856809876969791</v>
      </c>
      <c r="Q178" s="15">
        <v>25.4036981716425</v>
      </c>
      <c r="R178" s="15">
        <v>4.7548184428801701</v>
      </c>
      <c r="S178" s="15">
        <v>0</v>
      </c>
      <c r="T178" s="15">
        <v>20.648879728762335</v>
      </c>
      <c r="U178" s="15">
        <v>0</v>
      </c>
      <c r="V178" s="15">
        <v>0</v>
      </c>
      <c r="W178" s="15">
        <v>0</v>
      </c>
      <c r="X178" s="15">
        <v>0</v>
      </c>
      <c r="Y178" s="15">
        <v>596.4214488246264</v>
      </c>
      <c r="Z178" s="15">
        <v>0</v>
      </c>
      <c r="AA178" s="15">
        <v>0</v>
      </c>
      <c r="AB178" s="15">
        <v>0</v>
      </c>
      <c r="AC178" s="15">
        <v>596.4214488246264</v>
      </c>
      <c r="AD178" s="15">
        <v>83.07450996760565</v>
      </c>
      <c r="AE178" s="15">
        <v>-18.386258782394336</v>
      </c>
      <c r="AF178" s="15">
        <v>0</v>
      </c>
      <c r="AG178" s="15">
        <v>0</v>
      </c>
      <c r="AH178" s="15">
        <v>0</v>
      </c>
      <c r="AI178" s="15">
        <v>101.46076874999997</v>
      </c>
      <c r="AJ178" s="15">
        <v>0</v>
      </c>
      <c r="AK178" s="15">
        <v>0</v>
      </c>
      <c r="AL178" s="15">
        <v>0</v>
      </c>
      <c r="AM178" s="15">
        <v>0</v>
      </c>
      <c r="AN178" s="15">
        <v>0.13928826693158236</v>
      </c>
      <c r="AO178" s="15">
        <v>513.34693885702075</v>
      </c>
      <c r="AP178" s="15">
        <v>0</v>
      </c>
      <c r="AQ178" s="15">
        <v>0</v>
      </c>
      <c r="AR178" s="15">
        <v>0</v>
      </c>
      <c r="AS178" s="15">
        <v>0</v>
      </c>
      <c r="AT178" s="15">
        <v>0</v>
      </c>
      <c r="AU178" s="15">
        <v>319.51657176411368</v>
      </c>
      <c r="AV178" s="15">
        <v>65.018000000000001</v>
      </c>
      <c r="AW178" s="15">
        <v>65.018000000000001</v>
      </c>
      <c r="AX178" s="15">
        <v>0</v>
      </c>
      <c r="AY178" s="15">
        <v>0</v>
      </c>
      <c r="AZ178" s="15">
        <v>165.41611212068793</v>
      </c>
      <c r="BA178" s="15">
        <v>76.930878417473082</v>
      </c>
      <c r="BB178" s="15">
        <v>36.868847376339517</v>
      </c>
      <c r="BC178" s="15">
        <v>51.616386326875322</v>
      </c>
      <c r="BD178" s="15">
        <v>0</v>
      </c>
      <c r="BE178" s="15">
        <v>89.082459643425778</v>
      </c>
      <c r="BF178" s="15">
        <v>30.740385380351036</v>
      </c>
      <c r="BG178" s="15">
        <v>1.4723613094253223</v>
      </c>
      <c r="BH178" s="15">
        <v>56.869712953649412</v>
      </c>
      <c r="BI178" s="15">
        <v>0</v>
      </c>
      <c r="BJ178" s="15">
        <v>319.51657176411368</v>
      </c>
      <c r="BK178" s="15">
        <v>402.59108173171933</v>
      </c>
      <c r="BL178" s="15">
        <v>1.0344418228505176E-2</v>
      </c>
      <c r="BM178" s="15">
        <v>1.201844686330412E-2</v>
      </c>
    </row>
    <row r="179" spans="1:65" x14ac:dyDescent="0.35">
      <c r="A179" s="15" t="s">
        <v>10787</v>
      </c>
      <c r="B179" s="15" t="s">
        <v>10566</v>
      </c>
      <c r="C179" s="15" t="s">
        <v>10596</v>
      </c>
      <c r="D179" s="15" t="s">
        <v>10325</v>
      </c>
      <c r="E179" s="15" t="s">
        <v>10946</v>
      </c>
      <c r="F179" s="15">
        <v>169970</v>
      </c>
      <c r="G179" s="15">
        <v>0.89712437569563031</v>
      </c>
      <c r="H179" s="15">
        <v>200</v>
      </c>
      <c r="I179" s="92">
        <v>737.97421921783882</v>
      </c>
      <c r="J179" s="93">
        <v>0.12805397077477992</v>
      </c>
      <c r="K179" s="15">
        <v>30</v>
      </c>
      <c r="L179" s="15">
        <v>291.33872623251989</v>
      </c>
      <c r="M179" s="15">
        <v>35.399648179930104</v>
      </c>
      <c r="N179" s="15">
        <v>59.62154787310557</v>
      </c>
      <c r="O179" s="15">
        <v>43.571412503602616</v>
      </c>
      <c r="P179" s="15">
        <v>10.973345886045079</v>
      </c>
      <c r="Q179" s="15">
        <v>5.0767894834578708</v>
      </c>
      <c r="R179" s="15">
        <v>5.0767894834578708</v>
      </c>
      <c r="S179" s="15">
        <v>0</v>
      </c>
      <c r="T179" s="15">
        <v>0</v>
      </c>
      <c r="U179" s="15">
        <v>37804.170102444165</v>
      </c>
      <c r="V179" s="15">
        <v>0</v>
      </c>
      <c r="W179" s="15">
        <v>0</v>
      </c>
      <c r="X179" s="15">
        <v>0</v>
      </c>
      <c r="Y179" s="15">
        <v>1035.0161839108673</v>
      </c>
      <c r="Z179" s="15">
        <v>0</v>
      </c>
      <c r="AA179" s="15">
        <v>0</v>
      </c>
      <c r="AB179" s="15">
        <v>0</v>
      </c>
      <c r="AC179" s="15">
        <v>1035.0161839108673</v>
      </c>
      <c r="AD179" s="15">
        <v>297.04196469302849</v>
      </c>
      <c r="AE179" s="15">
        <v>28.249370418028391</v>
      </c>
      <c r="AF179" s="15">
        <v>0</v>
      </c>
      <c r="AG179" s="15">
        <v>0</v>
      </c>
      <c r="AH179" s="15">
        <v>143.24488626159908</v>
      </c>
      <c r="AI179" s="15">
        <v>123.00035822944253</v>
      </c>
      <c r="AJ179" s="15">
        <v>2.5473497839584121</v>
      </c>
      <c r="AK179" s="15">
        <v>0</v>
      </c>
      <c r="AL179" s="15">
        <v>0</v>
      </c>
      <c r="AM179" s="15">
        <v>0</v>
      </c>
      <c r="AN179" s="15">
        <v>0.28699257973980524</v>
      </c>
      <c r="AO179" s="15">
        <v>737.97421921783882</v>
      </c>
      <c r="AP179" s="15">
        <v>171.49425667962748</v>
      </c>
      <c r="AQ179" s="15">
        <v>28.249370418028391</v>
      </c>
      <c r="AR179" s="15">
        <v>0</v>
      </c>
      <c r="AS179" s="15">
        <v>0</v>
      </c>
      <c r="AT179" s="15">
        <v>143.24488626159908</v>
      </c>
      <c r="AU179" s="15">
        <v>460.98049163847355</v>
      </c>
      <c r="AV179" s="15">
        <v>81.594999999999999</v>
      </c>
      <c r="AW179" s="15">
        <v>81.594999999999999</v>
      </c>
      <c r="AX179" s="15">
        <v>0</v>
      </c>
      <c r="AY179" s="15">
        <v>0</v>
      </c>
      <c r="AZ179" s="15">
        <v>254.75048403174196</v>
      </c>
      <c r="BA179" s="15">
        <v>82.718698010625431</v>
      </c>
      <c r="BB179" s="15">
        <v>71.679910842131889</v>
      </c>
      <c r="BC179" s="15">
        <v>100.35187517898463</v>
      </c>
      <c r="BD179" s="15">
        <v>0</v>
      </c>
      <c r="BE179" s="15">
        <v>124.63500760673158</v>
      </c>
      <c r="BF179" s="15">
        <v>43.176096361561989</v>
      </c>
      <c r="BG179" s="15">
        <v>1.5831329762799127</v>
      </c>
      <c r="BH179" s="15">
        <v>79.875778268889675</v>
      </c>
      <c r="BI179" s="15">
        <v>0</v>
      </c>
      <c r="BJ179" s="15">
        <v>632.47474831810109</v>
      </c>
      <c r="BK179" s="15">
        <v>929.51671301112958</v>
      </c>
      <c r="BL179" s="15">
        <v>9.1303431356200199E-2</v>
      </c>
      <c r="BM179" s="15">
        <v>0.12805397077477992</v>
      </c>
    </row>
    <row r="180" spans="1:65" s="56" customFormat="1" x14ac:dyDescent="0.35">
      <c r="A180" s="15" t="s">
        <v>10787</v>
      </c>
      <c r="B180" s="15" t="s">
        <v>10566</v>
      </c>
      <c r="C180" s="15" t="s">
        <v>10596</v>
      </c>
      <c r="D180" s="15" t="s">
        <v>10326</v>
      </c>
      <c r="E180" s="15" t="s">
        <v>10947</v>
      </c>
      <c r="F180" s="15">
        <v>169970</v>
      </c>
      <c r="G180" s="15">
        <v>0.89712437569563031</v>
      </c>
      <c r="H180" s="15">
        <v>200</v>
      </c>
      <c r="I180" s="92">
        <v>674.99913550783583</v>
      </c>
      <c r="J180" s="93">
        <v>0.23911255026716563</v>
      </c>
      <c r="K180" s="15">
        <v>30</v>
      </c>
      <c r="L180" s="15">
        <v>330.31841756783939</v>
      </c>
      <c r="M180" s="15">
        <v>30.165435103891273</v>
      </c>
      <c r="N180" s="15">
        <v>59.62154787310557</v>
      </c>
      <c r="O180" s="15">
        <v>43.571412503602616</v>
      </c>
      <c r="P180" s="15">
        <v>10.973345886045079</v>
      </c>
      <c r="Q180" s="15">
        <v>5.0767894834578708</v>
      </c>
      <c r="R180" s="15">
        <v>5.0767894834578708</v>
      </c>
      <c r="S180" s="15">
        <v>0</v>
      </c>
      <c r="T180" s="15">
        <v>0</v>
      </c>
      <c r="U180" s="15">
        <v>37804.170102444165</v>
      </c>
      <c r="V180" s="15">
        <v>0</v>
      </c>
      <c r="W180" s="15">
        <v>0</v>
      </c>
      <c r="X180" s="15">
        <v>0</v>
      </c>
      <c r="Y180" s="15">
        <v>985.24065697823244</v>
      </c>
      <c r="Z180" s="15">
        <v>0</v>
      </c>
      <c r="AA180" s="15">
        <v>0</v>
      </c>
      <c r="AB180" s="15">
        <v>0</v>
      </c>
      <c r="AC180" s="15">
        <v>985.24065697823244</v>
      </c>
      <c r="AD180" s="15">
        <v>310.24152147039661</v>
      </c>
      <c r="AE180" s="15">
        <v>30.499559126486659</v>
      </c>
      <c r="AF180" s="15">
        <v>0</v>
      </c>
      <c r="AG180" s="15">
        <v>0</v>
      </c>
      <c r="AH180" s="15">
        <v>153.84386897826727</v>
      </c>
      <c r="AI180" s="15">
        <v>123.00035822944253</v>
      </c>
      <c r="AJ180" s="15">
        <v>2.8977351362001906</v>
      </c>
      <c r="AK180" s="15">
        <v>0</v>
      </c>
      <c r="AL180" s="15">
        <v>0</v>
      </c>
      <c r="AM180" s="15">
        <v>0</v>
      </c>
      <c r="AN180" s="15">
        <v>0.31488907737721483</v>
      </c>
      <c r="AO180" s="15">
        <v>674.99913550783583</v>
      </c>
      <c r="AP180" s="15">
        <v>184.34342810475391</v>
      </c>
      <c r="AQ180" s="15">
        <v>30.499559126486659</v>
      </c>
      <c r="AR180" s="15">
        <v>0</v>
      </c>
      <c r="AS180" s="15">
        <v>0</v>
      </c>
      <c r="AT180" s="15">
        <v>153.84386897826727</v>
      </c>
      <c r="AU180" s="15">
        <v>452.05647212249261</v>
      </c>
      <c r="AV180" s="15">
        <v>81.594999999999999</v>
      </c>
      <c r="AW180" s="15">
        <v>81.594999999999999</v>
      </c>
      <c r="AX180" s="15">
        <v>0</v>
      </c>
      <c r="AY180" s="15">
        <v>0</v>
      </c>
      <c r="AZ180" s="15">
        <v>254.75048403174196</v>
      </c>
      <c r="BA180" s="15">
        <v>82.718698010625431</v>
      </c>
      <c r="BB180" s="15">
        <v>71.679910842131889</v>
      </c>
      <c r="BC180" s="15">
        <v>100.35187517898463</v>
      </c>
      <c r="BD180" s="15">
        <v>0</v>
      </c>
      <c r="BE180" s="15">
        <v>115.71098809075062</v>
      </c>
      <c r="BF180" s="15">
        <v>40.044861443673931</v>
      </c>
      <c r="BG180" s="15">
        <v>1.5831329762799127</v>
      </c>
      <c r="BH180" s="15">
        <v>74.082993670796768</v>
      </c>
      <c r="BI180" s="15">
        <v>0</v>
      </c>
      <c r="BJ180" s="15">
        <v>636.39990022724646</v>
      </c>
      <c r="BK180" s="55">
        <v>946.64142169764307</v>
      </c>
      <c r="BL180" s="55">
        <v>0.16381861992422495</v>
      </c>
      <c r="BM180" s="55">
        <v>0.23911255026716563</v>
      </c>
    </row>
    <row r="181" spans="1:65" s="54" customFormat="1" x14ac:dyDescent="0.35">
      <c r="A181" s="55" t="s">
        <v>10787</v>
      </c>
      <c r="B181" s="55" t="s">
        <v>10566</v>
      </c>
      <c r="C181" s="55" t="s">
        <v>10914</v>
      </c>
      <c r="D181" s="55" t="s">
        <v>10323</v>
      </c>
      <c r="E181" s="55" t="s">
        <v>10948</v>
      </c>
      <c r="F181" s="55">
        <v>169970</v>
      </c>
      <c r="G181" s="55">
        <v>0.89712437569563031</v>
      </c>
      <c r="H181" s="55">
        <v>200</v>
      </c>
      <c r="I181" s="55">
        <v>390.38129724621695</v>
      </c>
      <c r="J181" s="94">
        <v>0.27259459253922663</v>
      </c>
      <c r="K181" s="55">
        <v>30</v>
      </c>
      <c r="L181" s="55">
        <v>86.77482250264562</v>
      </c>
      <c r="M181" s="55">
        <v>18.683938263953451</v>
      </c>
      <c r="N181" s="55">
        <v>59.62154787310557</v>
      </c>
      <c r="O181" s="55">
        <v>8.3780199071287935</v>
      </c>
      <c r="P181" s="55">
        <v>24.061766182888579</v>
      </c>
      <c r="Q181" s="55">
        <v>27.181761783088191</v>
      </c>
      <c r="R181" s="55">
        <v>4.7548184428801701</v>
      </c>
      <c r="S181" s="55">
        <v>11.721894419591919</v>
      </c>
      <c r="T181" s="55">
        <v>10.705048920616104</v>
      </c>
      <c r="U181" s="55">
        <v>0</v>
      </c>
      <c r="V181" s="55">
        <v>0</v>
      </c>
      <c r="W181" s="55">
        <v>0</v>
      </c>
      <c r="X181" s="55">
        <v>0</v>
      </c>
      <c r="Y181" s="55">
        <v>474.38301010963022</v>
      </c>
      <c r="Z181" s="55">
        <v>0</v>
      </c>
      <c r="AA181" s="55">
        <v>0</v>
      </c>
      <c r="AB181" s="55">
        <v>0</v>
      </c>
      <c r="AC181" s="55">
        <v>474.38301010963022</v>
      </c>
      <c r="AD181" s="55">
        <v>84.001712863413275</v>
      </c>
      <c r="AE181" s="55">
        <v>-17.459055886586665</v>
      </c>
      <c r="AF181" s="55">
        <v>0</v>
      </c>
      <c r="AG181" s="55">
        <v>0</v>
      </c>
      <c r="AH181" s="55">
        <v>0</v>
      </c>
      <c r="AI181" s="55">
        <v>101.46076874999997</v>
      </c>
      <c r="AJ181" s="55">
        <v>0</v>
      </c>
      <c r="AK181" s="55">
        <v>0</v>
      </c>
      <c r="AL181" s="55">
        <v>0</v>
      </c>
      <c r="AM181" s="55">
        <v>0</v>
      </c>
      <c r="AN181" s="55">
        <v>0.17707571956255436</v>
      </c>
      <c r="AO181" s="55">
        <v>390.38129724621695</v>
      </c>
      <c r="AP181" s="55">
        <v>0</v>
      </c>
      <c r="AQ181" s="55">
        <v>0</v>
      </c>
      <c r="AR181" s="55">
        <v>0</v>
      </c>
      <c r="AS181" s="55">
        <v>0</v>
      </c>
      <c r="AT181" s="55">
        <v>0</v>
      </c>
      <c r="AU181" s="55">
        <v>296.79712790398418</v>
      </c>
      <c r="AV181" s="55">
        <v>59.642499999999998</v>
      </c>
      <c r="AW181" s="55">
        <v>59.642499999999998</v>
      </c>
      <c r="AX181" s="55">
        <v>0</v>
      </c>
      <c r="AY181" s="55">
        <v>0</v>
      </c>
      <c r="AZ181" s="55">
        <v>165.59477219009796</v>
      </c>
      <c r="BA181" s="55">
        <v>76.930878417473082</v>
      </c>
      <c r="BB181" s="55">
        <v>36.943289071927026</v>
      </c>
      <c r="BC181" s="55">
        <v>51.720604700697834</v>
      </c>
      <c r="BD181" s="55">
        <v>0</v>
      </c>
      <c r="BE181" s="55">
        <v>71.559855713886236</v>
      </c>
      <c r="BF181" s="55">
        <v>24.592103299810844</v>
      </c>
      <c r="BG181" s="55">
        <v>1.4723613094253223</v>
      </c>
      <c r="BH181" s="55">
        <v>45.495391104650061</v>
      </c>
      <c r="BI181" s="55">
        <v>0</v>
      </c>
      <c r="BJ181" s="55">
        <v>296.79712790398418</v>
      </c>
      <c r="BK181" s="53">
        <v>380.79884076739745</v>
      </c>
      <c r="BL181" s="53">
        <v>0.22432470891648176</v>
      </c>
      <c r="BM181" s="53">
        <v>0.27259459253922663</v>
      </c>
    </row>
    <row r="182" spans="1:65" s="52" customFormat="1" x14ac:dyDescent="0.35">
      <c r="A182" s="51" t="s">
        <v>10787</v>
      </c>
      <c r="B182" s="51" t="s">
        <v>10916</v>
      </c>
      <c r="C182" s="51" t="s">
        <v>9780</v>
      </c>
      <c r="D182" s="51" t="s">
        <v>9780</v>
      </c>
      <c r="E182" s="51" t="s">
        <v>10569</v>
      </c>
      <c r="F182" s="51">
        <f>F173</f>
        <v>19348</v>
      </c>
      <c r="G182" s="51">
        <f>G173</f>
        <v>0.89711895463337699</v>
      </c>
      <c r="H182" s="51">
        <f>(H173*N173+H181*N181)/(N173+N181)</f>
        <v>200</v>
      </c>
      <c r="I182" s="51">
        <f>(I173*N173+I181*N181)/(N173+N181)</f>
        <v>633.45225678333759</v>
      </c>
      <c r="J182" s="95">
        <f>(J173*N173+J181*N181)/(N173+N181)</f>
        <v>0.19801874507611769</v>
      </c>
      <c r="K182" s="51">
        <f>K173</f>
        <v>30</v>
      </c>
      <c r="L182" s="51">
        <f t="shared" ref="L182:W182" si="11">L173+L181</f>
        <v>140.65549065414226</v>
      </c>
      <c r="M182" s="51">
        <f t="shared" si="11"/>
        <v>32.338831446018368</v>
      </c>
      <c r="N182" s="51">
        <f t="shared" si="11"/>
        <v>66.408338116291915</v>
      </c>
      <c r="O182" s="51">
        <f t="shared" si="11"/>
        <v>9.3316996721013385</v>
      </c>
      <c r="P182" s="51">
        <f t="shared" si="11"/>
        <v>26.800745055282505</v>
      </c>
      <c r="Q182" s="51">
        <f t="shared" si="11"/>
        <v>30.275893388908059</v>
      </c>
      <c r="R182" s="51">
        <f t="shared" si="11"/>
        <v>5.2960649647742803</v>
      </c>
      <c r="S182" s="51">
        <f t="shared" si="11"/>
        <v>13.056211315353568</v>
      </c>
      <c r="T182" s="51">
        <f t="shared" si="11"/>
        <v>11.923617108780212</v>
      </c>
      <c r="U182" s="51">
        <f t="shared" si="11"/>
        <v>0</v>
      </c>
      <c r="V182" s="51">
        <f t="shared" si="11"/>
        <v>0</v>
      </c>
      <c r="W182" s="51">
        <f t="shared" si="11"/>
        <v>0</v>
      </c>
      <c r="X182" s="51">
        <f>(X173*N173+X181*N181)/(N173+N181)</f>
        <v>0</v>
      </c>
      <c r="Y182" s="51">
        <f>(Y173*N173+Y181*N181)/(N173+N181)</f>
        <v>717.45396964675092</v>
      </c>
      <c r="Z182" s="51">
        <f>(Z173*N173+Z181*N181)/(N173+N181)</f>
        <v>0</v>
      </c>
      <c r="AA182" s="51">
        <f>(AA173*N173+AA181*N181)/(N173+N181)</f>
        <v>0</v>
      </c>
      <c r="AB182" s="51">
        <f>(AB173*N173+AB181*N181)/(N173+N181)</f>
        <v>0</v>
      </c>
      <c r="AC182" s="51">
        <f>(AC173*N173+AC181*N181)/(N173+N181)</f>
        <v>717.45396964675092</v>
      </c>
      <c r="AD182" s="51">
        <f>(AD173*N173+AD181*N181)/(N173+N181)</f>
        <v>84.001712863413289</v>
      </c>
      <c r="AE182" s="51">
        <f>(AE173*N173+AE181*N181)/(N173+N181)</f>
        <v>-17.459055886586661</v>
      </c>
      <c r="AF182" s="51">
        <f>(AF173*N173+AF181*N181)/(N173+N181)</f>
        <v>0</v>
      </c>
      <c r="AG182" s="51">
        <f>(AG173*N173+AG181*N181)/(N173+N181)</f>
        <v>0</v>
      </c>
      <c r="AH182" s="51">
        <f>(AH173*N173+AH181*N181)/(N173+N181)</f>
        <v>0</v>
      </c>
      <c r="AI182" s="51">
        <f>(AI173*N173+AI181*N181)/(N173+N181)</f>
        <v>101.46076874999996</v>
      </c>
      <c r="AJ182" s="51">
        <f>(AJ173*N173+AJ181*N181)/(N173+N181)</f>
        <v>0</v>
      </c>
      <c r="AK182" s="51">
        <f>(AK173*N173+AK181*N181)/(N173+N181)</f>
        <v>0</v>
      </c>
      <c r="AL182" s="51">
        <f>(AL173*N173+AL181*N181)/(N173+N181)</f>
        <v>0</v>
      </c>
      <c r="AM182" s="51">
        <f>(AM173*N173+AM181*N181)/(N173+N181)</f>
        <v>0</v>
      </c>
      <c r="AN182" s="51">
        <f>(AN173*N173+AN181*N181)/(N173+N181)</f>
        <v>0.16198819308814111</v>
      </c>
      <c r="AO182" s="51">
        <f>(AO173*N173+AO181*N181)/(N173+N181)</f>
        <v>633.45225678333759</v>
      </c>
      <c r="AP182" s="51">
        <f>(AP173*N173+AP181*N181)/(N173+N181)</f>
        <v>0</v>
      </c>
      <c r="AQ182" s="51">
        <f>(AQ173*N173+AQ181*N181)/(N173+N181)</f>
        <v>0</v>
      </c>
      <c r="AR182" s="51">
        <f>(AR173*N173+AR181*N181)/(N173+N181)</f>
        <v>0</v>
      </c>
      <c r="AS182" s="51">
        <f>(AS173*N173+AS181*N181)/(N173+N181)</f>
        <v>0</v>
      </c>
      <c r="AT182" s="51">
        <f>(AT173*N173+AT181*N181)/(N173+N181)</f>
        <v>0</v>
      </c>
      <c r="AU182" s="51">
        <f>(AU173*N173+AU181*N181)/(N173+N181)</f>
        <v>399.64110559946261</v>
      </c>
      <c r="AV182" s="51">
        <f>(AV173*N173+AV181*N181)/(N173+N181)</f>
        <v>59.642499999999991</v>
      </c>
      <c r="AW182" s="51">
        <f>(AW173*N173+AW181*N181)/(N173+N181)</f>
        <v>59.642499999999991</v>
      </c>
      <c r="AX182" s="51">
        <f>(AX173*N173+AX181*N181)/(N173+N181)</f>
        <v>0</v>
      </c>
      <c r="AY182" s="51">
        <f>(AY173*N173+AY181*N181)/(N173+N181)</f>
        <v>0</v>
      </c>
      <c r="AZ182" s="51">
        <f>(AZ173*N173+AZ181*N181)/(N173+N181)</f>
        <v>233.80113815153666</v>
      </c>
      <c r="BA182" s="51">
        <f>(BA173*N173+BA181*N181)/(N173+N181)</f>
        <v>76.930878417473082</v>
      </c>
      <c r="BB182" s="51">
        <f>(BB173*N173+BB181*N181)/(N173+N181)</f>
        <v>65.362608222526518</v>
      </c>
      <c r="BC182" s="51">
        <f>(BC173*N173+BC181*N181)/(N173+N181)</f>
        <v>91.507651511537105</v>
      </c>
      <c r="BD182" s="51">
        <f>(BD173*N173+BD181*N181)/(N173+N181)</f>
        <v>0</v>
      </c>
      <c r="BE182" s="51">
        <f>(BE173*N173+BE181*N181)/(N173+N181)</f>
        <v>106.19746744792593</v>
      </c>
      <c r="BF182" s="51">
        <f>(BF173*N173+BF181*N181)/(N173+N181)</f>
        <v>36.745651276666877</v>
      </c>
      <c r="BG182" s="51">
        <f>(BG173*N173+BG181*N181)/(N173+N181)</f>
        <v>1.4723613094253221</v>
      </c>
      <c r="BH182" s="51">
        <f>(BH173*N173+BH181*N181)/(N173+N181)</f>
        <v>67.979454861833716</v>
      </c>
      <c r="BI182" s="51">
        <f>(BI173*N173+BI181*N181)/(N173+N181)</f>
        <v>0</v>
      </c>
      <c r="BJ182" s="51">
        <f>(BJ173*N173+BJ181*N181)/(N173+N181)</f>
        <v>399.64110559946261</v>
      </c>
      <c r="BK182" s="51">
        <f>(BK173*N173+BK181*N181)/(N173+N181)</f>
        <v>483.64281846287588</v>
      </c>
      <c r="BL182" s="51">
        <f>(BL173*N173+BL181*N181)/(N173+N181)</f>
        <v>0.15605753824445037</v>
      </c>
      <c r="BM182" s="51">
        <f>(BM173*N173+BM181*N181)/(N173+N181)</f>
        <v>0.19801874507611769</v>
      </c>
    </row>
    <row r="189" spans="1:65" s="56" customFormat="1" x14ac:dyDescent="0.35">
      <c r="A189" s="15"/>
      <c r="B189" s="15"/>
      <c r="C189" s="15"/>
      <c r="D189" s="15"/>
      <c r="E189" s="15"/>
      <c r="F189" s="15"/>
      <c r="G189" s="15"/>
      <c r="H189" s="15"/>
      <c r="I189" s="15"/>
      <c r="J189" s="23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55"/>
      <c r="BL189" s="55"/>
      <c r="BM189" s="55"/>
    </row>
    <row r="197" spans="1:65" s="56" customFormat="1" x14ac:dyDescent="0.35">
      <c r="A197" s="15"/>
      <c r="B197" s="15"/>
      <c r="C197" s="15"/>
      <c r="D197" s="15"/>
      <c r="E197" s="15"/>
      <c r="F197" s="15"/>
      <c r="G197" s="15"/>
      <c r="H197" s="15"/>
      <c r="I197" s="15"/>
      <c r="J197" s="23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55"/>
      <c r="BL197" s="55"/>
      <c r="BM197" s="55"/>
    </row>
    <row r="205" spans="1:65" s="56" customFormat="1" x14ac:dyDescent="0.35">
      <c r="A205" s="15"/>
      <c r="B205" s="15"/>
      <c r="C205" s="15"/>
      <c r="D205" s="15"/>
      <c r="E205" s="15"/>
      <c r="F205" s="15"/>
      <c r="G205" s="15"/>
      <c r="H205" s="15"/>
      <c r="I205" s="15"/>
      <c r="J205" s="23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55"/>
      <c r="BL205" s="55"/>
      <c r="BM205" s="55"/>
    </row>
    <row r="206" spans="1:65" s="52" customFormat="1" x14ac:dyDescent="0.35">
      <c r="A206" s="15"/>
      <c r="B206" s="15"/>
      <c r="C206" s="15"/>
      <c r="D206" s="15"/>
      <c r="E206" s="15"/>
      <c r="F206" s="15"/>
      <c r="G206" s="15"/>
      <c r="H206" s="15"/>
      <c r="I206" s="15"/>
      <c r="J206" s="23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51"/>
      <c r="BL206" s="51"/>
      <c r="BM206" s="5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300</v>
      </c>
      <c r="C4" s="25">
        <f>'Banco de Dados'!$I$31/100</f>
        <v>0.35</v>
      </c>
      <c r="D4" s="29">
        <f>IFERROR(VLOOKUP($A4,'Arranjos Consolidados'!$E$3:$BM$303,D$2,FALSE),"")</f>
        <v>189318</v>
      </c>
      <c r="E4" s="33">
        <f>IFERROR(VLOOKUP($A4,'Arranjos Consolidados'!$E$3:$BM$303,E$2,FALSE),"")</f>
        <v>0.89712382167164706</v>
      </c>
      <c r="F4" s="29">
        <f>IFERROR(VLOOKUP($A4,'Arranjos Consolidados'!$E$3:$BM$303,F$2,FALSE),"")</f>
        <v>200</v>
      </c>
      <c r="G4" s="31">
        <f>IFERROR(VLOOKUP($A4,'Arranjos Consolidados'!$E$3:$BM$303,G$2,FALSE),"")</f>
        <v>402.48281677236207</v>
      </c>
      <c r="H4" s="34">
        <f>IFERROR(VLOOKUP($A4,'Arranjos Consolidados'!$E$3:$BM$303,H$2,FALSE),"")</f>
        <v>0.32547033063182851</v>
      </c>
      <c r="I4" s="29">
        <f>IFERROR(VLOOKUP($A4,'Arranjos Consolidados'!$E$3:$BM$303,I$2,FALSE),"")</f>
        <v>30</v>
      </c>
      <c r="J4" s="31">
        <f>IFERROR(VLOOKUP($A4,'Arranjos Consolidados'!$E$3:$BM$303,J$2,FALSE),"")</f>
        <v>129.970575682646</v>
      </c>
      <c r="K4" s="31">
        <f>IFERROR(VLOOKUP($A4,'Arranjos Consolidados'!$E$3:$BM$303,K$2,FALSE),"")</f>
        <v>21.511738204032913</v>
      </c>
      <c r="L4" s="31">
        <f>IFERROR(VLOOKUP($A4,'Arranjos Consolidados'!$E$3:$BM$303,L$2,FALSE),"")</f>
        <v>66.408338116291901</v>
      </c>
      <c r="M4" s="31">
        <f>IFERROR(VLOOKUP($A4,'Arranjos Consolidados'!$E$3:$BM$303,M$2,FALSE),"")</f>
        <v>9.3316996721013332</v>
      </c>
      <c r="N4" s="31">
        <f>IFERROR(VLOOKUP($A4,'Arranjos Consolidados'!$E$3:$BM$303,N$2,FALSE),"")</f>
        <v>26.800745055282508</v>
      </c>
      <c r="O4" s="31">
        <f>IFERROR(VLOOKUP($A4,'Arranjos Consolidados'!$E$3:$BM$303,O$2,FALSE),"")</f>
        <v>30.275893388908067</v>
      </c>
      <c r="P4" s="31">
        <f>IFERROR(VLOOKUP($A4,'Arranjos Consolidados'!$E$3:$BM$303,P$2,FALSE),"")</f>
        <v>5.2960649647742803</v>
      </c>
      <c r="Q4" s="31">
        <f>IFERROR(VLOOKUP($A4,'Arranjos Consolidados'!$E$3:$BM$303,Q$2,FALSE),"")</f>
        <v>13.056211315353574</v>
      </c>
      <c r="R4" s="31">
        <f>IFERROR(VLOOKUP($A4,'Arranjos Consolidados'!$E$3:$BM$303,R$2,FALSE),"")</f>
        <v>11.92361710878021</v>
      </c>
      <c r="S4" s="31">
        <f>IFERROR(VLOOKUP($A4,'Arranjos Consolidados'!$E$3:$BM$303,S$2,FALSE),"")</f>
        <v>0</v>
      </c>
      <c r="T4" s="31">
        <f>IFERROR(VLOOKUP($A4,'Arranjos Consolidados'!$E$3:$BM$303,T$2,FALSE),"")</f>
        <v>0</v>
      </c>
      <c r="U4" s="31">
        <f>IFERROR(VLOOKUP($A4,'Arranjos Consolidados'!$E$3:$BM$303,U$2,FALSE),"")</f>
        <v>0</v>
      </c>
      <c r="V4" s="31">
        <f>IFERROR(VLOOKUP($A4,'Arranjos Consolidados'!$E$3:$BM$303,V$2,FALSE),"")</f>
        <v>0</v>
      </c>
      <c r="W4" s="31">
        <f>IFERROR(VLOOKUP($A4,'Arranjos Consolidados'!$E$3:$BM$303,W$2,FALSE),"")</f>
        <v>486.48452963577546</v>
      </c>
      <c r="X4" s="29">
        <f>IFERROR(VLOOKUP($A4,'Arranjos Consolidados'!$E$3:$BM$303,X$2,FALSE),"")</f>
        <v>0</v>
      </c>
      <c r="Y4" s="31">
        <f>IFERROR(VLOOKUP($A4,'Arranjos Consolidados'!$E$3:$BM$303,Y$2,FALSE),"")</f>
        <v>0</v>
      </c>
      <c r="Z4" s="29">
        <f>IFERROR(VLOOKUP($A4,'Arranjos Consolidados'!$E$3:$BM$303,Z$2,FALSE),"")</f>
        <v>0</v>
      </c>
      <c r="AA4" s="31">
        <f>IFERROR(VLOOKUP($A4,'Arranjos Consolidados'!$E$3:$BM$303,AA$2,FALSE),"")</f>
        <v>486.48452963577546</v>
      </c>
      <c r="AB4" s="31">
        <f>IFERROR(VLOOKUP($A4,'Arranjos Consolidados'!$E$3:$BM$303,AB$2,FALSE),"")</f>
        <v>84.001712863413388</v>
      </c>
      <c r="AC4" s="31">
        <f>IFERROR(VLOOKUP($A4,'Arranjos Consolidados'!$E$3:$BM$303,AC$2,FALSE),"")</f>
        <v>-17.459055886586672</v>
      </c>
      <c r="AD4" s="31">
        <f>IFERROR(VLOOKUP($A4,'Arranjos Consolidados'!$E$3:$BM$303,AD$2,FALSE),"")</f>
        <v>0</v>
      </c>
      <c r="AE4" s="31">
        <f>IFERROR(VLOOKUP($A4,'Arranjos Consolidados'!$E$3:$BM$303,AE$2,FALSE),"")</f>
        <v>0</v>
      </c>
      <c r="AF4" s="31">
        <f>IFERROR(VLOOKUP($A4,'Arranjos Consolidados'!$E$3:$BM$303,AF$2,FALSE),"")</f>
        <v>0</v>
      </c>
      <c r="AG4" s="31">
        <f>IFERROR(VLOOKUP($A4,'Arranjos Consolidados'!$E$3:$BM$303,AG$2,FALSE),"")</f>
        <v>101.46076875000003</v>
      </c>
      <c r="AH4" s="31">
        <f>IFERROR(VLOOKUP($A4,'Arranjos Consolidados'!$E$3:$BM$303,AH$2,FALSE),"")</f>
        <v>0</v>
      </c>
      <c r="AI4" s="31">
        <f>IFERROR(VLOOKUP($A4,'Arranjos Consolidados'!$E$3:$BM$303,AI$2,FALSE),"")</f>
        <v>0</v>
      </c>
      <c r="AJ4" s="31">
        <f>IFERROR(VLOOKUP($A4,'Arranjos Consolidados'!$E$3:$BM$303,AJ$2,FALSE),"")</f>
        <v>0</v>
      </c>
      <c r="AK4" s="31">
        <f>IFERROR(VLOOKUP($A4,'Arranjos Consolidados'!$E$3:$BM$303,AK$2,FALSE),"")</f>
        <v>0</v>
      </c>
      <c r="AL4" s="34">
        <f>IFERROR(VLOOKUP($A4,'Arranjos Consolidados'!$E$3:$BM$303,AL$2,FALSE),"")</f>
        <v>0.17267088210657872</v>
      </c>
      <c r="AM4" s="31">
        <f>IFERROR(VLOOKUP($A4,'Arranjos Consolidados'!$E$3:$BM$303,AM$2,FALSE),"")</f>
        <v>402.48281677236207</v>
      </c>
      <c r="AN4" s="31">
        <f>IFERROR(VLOOKUP($A4,'Arranjos Consolidados'!$E$3:$BM$303,AN$2,FALSE),"")</f>
        <v>0</v>
      </c>
      <c r="AO4" s="31">
        <f>IFERROR(VLOOKUP($A4,'Arranjos Consolidados'!$E$3:$BM$303,AO$2,FALSE),"")</f>
        <v>0</v>
      </c>
      <c r="AP4" s="31">
        <f>IFERROR(VLOOKUP($A4,'Arranjos Consolidados'!$E$3:$BM$303,AP$2,FALSE),"")</f>
        <v>0</v>
      </c>
      <c r="AQ4" s="31">
        <f>IFERROR(VLOOKUP($A4,'Arranjos Consolidados'!$E$3:$BM$303,AQ$2,FALSE),"")</f>
        <v>0</v>
      </c>
      <c r="AR4" s="31">
        <f>IFERROR(VLOOKUP($A4,'Arranjos Consolidados'!$E$3:$BM$303,AR$2,FALSE),"")</f>
        <v>0</v>
      </c>
      <c r="AS4" s="31">
        <f>IFERROR(VLOOKUP($A4,'Arranjos Consolidados'!$E$3:$BM$303,AS$2,FALSE),"")</f>
        <v>333.47903222089241</v>
      </c>
      <c r="AT4" s="31">
        <f>IFERROR(VLOOKUP($A4,'Arranjos Consolidados'!$E$3:$BM$303,AT$2,FALSE),"")</f>
        <v>81.676115450503545</v>
      </c>
      <c r="AU4" s="31">
        <f>IFERROR(VLOOKUP($A4,'Arranjos Consolidados'!$E$3:$BM$303,AU$2,FALSE),"")</f>
        <v>81.676115450503545</v>
      </c>
      <c r="AV4" s="31">
        <f>IFERROR(VLOOKUP($A4,'Arranjos Consolidados'!$E$3:$BM$303,AV$2,FALSE),"")</f>
        <v>0</v>
      </c>
      <c r="AW4" s="31">
        <f>IFERROR(VLOOKUP($A4,'Arranjos Consolidados'!$E$3:$BM$303,AW$2,FALSE),"")</f>
        <v>0</v>
      </c>
      <c r="AX4" s="31">
        <f>IFERROR(VLOOKUP($A4,'Arranjos Consolidados'!$E$3:$BM$303,AX$2,FALSE),"")</f>
        <v>173.95879336029816</v>
      </c>
      <c r="AY4" s="31">
        <f>IFERROR(VLOOKUP($A4,'Arranjos Consolidados'!$E$3:$BM$303,AY$2,FALSE),"")</f>
        <v>76.930878417473096</v>
      </c>
      <c r="AZ4" s="31">
        <f>IFERROR(VLOOKUP($A4,'Arranjos Consolidados'!$E$3:$BM$303,AZ$2,FALSE),"")</f>
        <v>40.42829789284378</v>
      </c>
      <c r="BA4" s="31">
        <f>IFERROR(VLOOKUP($A4,'Arranjos Consolidados'!$E$3:$BM$303,BA$2,FALSE),"")</f>
        <v>56.599617049981291</v>
      </c>
      <c r="BB4" s="31">
        <f>IFERROR(VLOOKUP($A4,'Arranjos Consolidados'!$E$3:$BM$303,BB$2,FALSE),"")</f>
        <v>0</v>
      </c>
      <c r="BC4" s="31">
        <f>IFERROR(VLOOKUP($A4,'Arranjos Consolidados'!$E$3:$BM$303,BC$2,FALSE),"")</f>
        <v>77.844123410090688</v>
      </c>
      <c r="BD4" s="31">
        <f>IFERROR(VLOOKUP($A4,'Arranjos Consolidados'!$E$3:$BM$303,BD$2,FALSE),"")</f>
        <v>26.797109509005391</v>
      </c>
      <c r="BE4" s="31">
        <f>IFERROR(VLOOKUP($A4,'Arranjos Consolidados'!$E$3:$BM$303,BE$2,FALSE),"")</f>
        <v>1.4723613094253225</v>
      </c>
      <c r="BF4" s="31">
        <f>IFERROR(VLOOKUP($A4,'Arranjos Consolidados'!$E$3:$BM$303,BF$2,FALSE),"")</f>
        <v>49.574652591659969</v>
      </c>
      <c r="BG4" s="31">
        <f>IFERROR(VLOOKUP($A4,'Arranjos Consolidados'!$E$3:$BM$303,BG$2,FALSE),"")</f>
        <v>0</v>
      </c>
      <c r="BH4" s="31">
        <f>IFERROR(VLOOKUP($A4,'Arranjos Consolidados'!$E$3:$BM$303,BH$2,FALSE),"")</f>
        <v>333.47903222089241</v>
      </c>
      <c r="BI4" s="31">
        <f>IFERROR(VLOOKUP($A4,'Arranjos Consolidados'!$E$3:$BM$303,BI$2,FALSE),"")</f>
        <v>417.48074508430579</v>
      </c>
      <c r="BJ4" s="34">
        <f>IFERROR(VLOOKUP($A4,'Arranjos Consolidados'!$E$3:$BM$303,BJ$2,FALSE),"")</f>
        <v>0.26927108154211082</v>
      </c>
      <c r="BK4" s="34">
        <f>IFERROR(VLOOKUP($A4,'Arranjos Consolidados'!$E$3:$BM$303,BK$2,FALSE),"")</f>
        <v>0.32547033063182851</v>
      </c>
    </row>
    <row r="5" spans="1:63" ht="16.5" x14ac:dyDescent="0.25">
      <c r="A5" s="24" t="s">
        <v>10013</v>
      </c>
      <c r="B5" s="32">
        <f>'Banco de Dados'!$I$29</f>
        <v>300</v>
      </c>
      <c r="C5" s="25">
        <f>'Banco de Dados'!$I$31/100</f>
        <v>0.35</v>
      </c>
      <c r="D5" s="29">
        <f>IFERROR(VLOOKUP($A5,'Arranjos Consolidados'!$E$3:$BM$303,D$2,FALSE),"")</f>
        <v>187889</v>
      </c>
      <c r="E5" s="33">
        <f>IFERROR(VLOOKUP($A5,'Arranjos Consolidados'!$E$3:$BM$303,E$2,FALSE),"")</f>
        <v>0.89712274742220655</v>
      </c>
      <c r="F5" s="29">
        <f>IFERROR(VLOOKUP($A5,'Arranjos Consolidados'!$E$3:$BM$303,F$2,FALSE),"")</f>
        <v>199.99999999999997</v>
      </c>
      <c r="G5" s="31">
        <f>IFERROR(VLOOKUP($A5,'Arranjos Consolidados'!$E$3:$BM$303,G$2,FALSE),"")</f>
        <v>525.65013622987817</v>
      </c>
      <c r="H5" s="34">
        <f>IFERROR(VLOOKUP($A5,'Arranjos Consolidados'!$E$3:$BM$303,H$2,FALSE),"")</f>
        <v>0.31310410611242551</v>
      </c>
      <c r="I5" s="29">
        <f>IFERROR(VLOOKUP($A5,'Arranjos Consolidados'!$E$3:$BM$303,I$2,FALSE),"")</f>
        <v>30</v>
      </c>
      <c r="J5" s="31">
        <f>IFERROR(VLOOKUP($A5,'Arranjos Consolidados'!$E$3:$BM$303,J$2,FALSE),"")</f>
        <v>167.04428385488742</v>
      </c>
      <c r="K5" s="31">
        <f>IFERROR(VLOOKUP($A5,'Arranjos Consolidados'!$E$3:$BM$303,K$2,FALSE),"")</f>
        <v>29.410981806723399</v>
      </c>
      <c r="L5" s="31">
        <f>IFERROR(VLOOKUP($A5,'Arranjos Consolidados'!$E$3:$BM$303,L$2,FALSE),"")</f>
        <v>66.408338116291887</v>
      </c>
      <c r="M5" s="31">
        <f>IFERROR(VLOOKUP($A5,'Arranjos Consolidados'!$E$3:$BM$303,M$2,FALSE),"")</f>
        <v>9.3546983381860684</v>
      </c>
      <c r="N5" s="31">
        <f>IFERROR(VLOOKUP($A5,'Arranjos Consolidados'!$E$3:$BM$303,N$2,FALSE),"")</f>
        <v>26.792531245966526</v>
      </c>
      <c r="O5" s="31">
        <f>IFERROR(VLOOKUP($A5,'Arranjos Consolidados'!$E$3:$BM$303,O$2,FALSE),"")</f>
        <v>30.261108532139296</v>
      </c>
      <c r="P5" s="31">
        <f>IFERROR(VLOOKUP($A5,'Arranjos Consolidados'!$E$3:$BM$303,P$2,FALSE),"")</f>
        <v>5.2960649647742786</v>
      </c>
      <c r="Q5" s="31">
        <f>IFERROR(VLOOKUP($A5,'Arranjos Consolidados'!$E$3:$BM$303,Q$2,FALSE),"")</f>
        <v>13.041426458584809</v>
      </c>
      <c r="R5" s="31">
        <f>IFERROR(VLOOKUP($A5,'Arranjos Consolidados'!$E$3:$BM$303,R$2,FALSE),"")</f>
        <v>11.923617108780212</v>
      </c>
      <c r="S5" s="31">
        <f>IFERROR(VLOOKUP($A5,'Arranjos Consolidados'!$E$3:$BM$303,S$2,FALSE),"")</f>
        <v>0</v>
      </c>
      <c r="T5" s="31">
        <f>IFERROR(VLOOKUP($A5,'Arranjos Consolidados'!$E$3:$BM$303,T$2,FALSE),"")</f>
        <v>60.880376139230698</v>
      </c>
      <c r="U5" s="31">
        <f>IFERROR(VLOOKUP($A5,'Arranjos Consolidados'!$E$3:$BM$303,U$2,FALSE),"")</f>
        <v>0</v>
      </c>
      <c r="V5" s="31">
        <f>IFERROR(VLOOKUP($A5,'Arranjos Consolidados'!$E$3:$BM$303,V$2,FALSE),"")</f>
        <v>0</v>
      </c>
      <c r="W5" s="31">
        <f>IFERROR(VLOOKUP($A5,'Arranjos Consolidados'!$E$3:$BM$303,W$2,FALSE),"")</f>
        <v>610.09192374025884</v>
      </c>
      <c r="X5" s="29">
        <f>IFERROR(VLOOKUP($A5,'Arranjos Consolidados'!$E$3:$BM$303,X$2,FALSE),"")</f>
        <v>0</v>
      </c>
      <c r="Y5" s="31">
        <f>IFERROR(VLOOKUP($A5,'Arranjos Consolidados'!$E$3:$BM$303,Y$2,FALSE),"")</f>
        <v>0</v>
      </c>
      <c r="Z5" s="29">
        <f>IFERROR(VLOOKUP($A5,'Arranjos Consolidados'!$E$3:$BM$303,Z$2,FALSE),"")</f>
        <v>0</v>
      </c>
      <c r="AA5" s="31">
        <f>IFERROR(VLOOKUP($A5,'Arranjos Consolidados'!$E$3:$BM$303,AA$2,FALSE),"")</f>
        <v>610.09192374025884</v>
      </c>
      <c r="AB5" s="31">
        <f>IFERROR(VLOOKUP($A5,'Arranjos Consolidados'!$E$3:$BM$303,AB$2,FALSE),"")</f>
        <v>84.441787510380649</v>
      </c>
      <c r="AC5" s="31">
        <f>IFERROR(VLOOKUP($A5,'Arranjos Consolidados'!$E$3:$BM$303,AC$2,FALSE),"")</f>
        <v>-17.327251626598247</v>
      </c>
      <c r="AD5" s="31">
        <f>IFERROR(VLOOKUP($A5,'Arranjos Consolidados'!$E$3:$BM$303,AD$2,FALSE),"")</f>
        <v>0</v>
      </c>
      <c r="AE5" s="31">
        <f>IFERROR(VLOOKUP($A5,'Arranjos Consolidados'!$E$3:$BM$303,AE$2,FALSE),"")</f>
        <v>0</v>
      </c>
      <c r="AF5" s="31">
        <f>IFERROR(VLOOKUP($A5,'Arranjos Consolidados'!$E$3:$BM$303,AF$2,FALSE),"")</f>
        <v>0.30827038697890718</v>
      </c>
      <c r="AG5" s="31">
        <f>IFERROR(VLOOKUP($A5,'Arranjos Consolidados'!$E$3:$BM$303,AG$2,FALSE),"")</f>
        <v>101.46076874999999</v>
      </c>
      <c r="AH5" s="31">
        <f>IFERROR(VLOOKUP($A5,'Arranjos Consolidados'!$E$3:$BM$303,AH$2,FALSE),"")</f>
        <v>0</v>
      </c>
      <c r="AI5" s="31">
        <f>IFERROR(VLOOKUP($A5,'Arranjos Consolidados'!$E$3:$BM$303,AI$2,FALSE),"")</f>
        <v>0</v>
      </c>
      <c r="AJ5" s="31">
        <f>IFERROR(VLOOKUP($A5,'Arranjos Consolidados'!$E$3:$BM$303,AJ$2,FALSE),"")</f>
        <v>0</v>
      </c>
      <c r="AK5" s="31">
        <f>IFERROR(VLOOKUP($A5,'Arranjos Consolidados'!$E$3:$BM$303,AK$2,FALSE),"")</f>
        <v>0</v>
      </c>
      <c r="AL5" s="34">
        <f>IFERROR(VLOOKUP($A5,'Arranjos Consolidados'!$E$3:$BM$303,AL$2,FALSE),"")</f>
        <v>0.17060258953630289</v>
      </c>
      <c r="AM5" s="31">
        <f>IFERROR(VLOOKUP($A5,'Arranjos Consolidados'!$E$3:$BM$303,AM$2,FALSE),"")</f>
        <v>525.65013622987817</v>
      </c>
      <c r="AN5" s="31">
        <f>IFERROR(VLOOKUP($A5,'Arranjos Consolidados'!$E$3:$BM$303,AN$2,FALSE),"")</f>
        <v>0.30827038697890718</v>
      </c>
      <c r="AO5" s="31">
        <f>IFERROR(VLOOKUP($A5,'Arranjos Consolidados'!$E$3:$BM$303,AO$2,FALSE),"")</f>
        <v>0</v>
      </c>
      <c r="AP5" s="31">
        <f>IFERROR(VLOOKUP($A5,'Arranjos Consolidados'!$E$3:$BM$303,AP$2,FALSE),"")</f>
        <v>0</v>
      </c>
      <c r="AQ5" s="31">
        <f>IFERROR(VLOOKUP($A5,'Arranjos Consolidados'!$E$3:$BM$303,AQ$2,FALSE),"")</f>
        <v>0</v>
      </c>
      <c r="AR5" s="31">
        <f>IFERROR(VLOOKUP($A5,'Arranjos Consolidados'!$E$3:$BM$303,AR$2,FALSE),"")</f>
        <v>0.30827038697890718</v>
      </c>
      <c r="AS5" s="31">
        <f>IFERROR(VLOOKUP($A5,'Arranjos Consolidados'!$E$3:$BM$303,AS$2,FALSE),"")</f>
        <v>369.9346367618075</v>
      </c>
      <c r="AT5" s="31">
        <f>IFERROR(VLOOKUP($A5,'Arranjos Consolidados'!$E$3:$BM$303,AT$2,FALSE),"")</f>
        <v>82.270001783018003</v>
      </c>
      <c r="AU5" s="31">
        <f>IFERROR(VLOOKUP($A5,'Arranjos Consolidados'!$E$3:$BM$303,AU$2,FALSE),"")</f>
        <v>82.270001783018003</v>
      </c>
      <c r="AV5" s="31">
        <f>IFERROR(VLOOKUP($A5,'Arranjos Consolidados'!$E$3:$BM$303,AV$2,FALSE),"")</f>
        <v>0</v>
      </c>
      <c r="AW5" s="31">
        <f>IFERROR(VLOOKUP($A5,'Arranjos Consolidados'!$E$3:$BM$303,AW$2,FALSE),"")</f>
        <v>0</v>
      </c>
      <c r="AX5" s="31">
        <f>IFERROR(VLOOKUP($A5,'Arranjos Consolidados'!$E$3:$BM$303,AX$2,FALSE),"")</f>
        <v>184.88060858573215</v>
      </c>
      <c r="AY5" s="31">
        <f>IFERROR(VLOOKUP($A5,'Arranjos Consolidados'!$E$3:$BM$303,AY$2,FALSE),"")</f>
        <v>76.930878417473082</v>
      </c>
      <c r="AZ5" s="31">
        <f>IFERROR(VLOOKUP($A5,'Arranjos Consolidados'!$E$3:$BM$303,AZ$2,FALSE),"")</f>
        <v>44.979054236774616</v>
      </c>
      <c r="BA5" s="31">
        <f>IFERROR(VLOOKUP($A5,'Arranjos Consolidados'!$E$3:$BM$303,BA$2,FALSE),"")</f>
        <v>62.970675931484465</v>
      </c>
      <c r="BB5" s="31">
        <f>IFERROR(VLOOKUP($A5,'Arranjos Consolidados'!$E$3:$BM$303,BB$2,FALSE),"")</f>
        <v>0</v>
      </c>
      <c r="BC5" s="31">
        <f>IFERROR(VLOOKUP($A5,'Arranjos Consolidados'!$E$3:$BM$303,BC$2,FALSE),"")</f>
        <v>102.78402639305736</v>
      </c>
      <c r="BD5" s="31">
        <f>IFERROR(VLOOKUP($A5,'Arranjos Consolidados'!$E$3:$BM$303,BD$2,FALSE),"")</f>
        <v>35.547952660923521</v>
      </c>
      <c r="BE5" s="31">
        <f>IFERROR(VLOOKUP($A5,'Arranjos Consolidados'!$E$3:$BM$303,BE$2,FALSE),"")</f>
        <v>1.4723613094253218</v>
      </c>
      <c r="BF5" s="31">
        <f>IFERROR(VLOOKUP($A5,'Arranjos Consolidados'!$E$3:$BM$303,BF$2,FALSE),"")</f>
        <v>65.763712422708522</v>
      </c>
      <c r="BG5" s="31">
        <f>IFERROR(VLOOKUP($A5,'Arranjos Consolidados'!$E$3:$BM$303,BG$2,FALSE),"")</f>
        <v>0</v>
      </c>
      <c r="BH5" s="31">
        <f>IFERROR(VLOOKUP($A5,'Arranjos Consolidados'!$E$3:$BM$303,BH$2,FALSE),"")</f>
        <v>370.24290714878646</v>
      </c>
      <c r="BI5" s="31">
        <f>IFERROR(VLOOKUP($A5,'Arranjos Consolidados'!$E$3:$BM$303,BI$2,FALSE),"")</f>
        <v>454.68469465916706</v>
      </c>
      <c r="BJ5" s="34">
        <f>IFERROR(VLOOKUP($A5,'Arranjos Consolidados'!$E$3:$BM$303,BJ$2,FALSE),"")</f>
        <v>0.25846367376724144</v>
      </c>
      <c r="BK5" s="34">
        <f>IFERROR(VLOOKUP($A5,'Arranjos Consolidados'!$E$3:$BM$303,BK$2,FALSE),"")</f>
        <v>0.31310410611242551</v>
      </c>
    </row>
    <row r="6" spans="1:63" ht="16.5" x14ac:dyDescent="0.25">
      <c r="A6" s="24" t="s">
        <v>10018</v>
      </c>
      <c r="B6" s="32">
        <f>'Banco de Dados'!$I$29</f>
        <v>300</v>
      </c>
      <c r="C6" s="25">
        <f>'Banco de Dados'!$I$31/100</f>
        <v>0.35</v>
      </c>
      <c r="D6" s="29">
        <f>IFERROR(VLOOKUP($A6,'Arranjos Consolidados'!$E$3:$BM$303,D$2,FALSE),"")</f>
        <v>170314</v>
      </c>
      <c r="E6" s="33">
        <f>IFERROR(VLOOKUP($A6,'Arranjos Consolidados'!$E$3:$BM$303,E$2,FALSE),"")</f>
        <v>0.89712419976575097</v>
      </c>
      <c r="F6" s="29">
        <f>IFERROR(VLOOKUP($A6,'Arranjos Consolidados'!$E$3:$BM$303,F$2,FALSE),"")</f>
        <v>200</v>
      </c>
      <c r="G6" s="31">
        <f>IFERROR(VLOOKUP($A6,'Arranjos Consolidados'!$E$3:$BM$303,G$2,FALSE),"")</f>
        <v>705.96076600819777</v>
      </c>
      <c r="H6" s="34">
        <f>IFERROR(VLOOKUP($A6,'Arranjos Consolidados'!$E$3:$BM$303,H$2,FALSE),"")</f>
        <v>0.19188673533921055</v>
      </c>
      <c r="I6" s="29">
        <f>IFERROR(VLOOKUP($A6,'Arranjos Consolidados'!$E$3:$BM$303,I$2,FALSE),"")</f>
        <v>30</v>
      </c>
      <c r="J6" s="31">
        <f>IFERROR(VLOOKUP($A6,'Arranjos Consolidados'!$E$3:$BM$303,J$2,FALSE),"")</f>
        <v>207.12846684328503</v>
      </c>
      <c r="K6" s="31">
        <f>IFERROR(VLOOKUP($A6,'Arranjos Consolidados'!$E$3:$BM$303,K$2,FALSE),"")</f>
        <v>37.459027150098294</v>
      </c>
      <c r="L6" s="31">
        <f>IFERROR(VLOOKUP($A6,'Arranjos Consolidados'!$E$3:$BM$303,L$2,FALSE),"")</f>
        <v>66.408338116291901</v>
      </c>
      <c r="M6" s="31">
        <f>IFERROR(VLOOKUP($A6,'Arranjos Consolidados'!$E$3:$BM$303,M$2,FALSE),"")</f>
        <v>9.3316996721013368</v>
      </c>
      <c r="N6" s="31">
        <f>IFERROR(VLOOKUP($A6,'Arranjos Consolidados'!$E$3:$BM$303,N$2,FALSE),"")</f>
        <v>26.800745055282505</v>
      </c>
      <c r="O6" s="31">
        <f>IFERROR(VLOOKUP($A6,'Arranjos Consolidados'!$E$3:$BM$303,O$2,FALSE),"")</f>
        <v>30.275893388908056</v>
      </c>
      <c r="P6" s="31">
        <f>IFERROR(VLOOKUP($A6,'Arranjos Consolidados'!$E$3:$BM$303,P$2,FALSE),"")</f>
        <v>5.2960649647742786</v>
      </c>
      <c r="Q6" s="31">
        <f>IFERROR(VLOOKUP($A6,'Arranjos Consolidados'!$E$3:$BM$303,Q$2,FALSE),"")</f>
        <v>13.056211315353568</v>
      </c>
      <c r="R6" s="31">
        <f>IFERROR(VLOOKUP($A6,'Arranjos Consolidados'!$E$3:$BM$303,R$2,FALSE),"")</f>
        <v>11.92361710878021</v>
      </c>
      <c r="S6" s="31">
        <f>IFERROR(VLOOKUP($A6,'Arranjos Consolidados'!$E$3:$BM$303,S$2,FALSE),"")</f>
        <v>0</v>
      </c>
      <c r="T6" s="31">
        <f>IFERROR(VLOOKUP($A6,'Arranjos Consolidados'!$E$3:$BM$303,T$2,FALSE),"")</f>
        <v>0</v>
      </c>
      <c r="U6" s="31">
        <f>IFERROR(VLOOKUP($A6,'Arranjos Consolidados'!$E$3:$BM$303,U$2,FALSE),"")</f>
        <v>0</v>
      </c>
      <c r="V6" s="31">
        <f>IFERROR(VLOOKUP($A6,'Arranjos Consolidados'!$E$3:$BM$303,V$2,FALSE),"")</f>
        <v>0</v>
      </c>
      <c r="W6" s="31">
        <f>IFERROR(VLOOKUP($A6,'Arranjos Consolidados'!$E$3:$BM$303,W$2,FALSE),"")</f>
        <v>789.96247887161121</v>
      </c>
      <c r="X6" s="29">
        <f>IFERROR(VLOOKUP($A6,'Arranjos Consolidados'!$E$3:$BM$303,X$2,FALSE),"")</f>
        <v>0</v>
      </c>
      <c r="Y6" s="31">
        <f>IFERROR(VLOOKUP($A6,'Arranjos Consolidados'!$E$3:$BM$303,Y$2,FALSE),"")</f>
        <v>0</v>
      </c>
      <c r="Z6" s="29">
        <f>IFERROR(VLOOKUP($A6,'Arranjos Consolidados'!$E$3:$BM$303,Z$2,FALSE),"")</f>
        <v>0</v>
      </c>
      <c r="AA6" s="31">
        <f>IFERROR(VLOOKUP($A6,'Arranjos Consolidados'!$E$3:$BM$303,AA$2,FALSE),"")</f>
        <v>789.96247887161121</v>
      </c>
      <c r="AB6" s="31">
        <f>IFERROR(VLOOKUP($A6,'Arranjos Consolidados'!$E$3:$BM$303,AB$2,FALSE),"")</f>
        <v>84.001712863413402</v>
      </c>
      <c r="AC6" s="31">
        <f>IFERROR(VLOOKUP($A6,'Arranjos Consolidados'!$E$3:$BM$303,AC$2,FALSE),"")</f>
        <v>-17.459055886586668</v>
      </c>
      <c r="AD6" s="31">
        <f>IFERROR(VLOOKUP($A6,'Arranjos Consolidados'!$E$3:$BM$303,AD$2,FALSE),"")</f>
        <v>0</v>
      </c>
      <c r="AE6" s="31">
        <f>IFERROR(VLOOKUP($A6,'Arranjos Consolidados'!$E$3:$BM$303,AE$2,FALSE),"")</f>
        <v>0</v>
      </c>
      <c r="AF6" s="31">
        <f>IFERROR(VLOOKUP($A6,'Arranjos Consolidados'!$E$3:$BM$303,AF$2,FALSE),"")</f>
        <v>0</v>
      </c>
      <c r="AG6" s="31">
        <f>IFERROR(VLOOKUP($A6,'Arranjos Consolidados'!$E$3:$BM$303,AG$2,FALSE),"")</f>
        <v>101.46076875000001</v>
      </c>
      <c r="AH6" s="31">
        <f>IFERROR(VLOOKUP($A6,'Arranjos Consolidados'!$E$3:$BM$303,AH$2,FALSE),"")</f>
        <v>0</v>
      </c>
      <c r="AI6" s="31">
        <f>IFERROR(VLOOKUP($A6,'Arranjos Consolidados'!$E$3:$BM$303,AI$2,FALSE),"")</f>
        <v>0</v>
      </c>
      <c r="AJ6" s="31">
        <f>IFERROR(VLOOKUP($A6,'Arranjos Consolidados'!$E$3:$BM$303,AJ$2,FALSE),"")</f>
        <v>0</v>
      </c>
      <c r="AK6" s="31">
        <f>IFERROR(VLOOKUP($A6,'Arranjos Consolidados'!$E$3:$BM$303,AK$2,FALSE),"")</f>
        <v>0</v>
      </c>
      <c r="AL6" s="34">
        <f>IFERROR(VLOOKUP($A6,'Arranjos Consolidados'!$E$3:$BM$303,AL$2,FALSE),"")</f>
        <v>0.14764531548015164</v>
      </c>
      <c r="AM6" s="31">
        <f>IFERROR(VLOOKUP($A6,'Arranjos Consolidados'!$E$3:$BM$303,AM$2,FALSE),"")</f>
        <v>705.96076600819777</v>
      </c>
      <c r="AN6" s="31">
        <f>IFERROR(VLOOKUP($A6,'Arranjos Consolidados'!$E$3:$BM$303,AN$2,FALSE),"")</f>
        <v>0</v>
      </c>
      <c r="AO6" s="31">
        <f>IFERROR(VLOOKUP($A6,'Arranjos Consolidados'!$E$3:$BM$303,AO$2,FALSE),"")</f>
        <v>0</v>
      </c>
      <c r="AP6" s="31">
        <f>IFERROR(VLOOKUP($A6,'Arranjos Consolidados'!$E$3:$BM$303,AP$2,FALSE),"")</f>
        <v>0</v>
      </c>
      <c r="AQ6" s="31">
        <f>IFERROR(VLOOKUP($A6,'Arranjos Consolidados'!$E$3:$BM$303,AQ$2,FALSE),"")</f>
        <v>0</v>
      </c>
      <c r="AR6" s="31">
        <f>IFERROR(VLOOKUP($A6,'Arranjos Consolidados'!$E$3:$BM$303,AR$2,FALSE),"")</f>
        <v>0</v>
      </c>
      <c r="AS6" s="31">
        <f>IFERROR(VLOOKUP($A6,'Arranjos Consolidados'!$E$3:$BM$303,AS$2,FALSE),"")</f>
        <v>477.14036710582548</v>
      </c>
      <c r="AT6" s="31">
        <f>IFERROR(VLOOKUP($A6,'Arranjos Consolidados'!$E$3:$BM$303,AT$2,FALSE),"")</f>
        <v>88.123691326239452</v>
      </c>
      <c r="AU6" s="31">
        <f>IFERROR(VLOOKUP($A6,'Arranjos Consolidados'!$E$3:$BM$303,AU$2,FALSE),"")</f>
        <v>88.123691326239452</v>
      </c>
      <c r="AV6" s="31">
        <f>IFERROR(VLOOKUP($A6,'Arranjos Consolidados'!$E$3:$BM$303,AV$2,FALSE),"")</f>
        <v>0</v>
      </c>
      <c r="AW6" s="31">
        <f>IFERROR(VLOOKUP($A6,'Arranjos Consolidados'!$E$3:$BM$303,AW$2,FALSE),"")</f>
        <v>0</v>
      </c>
      <c r="AX6" s="31">
        <f>IFERROR(VLOOKUP($A6,'Arranjos Consolidados'!$E$3:$BM$303,AX$2,FALSE),"")</f>
        <v>260.95460722732287</v>
      </c>
      <c r="AY6" s="31">
        <f>IFERROR(VLOOKUP($A6,'Arranjos Consolidados'!$E$3:$BM$303,AY$2,FALSE),"")</f>
        <v>76.930878417473082</v>
      </c>
      <c r="AZ6" s="31">
        <f>IFERROR(VLOOKUP($A6,'Arranjos Consolidados'!$E$3:$BM$303,AZ$2,FALSE),"")</f>
        <v>76.676553670770744</v>
      </c>
      <c r="BA6" s="31">
        <f>IFERROR(VLOOKUP($A6,'Arranjos Consolidados'!$E$3:$BM$303,BA$2,FALSE),"")</f>
        <v>107.34717513907907</v>
      </c>
      <c r="BB6" s="31">
        <f>IFERROR(VLOOKUP($A6,'Arranjos Consolidados'!$E$3:$BM$303,BB$2,FALSE),"")</f>
        <v>0</v>
      </c>
      <c r="BC6" s="31">
        <f>IFERROR(VLOOKUP($A6,'Arranjos Consolidados'!$E$3:$BM$303,BC$2,FALSE),"")</f>
        <v>128.06206855226316</v>
      </c>
      <c r="BD6" s="31">
        <f>IFERROR(VLOOKUP($A6,'Arranjos Consolidados'!$E$3:$BM$303,BD$2,FALSE),"")</f>
        <v>44.417441137837841</v>
      </c>
      <c r="BE6" s="31">
        <f>IFERROR(VLOOKUP($A6,'Arranjos Consolidados'!$E$3:$BM$303,BE$2,FALSE),"")</f>
        <v>1.4723613094253221</v>
      </c>
      <c r="BF6" s="31">
        <f>IFERROR(VLOOKUP($A6,'Arranjos Consolidados'!$E$3:$BM$303,BF$2,FALSE),"")</f>
        <v>82.172266105000006</v>
      </c>
      <c r="BG6" s="31">
        <f>IFERROR(VLOOKUP($A6,'Arranjos Consolidados'!$E$3:$BM$303,BG$2,FALSE),"")</f>
        <v>0</v>
      </c>
      <c r="BH6" s="31">
        <f>IFERROR(VLOOKUP($A6,'Arranjos Consolidados'!$E$3:$BM$303,BH$2,FALSE),"")</f>
        <v>477.14036710582548</v>
      </c>
      <c r="BI6" s="31">
        <f>IFERROR(VLOOKUP($A6,'Arranjos Consolidados'!$E$3:$BM$303,BI$2,FALSE),"")</f>
        <v>561.14207996923892</v>
      </c>
      <c r="BJ6" s="34">
        <f>IFERROR(VLOOKUP($A6,'Arranjos Consolidados'!$E$3:$BM$303,BJ$2,FALSE),"")</f>
        <v>0.15527817278130071</v>
      </c>
      <c r="BK6" s="34">
        <f>IFERROR(VLOOKUP($A6,'Arranjos Consolidados'!$E$3:$BM$303,BK$2,FALSE),"")</f>
        <v>0.19188673533921055</v>
      </c>
    </row>
    <row r="7" spans="1:63" ht="16.5" x14ac:dyDescent="0.25">
      <c r="A7" s="24" t="s">
        <v>10567</v>
      </c>
      <c r="B7" s="32">
        <f>'Banco de Dados'!$I$29</f>
        <v>300</v>
      </c>
      <c r="C7" s="25">
        <f>'Banco de Dados'!$I$31/100</f>
        <v>0.35</v>
      </c>
      <c r="D7" s="29">
        <f>IFERROR(VLOOKUP($A7,'Arranjos Consolidados'!$E$3:$BM$303,D$2,FALSE),"")</f>
        <v>19348</v>
      </c>
      <c r="E7" s="33">
        <f>IFERROR(VLOOKUP($A7,'Arranjos Consolidados'!$E$3:$BM$303,E$2,FALSE),"")</f>
        <v>0.89711895463337699</v>
      </c>
      <c r="F7" s="29">
        <f>IFERROR(VLOOKUP($A7,'Arranjos Consolidados'!$E$3:$BM$303,F$2,FALSE),"")</f>
        <v>200</v>
      </c>
      <c r="G7" s="31">
        <f>IFERROR(VLOOKUP($A7,'Arranjos Consolidados'!$E$3:$BM$303,G$2,FALSE),"")</f>
        <v>706.06433175947393</v>
      </c>
      <c r="H7" s="34">
        <f>IFERROR(VLOOKUP($A7,'Arranjos Consolidados'!$E$3:$BM$303,H$2,FALSE),"")</f>
        <v>0.18978389879843854</v>
      </c>
      <c r="I7" s="29">
        <f>IFERROR(VLOOKUP($A7,'Arranjos Consolidados'!$E$3:$BM$303,I$2,FALSE),"")</f>
        <v>30</v>
      </c>
      <c r="J7" s="31">
        <f>IFERROR(VLOOKUP($A7,'Arranjos Consolidados'!$E$3:$BM$303,J$2,FALSE),"")</f>
        <v>207.12914756087631</v>
      </c>
      <c r="K7" s="31">
        <f>IFERROR(VLOOKUP($A7,'Arranjos Consolidados'!$E$3:$BM$303,K$2,FALSE),"")</f>
        <v>37.46242730532699</v>
      </c>
      <c r="L7" s="31">
        <f>IFERROR(VLOOKUP($A7,'Arranjos Consolidados'!$E$3:$BM$303,L$2,FALSE),"")</f>
        <v>66.408338116291915</v>
      </c>
      <c r="M7" s="31">
        <f>IFERROR(VLOOKUP($A7,'Arranjos Consolidados'!$E$3:$BM$303,M$2,FALSE),"")</f>
        <v>9.3316996721013385</v>
      </c>
      <c r="N7" s="31">
        <f>IFERROR(VLOOKUP($A7,'Arranjos Consolidados'!$E$3:$BM$303,N$2,FALSE),"")</f>
        <v>26.800745055282505</v>
      </c>
      <c r="O7" s="31">
        <f>IFERROR(VLOOKUP($A7,'Arranjos Consolidados'!$E$3:$BM$303,O$2,FALSE),"")</f>
        <v>30.275893388908059</v>
      </c>
      <c r="P7" s="31">
        <f>IFERROR(VLOOKUP($A7,'Arranjos Consolidados'!$E$3:$BM$303,P$2,FALSE),"")</f>
        <v>5.2960649647742803</v>
      </c>
      <c r="Q7" s="31">
        <f>IFERROR(VLOOKUP($A7,'Arranjos Consolidados'!$E$3:$BM$303,Q$2,FALSE),"")</f>
        <v>13.056211315353568</v>
      </c>
      <c r="R7" s="31">
        <f>IFERROR(VLOOKUP($A7,'Arranjos Consolidados'!$E$3:$BM$303,R$2,FALSE),"")</f>
        <v>11.923617108780212</v>
      </c>
      <c r="S7" s="31">
        <f>IFERROR(VLOOKUP($A7,'Arranjos Consolidados'!$E$3:$BM$303,S$2,FALSE),"")</f>
        <v>0</v>
      </c>
      <c r="T7" s="31">
        <f>IFERROR(VLOOKUP($A7,'Arranjos Consolidados'!$E$3:$BM$303,T$2,FALSE),"")</f>
        <v>0</v>
      </c>
      <c r="U7" s="31">
        <f>IFERROR(VLOOKUP($A7,'Arranjos Consolidados'!$E$3:$BM$303,U$2,FALSE),"")</f>
        <v>0</v>
      </c>
      <c r="V7" s="31">
        <f>IFERROR(VLOOKUP($A7,'Arranjos Consolidados'!$E$3:$BM$303,V$2,FALSE),"")</f>
        <v>0</v>
      </c>
      <c r="W7" s="31">
        <f>IFERROR(VLOOKUP($A7,'Arranjos Consolidados'!$E$3:$BM$303,W$2,FALSE),"")</f>
        <v>790.06604462288726</v>
      </c>
      <c r="X7" s="29">
        <f>IFERROR(VLOOKUP($A7,'Arranjos Consolidados'!$E$3:$BM$303,X$2,FALSE),"")</f>
        <v>0</v>
      </c>
      <c r="Y7" s="31">
        <f>IFERROR(VLOOKUP($A7,'Arranjos Consolidados'!$E$3:$BM$303,Y$2,FALSE),"")</f>
        <v>0</v>
      </c>
      <c r="Z7" s="29">
        <f>IFERROR(VLOOKUP($A7,'Arranjos Consolidados'!$E$3:$BM$303,Z$2,FALSE),"")</f>
        <v>0</v>
      </c>
      <c r="AA7" s="31">
        <f>IFERROR(VLOOKUP($A7,'Arranjos Consolidados'!$E$3:$BM$303,AA$2,FALSE),"")</f>
        <v>790.06604462288726</v>
      </c>
      <c r="AB7" s="31">
        <f>IFERROR(VLOOKUP($A7,'Arranjos Consolidados'!$E$3:$BM$303,AB$2,FALSE),"")</f>
        <v>84.001712863413346</v>
      </c>
      <c r="AC7" s="31">
        <f>IFERROR(VLOOKUP($A7,'Arranjos Consolidados'!$E$3:$BM$303,AC$2,FALSE),"")</f>
        <v>-17.459055886586661</v>
      </c>
      <c r="AD7" s="31">
        <f>IFERROR(VLOOKUP($A7,'Arranjos Consolidados'!$E$3:$BM$303,AD$2,FALSE),"")</f>
        <v>0</v>
      </c>
      <c r="AE7" s="31">
        <f>IFERROR(VLOOKUP($A7,'Arranjos Consolidados'!$E$3:$BM$303,AE$2,FALSE),"")</f>
        <v>0</v>
      </c>
      <c r="AF7" s="31">
        <f>IFERROR(VLOOKUP($A7,'Arranjos Consolidados'!$E$3:$BM$303,AF$2,FALSE),"")</f>
        <v>0</v>
      </c>
      <c r="AG7" s="31">
        <f>IFERROR(VLOOKUP($A7,'Arranjos Consolidados'!$E$3:$BM$303,AG$2,FALSE),"")</f>
        <v>101.46076874999996</v>
      </c>
      <c r="AH7" s="31">
        <f>IFERROR(VLOOKUP($A7,'Arranjos Consolidados'!$E$3:$BM$303,AH$2,FALSE),"")</f>
        <v>0</v>
      </c>
      <c r="AI7" s="31">
        <f>IFERROR(VLOOKUP($A7,'Arranjos Consolidados'!$E$3:$BM$303,AI$2,FALSE),"")</f>
        <v>0</v>
      </c>
      <c r="AJ7" s="31">
        <f>IFERROR(VLOOKUP($A7,'Arranjos Consolidados'!$E$3:$BM$303,AJ$2,FALSE),"")</f>
        <v>0</v>
      </c>
      <c r="AK7" s="31">
        <f>IFERROR(VLOOKUP($A7,'Arranjos Consolidados'!$E$3:$BM$303,AK$2,FALSE),"")</f>
        <v>0</v>
      </c>
      <c r="AL7" s="34">
        <f>IFERROR(VLOOKUP($A7,'Arranjos Consolidados'!$E$3:$BM$303,AL$2,FALSE),"")</f>
        <v>0.1472517885208382</v>
      </c>
      <c r="AM7" s="31">
        <f>IFERROR(VLOOKUP($A7,'Arranjos Consolidados'!$E$3:$BM$303,AM$2,FALSE),"")</f>
        <v>706.06433175947393</v>
      </c>
      <c r="AN7" s="31">
        <f>IFERROR(VLOOKUP($A7,'Arranjos Consolidados'!$E$3:$BM$303,AN$2,FALSE),"")</f>
        <v>0</v>
      </c>
      <c r="AO7" s="31">
        <f>IFERROR(VLOOKUP($A7,'Arranjos Consolidados'!$E$3:$BM$303,AO$2,FALSE),"")</f>
        <v>0</v>
      </c>
      <c r="AP7" s="31">
        <f>IFERROR(VLOOKUP($A7,'Arranjos Consolidados'!$E$3:$BM$303,AP$2,FALSE),"")</f>
        <v>0</v>
      </c>
      <c r="AQ7" s="31">
        <f>IFERROR(VLOOKUP($A7,'Arranjos Consolidados'!$E$3:$BM$303,AQ$2,FALSE),"")</f>
        <v>0</v>
      </c>
      <c r="AR7" s="31">
        <f>IFERROR(VLOOKUP($A7,'Arranjos Consolidados'!$E$3:$BM$303,AR$2,FALSE),"")</f>
        <v>0</v>
      </c>
      <c r="AS7" s="31">
        <f>IFERROR(VLOOKUP($A7,'Arranjos Consolidados'!$E$3:$BM$303,AS$2,FALSE),"")</f>
        <v>477.28440322437484</v>
      </c>
      <c r="AT7" s="31">
        <f>IFERROR(VLOOKUP($A7,'Arranjos Consolidados'!$E$3:$BM$303,AT$2,FALSE),"")</f>
        <v>88.221259729563968</v>
      </c>
      <c r="AU7" s="31">
        <f>IFERROR(VLOOKUP($A7,'Arranjos Consolidados'!$E$3:$BM$303,AU$2,FALSE),"")</f>
        <v>88.221259729563968</v>
      </c>
      <c r="AV7" s="31">
        <f>IFERROR(VLOOKUP($A7,'Arranjos Consolidados'!$E$3:$BM$303,AV$2,FALSE),"")</f>
        <v>0</v>
      </c>
      <c r="AW7" s="31">
        <f>IFERROR(VLOOKUP($A7,'Arranjos Consolidados'!$E$3:$BM$303,AW$2,FALSE),"")</f>
        <v>0</v>
      </c>
      <c r="AX7" s="31">
        <f>IFERROR(VLOOKUP($A7,'Arranjos Consolidados'!$E$3:$BM$303,AX$2,FALSE),"")</f>
        <v>260.99285817626981</v>
      </c>
      <c r="AY7" s="31">
        <f>IFERROR(VLOOKUP($A7,'Arranjos Consolidados'!$E$3:$BM$303,AY$2,FALSE),"")</f>
        <v>76.930878417473082</v>
      </c>
      <c r="AZ7" s="31">
        <f>IFERROR(VLOOKUP($A7,'Arranjos Consolidados'!$E$3:$BM$303,AZ$2,FALSE),"")</f>
        <v>76.692491566165288</v>
      </c>
      <c r="BA7" s="31">
        <f>IFERROR(VLOOKUP($A7,'Arranjos Consolidados'!$E$3:$BM$303,BA$2,FALSE),"")</f>
        <v>107.36948819263141</v>
      </c>
      <c r="BB7" s="31">
        <f>IFERROR(VLOOKUP($A7,'Arranjos Consolidados'!$E$3:$BM$303,BB$2,FALSE),"")</f>
        <v>0</v>
      </c>
      <c r="BC7" s="31">
        <f>IFERROR(VLOOKUP($A7,'Arranjos Consolidados'!$E$3:$BM$303,BC$2,FALSE),"")</f>
        <v>128.07028531854107</v>
      </c>
      <c r="BD7" s="31">
        <f>IFERROR(VLOOKUP($A7,'Arranjos Consolidados'!$E$3:$BM$303,BD$2,FALSE),"")</f>
        <v>44.420324213724832</v>
      </c>
      <c r="BE7" s="31">
        <f>IFERROR(VLOOKUP($A7,'Arranjos Consolidados'!$E$3:$BM$303,BE$2,FALSE),"")</f>
        <v>1.4723613094253221</v>
      </c>
      <c r="BF7" s="31">
        <f>IFERROR(VLOOKUP($A7,'Arranjos Consolidados'!$E$3:$BM$303,BF$2,FALSE),"")</f>
        <v>82.177599795390947</v>
      </c>
      <c r="BG7" s="31">
        <f>IFERROR(VLOOKUP($A7,'Arranjos Consolidados'!$E$3:$BM$303,BG$2,FALSE),"")</f>
        <v>0</v>
      </c>
      <c r="BH7" s="31">
        <f>IFERROR(VLOOKUP($A7,'Arranjos Consolidados'!$E$3:$BM$303,BH$2,FALSE),"")</f>
        <v>477.28440322437484</v>
      </c>
      <c r="BI7" s="31">
        <f>IFERROR(VLOOKUP($A7,'Arranjos Consolidados'!$E$3:$BM$303,BI$2,FALSE),"")</f>
        <v>561.28611608778817</v>
      </c>
      <c r="BJ7" s="34">
        <f>IFERROR(VLOOKUP($A7,'Arranjos Consolidados'!$E$3:$BM$303,BJ$2,FALSE),"")</f>
        <v>0.1535100581079262</v>
      </c>
      <c r="BK7" s="34">
        <f>IFERROR(VLOOKUP($A7,'Arranjos Consolidados'!$E$3:$BM$303,BK$2,FALSE),"")</f>
        <v>0.18978389879843854</v>
      </c>
    </row>
    <row r="8" spans="1:63" ht="16.5" x14ac:dyDescent="0.25">
      <c r="A8" s="24" t="s">
        <v>10011</v>
      </c>
      <c r="B8" s="32">
        <f>'Banco de Dados'!$I$29</f>
        <v>300</v>
      </c>
      <c r="C8" s="25">
        <f>'Banco de Dados'!$I$31/100</f>
        <v>0.35</v>
      </c>
      <c r="D8" s="29">
        <f>IFERROR(VLOOKUP($A8,'Arranjos Consolidados'!$E$3:$BM$303,D$2,FALSE),"")</f>
        <v>189318</v>
      </c>
      <c r="E8" s="33">
        <f>IFERROR(VLOOKUP($A8,'Arranjos Consolidados'!$E$3:$BM$303,E$2,FALSE),"")</f>
        <v>0.89712382167164706</v>
      </c>
      <c r="F8" s="29">
        <f>IFERROR(VLOOKUP($A8,'Arranjos Consolidados'!$E$3:$BM$303,F$2,FALSE),"")</f>
        <v>200</v>
      </c>
      <c r="G8" s="31">
        <f>IFERROR(VLOOKUP($A8,'Arranjos Consolidados'!$E$3:$BM$303,G$2,FALSE),"")</f>
        <v>383.1253517223621</v>
      </c>
      <c r="H8" s="34">
        <f>IFERROR(VLOOKUP($A8,'Arranjos Consolidados'!$E$3:$BM$303,H$2,FALSE),"")</f>
        <v>0.39243991508942616</v>
      </c>
      <c r="I8" s="29">
        <f>IFERROR(VLOOKUP($A8,'Arranjos Consolidados'!$E$3:$BM$303,I$2,FALSE),"")</f>
        <v>30</v>
      </c>
      <c r="J8" s="31">
        <f>IFERROR(VLOOKUP($A8,'Arranjos Consolidados'!$E$3:$BM$303,J$2,FALSE),"")</f>
        <v>129.970575682646</v>
      </c>
      <c r="K8" s="31">
        <f>IFERROR(VLOOKUP($A8,'Arranjos Consolidados'!$E$3:$BM$303,K$2,FALSE),"")</f>
        <v>21.511738204032913</v>
      </c>
      <c r="L8" s="31">
        <f>IFERROR(VLOOKUP($A8,'Arranjos Consolidados'!$E$3:$BM$303,L$2,FALSE),"")</f>
        <v>66.408338116291901</v>
      </c>
      <c r="M8" s="31">
        <f>IFERROR(VLOOKUP($A8,'Arranjos Consolidados'!$E$3:$BM$303,M$2,FALSE),"")</f>
        <v>9.3316996721013332</v>
      </c>
      <c r="N8" s="31">
        <f>IFERROR(VLOOKUP($A8,'Arranjos Consolidados'!$E$3:$BM$303,N$2,FALSE),"")</f>
        <v>26.800745055282508</v>
      </c>
      <c r="O8" s="31">
        <f>IFERROR(VLOOKUP($A8,'Arranjos Consolidados'!$E$3:$BM$303,O$2,FALSE),"")</f>
        <v>30.275893388908067</v>
      </c>
      <c r="P8" s="31">
        <f>IFERROR(VLOOKUP($A8,'Arranjos Consolidados'!$E$3:$BM$303,P$2,FALSE),"")</f>
        <v>5.2960649647742803</v>
      </c>
      <c r="Q8" s="31">
        <f>IFERROR(VLOOKUP($A8,'Arranjos Consolidados'!$E$3:$BM$303,Q$2,FALSE),"")</f>
        <v>13.056211315353574</v>
      </c>
      <c r="R8" s="31">
        <f>IFERROR(VLOOKUP($A8,'Arranjos Consolidados'!$E$3:$BM$303,R$2,FALSE),"")</f>
        <v>11.92361710878021</v>
      </c>
      <c r="S8" s="31">
        <f>IFERROR(VLOOKUP($A8,'Arranjos Consolidados'!$E$3:$BM$303,S$2,FALSE),"")</f>
        <v>0</v>
      </c>
      <c r="T8" s="31">
        <f>IFERROR(VLOOKUP($A8,'Arranjos Consolidados'!$E$3:$BM$303,T$2,FALSE),"")</f>
        <v>0</v>
      </c>
      <c r="U8" s="31">
        <f>IFERROR(VLOOKUP($A8,'Arranjos Consolidados'!$E$3:$BM$303,U$2,FALSE),"")</f>
        <v>0</v>
      </c>
      <c r="V8" s="31">
        <f>IFERROR(VLOOKUP($A8,'Arranjos Consolidados'!$E$3:$BM$303,V$2,FALSE),"")</f>
        <v>0</v>
      </c>
      <c r="W8" s="31">
        <f>IFERROR(VLOOKUP($A8,'Arranjos Consolidados'!$E$3:$BM$303,W$2,FALSE),"")</f>
        <v>486.48452963577546</v>
      </c>
      <c r="X8" s="29">
        <f>IFERROR(VLOOKUP($A8,'Arranjos Consolidados'!$E$3:$BM$303,X$2,FALSE),"")</f>
        <v>0</v>
      </c>
      <c r="Y8" s="31">
        <f>IFERROR(VLOOKUP($A8,'Arranjos Consolidados'!$E$3:$BM$303,Y$2,FALSE),"")</f>
        <v>0</v>
      </c>
      <c r="Z8" s="29">
        <f>IFERROR(VLOOKUP($A8,'Arranjos Consolidados'!$E$3:$BM$303,Z$2,FALSE),"")</f>
        <v>0</v>
      </c>
      <c r="AA8" s="31">
        <f>IFERROR(VLOOKUP($A8,'Arranjos Consolidados'!$E$3:$BM$303,AA$2,FALSE),"")</f>
        <v>486.48452963577546</v>
      </c>
      <c r="AB8" s="31">
        <f>IFERROR(VLOOKUP($A8,'Arranjos Consolidados'!$E$3:$BM$303,AB$2,FALSE),"")</f>
        <v>103.35917791341336</v>
      </c>
      <c r="AC8" s="31">
        <f>IFERROR(VLOOKUP($A8,'Arranjos Consolidados'!$E$3:$BM$303,AC$2,FALSE),"")</f>
        <v>-17.459055886586672</v>
      </c>
      <c r="AD8" s="31">
        <f>IFERROR(VLOOKUP($A8,'Arranjos Consolidados'!$E$3:$BM$303,AD$2,FALSE),"")</f>
        <v>0</v>
      </c>
      <c r="AE8" s="31">
        <f>IFERROR(VLOOKUP($A8,'Arranjos Consolidados'!$E$3:$BM$303,AE$2,FALSE),"")</f>
        <v>0</v>
      </c>
      <c r="AF8" s="31">
        <f>IFERROR(VLOOKUP($A8,'Arranjos Consolidados'!$E$3:$BM$303,AF$2,FALSE),"")</f>
        <v>0</v>
      </c>
      <c r="AG8" s="31">
        <f>IFERROR(VLOOKUP($A8,'Arranjos Consolidados'!$E$3:$BM$303,AG$2,FALSE),"")</f>
        <v>101.46076875000003</v>
      </c>
      <c r="AH8" s="31">
        <f>IFERROR(VLOOKUP($A8,'Arranjos Consolidados'!$E$3:$BM$303,AH$2,FALSE),"")</f>
        <v>0</v>
      </c>
      <c r="AI8" s="31">
        <f>IFERROR(VLOOKUP($A8,'Arranjos Consolidados'!$E$3:$BM$303,AI$2,FALSE),"")</f>
        <v>0</v>
      </c>
      <c r="AJ8" s="31">
        <f>IFERROR(VLOOKUP($A8,'Arranjos Consolidados'!$E$3:$BM$303,AJ$2,FALSE),"")</f>
        <v>0</v>
      </c>
      <c r="AK8" s="31">
        <f>IFERROR(VLOOKUP($A8,'Arranjos Consolidados'!$E$3:$BM$303,AK$2,FALSE),"")</f>
        <v>19.357465049999998</v>
      </c>
      <c r="AL8" s="34">
        <f>IFERROR(VLOOKUP($A8,'Arranjos Consolidados'!$E$3:$BM$303,AL$2,FALSE),"")</f>
        <v>0.21246138698551631</v>
      </c>
      <c r="AM8" s="31">
        <f>IFERROR(VLOOKUP($A8,'Arranjos Consolidados'!$E$3:$BM$303,AM$2,FALSE),"")</f>
        <v>383.1253517223621</v>
      </c>
      <c r="AN8" s="31">
        <f>IFERROR(VLOOKUP($A8,'Arranjos Consolidados'!$E$3:$BM$303,AN$2,FALSE),"")</f>
        <v>0</v>
      </c>
      <c r="AO8" s="31">
        <f>IFERROR(VLOOKUP($A8,'Arranjos Consolidados'!$E$3:$BM$303,AO$2,FALSE),"")</f>
        <v>0</v>
      </c>
      <c r="AP8" s="31">
        <f>IFERROR(VLOOKUP($A8,'Arranjos Consolidados'!$E$3:$BM$303,AP$2,FALSE),"")</f>
        <v>0</v>
      </c>
      <c r="AQ8" s="31">
        <f>IFERROR(VLOOKUP($A8,'Arranjos Consolidados'!$E$3:$BM$303,AQ$2,FALSE),"")</f>
        <v>0</v>
      </c>
      <c r="AR8" s="31">
        <f>IFERROR(VLOOKUP($A8,'Arranjos Consolidados'!$E$3:$BM$303,AR$2,FALSE),"")</f>
        <v>0</v>
      </c>
      <c r="AS8" s="31">
        <f>IFERROR(VLOOKUP($A8,'Arranjos Consolidados'!$E$3:$BM$303,AS$2,FALSE),"")</f>
        <v>333.47903222089241</v>
      </c>
      <c r="AT8" s="31">
        <f>IFERROR(VLOOKUP($A8,'Arranjos Consolidados'!$E$3:$BM$303,AT$2,FALSE),"")</f>
        <v>81.676115450503545</v>
      </c>
      <c r="AU8" s="31">
        <f>IFERROR(VLOOKUP($A8,'Arranjos Consolidados'!$E$3:$BM$303,AU$2,FALSE),"")</f>
        <v>81.676115450503545</v>
      </c>
      <c r="AV8" s="31">
        <f>IFERROR(VLOOKUP($A8,'Arranjos Consolidados'!$E$3:$BM$303,AV$2,FALSE),"")</f>
        <v>0</v>
      </c>
      <c r="AW8" s="31">
        <f>IFERROR(VLOOKUP($A8,'Arranjos Consolidados'!$E$3:$BM$303,AW$2,FALSE),"")</f>
        <v>0</v>
      </c>
      <c r="AX8" s="31">
        <f>IFERROR(VLOOKUP($A8,'Arranjos Consolidados'!$E$3:$BM$303,AX$2,FALSE),"")</f>
        <v>173.95879336029816</v>
      </c>
      <c r="AY8" s="31">
        <f>IFERROR(VLOOKUP($A8,'Arranjos Consolidados'!$E$3:$BM$303,AY$2,FALSE),"")</f>
        <v>76.930878417473096</v>
      </c>
      <c r="AZ8" s="31">
        <f>IFERROR(VLOOKUP($A8,'Arranjos Consolidados'!$E$3:$BM$303,AZ$2,FALSE),"")</f>
        <v>40.42829789284378</v>
      </c>
      <c r="BA8" s="31">
        <f>IFERROR(VLOOKUP($A8,'Arranjos Consolidados'!$E$3:$BM$303,BA$2,FALSE),"")</f>
        <v>56.599617049981291</v>
      </c>
      <c r="BB8" s="31">
        <f>IFERROR(VLOOKUP($A8,'Arranjos Consolidados'!$E$3:$BM$303,BB$2,FALSE),"")</f>
        <v>0</v>
      </c>
      <c r="BC8" s="31">
        <f>IFERROR(VLOOKUP($A8,'Arranjos Consolidados'!$E$3:$BM$303,BC$2,FALSE),"")</f>
        <v>77.844123410090688</v>
      </c>
      <c r="BD8" s="31">
        <f>IFERROR(VLOOKUP($A8,'Arranjos Consolidados'!$E$3:$BM$303,BD$2,FALSE),"")</f>
        <v>26.797109509005391</v>
      </c>
      <c r="BE8" s="31">
        <f>IFERROR(VLOOKUP($A8,'Arranjos Consolidados'!$E$3:$BM$303,BE$2,FALSE),"")</f>
        <v>1.4723613094253225</v>
      </c>
      <c r="BF8" s="31">
        <f>IFERROR(VLOOKUP($A8,'Arranjos Consolidados'!$E$3:$BM$303,BF$2,FALSE),"")</f>
        <v>49.574652591659969</v>
      </c>
      <c r="BG8" s="31">
        <f>IFERROR(VLOOKUP($A8,'Arranjos Consolidados'!$E$3:$BM$303,BG$2,FALSE),"")</f>
        <v>0</v>
      </c>
      <c r="BH8" s="31">
        <f>IFERROR(VLOOKUP($A8,'Arranjos Consolidados'!$E$3:$BM$303,BH$2,FALSE),"")</f>
        <v>333.47903222089241</v>
      </c>
      <c r="BI8" s="31">
        <f>IFERROR(VLOOKUP($A8,'Arranjos Consolidados'!$E$3:$BM$303,BI$2,FALSE),"")</f>
        <v>436.83821013430577</v>
      </c>
      <c r="BJ8" s="34">
        <f>IFERROR(VLOOKUP($A8,'Arranjos Consolidados'!$E$3:$BM$303,BJ$2,FALSE),"")</f>
        <v>0.30906158642104842</v>
      </c>
      <c r="BK8" s="34">
        <f>IFERROR(VLOOKUP($A8,'Arranjos Consolidados'!$E$3:$BM$303,BK$2,FALSE),"")</f>
        <v>0.39243991508942616</v>
      </c>
    </row>
    <row r="9" spans="1:63" ht="16.5" x14ac:dyDescent="0.25">
      <c r="A9" s="24" t="s">
        <v>10014</v>
      </c>
      <c r="B9" s="32">
        <f>'Banco de Dados'!$I$29</f>
        <v>300</v>
      </c>
      <c r="C9" s="25">
        <f>'Banco de Dados'!$I$31/100</f>
        <v>0.35</v>
      </c>
      <c r="D9" s="29">
        <f>IFERROR(VLOOKUP($A9,'Arranjos Consolidados'!$E$3:$BM$303,D$2,FALSE),"")</f>
        <v>187889</v>
      </c>
      <c r="E9" s="33">
        <f>IFERROR(VLOOKUP($A9,'Arranjos Consolidados'!$E$3:$BM$303,E$2,FALSE),"")</f>
        <v>0.89712274742220655</v>
      </c>
      <c r="F9" s="29">
        <f>IFERROR(VLOOKUP($A9,'Arranjos Consolidados'!$E$3:$BM$303,F$2,FALSE),"")</f>
        <v>199.99999999999997</v>
      </c>
      <c r="G9" s="31">
        <f>IFERROR(VLOOKUP($A9,'Arranjos Consolidados'!$E$3:$BM$303,G$2,FALSE),"")</f>
        <v>506.29267117987803</v>
      </c>
      <c r="H9" s="34">
        <f>IFERROR(VLOOKUP($A9,'Arranjos Consolidados'!$E$3:$BM$303,H$2,FALSE),"")</f>
        <v>0.3789231782900751</v>
      </c>
      <c r="I9" s="29">
        <f>IFERROR(VLOOKUP($A9,'Arranjos Consolidados'!$E$3:$BM$303,I$2,FALSE),"")</f>
        <v>30</v>
      </c>
      <c r="J9" s="31">
        <f>IFERROR(VLOOKUP($A9,'Arranjos Consolidados'!$E$3:$BM$303,J$2,FALSE),"")</f>
        <v>167.04428385488742</v>
      </c>
      <c r="K9" s="31">
        <f>IFERROR(VLOOKUP($A9,'Arranjos Consolidados'!$E$3:$BM$303,K$2,FALSE),"")</f>
        <v>29.410981806723399</v>
      </c>
      <c r="L9" s="31">
        <f>IFERROR(VLOOKUP($A9,'Arranjos Consolidados'!$E$3:$BM$303,L$2,FALSE),"")</f>
        <v>66.408338116291887</v>
      </c>
      <c r="M9" s="31">
        <f>IFERROR(VLOOKUP($A9,'Arranjos Consolidados'!$E$3:$BM$303,M$2,FALSE),"")</f>
        <v>9.3546983381860684</v>
      </c>
      <c r="N9" s="31">
        <f>IFERROR(VLOOKUP($A9,'Arranjos Consolidados'!$E$3:$BM$303,N$2,FALSE),"")</f>
        <v>26.792531245966526</v>
      </c>
      <c r="O9" s="31">
        <f>IFERROR(VLOOKUP($A9,'Arranjos Consolidados'!$E$3:$BM$303,O$2,FALSE),"")</f>
        <v>30.261108532139296</v>
      </c>
      <c r="P9" s="31">
        <f>IFERROR(VLOOKUP($A9,'Arranjos Consolidados'!$E$3:$BM$303,P$2,FALSE),"")</f>
        <v>5.2960649647742786</v>
      </c>
      <c r="Q9" s="31">
        <f>IFERROR(VLOOKUP($A9,'Arranjos Consolidados'!$E$3:$BM$303,Q$2,FALSE),"")</f>
        <v>13.041426458584809</v>
      </c>
      <c r="R9" s="31">
        <f>IFERROR(VLOOKUP($A9,'Arranjos Consolidados'!$E$3:$BM$303,R$2,FALSE),"")</f>
        <v>11.923617108780212</v>
      </c>
      <c r="S9" s="31">
        <f>IFERROR(VLOOKUP($A9,'Arranjos Consolidados'!$E$3:$BM$303,S$2,FALSE),"")</f>
        <v>0</v>
      </c>
      <c r="T9" s="31">
        <f>IFERROR(VLOOKUP($A9,'Arranjos Consolidados'!$E$3:$BM$303,T$2,FALSE),"")</f>
        <v>60.880376139230698</v>
      </c>
      <c r="U9" s="31">
        <f>IFERROR(VLOOKUP($A9,'Arranjos Consolidados'!$E$3:$BM$303,U$2,FALSE),"")</f>
        <v>0</v>
      </c>
      <c r="V9" s="31">
        <f>IFERROR(VLOOKUP($A9,'Arranjos Consolidados'!$E$3:$BM$303,V$2,FALSE),"")</f>
        <v>0</v>
      </c>
      <c r="W9" s="31">
        <f>IFERROR(VLOOKUP($A9,'Arranjos Consolidados'!$E$3:$BM$303,W$2,FALSE),"")</f>
        <v>610.09192374025884</v>
      </c>
      <c r="X9" s="29">
        <f>IFERROR(VLOOKUP($A9,'Arranjos Consolidados'!$E$3:$BM$303,X$2,FALSE),"")</f>
        <v>0</v>
      </c>
      <c r="Y9" s="31">
        <f>IFERROR(VLOOKUP($A9,'Arranjos Consolidados'!$E$3:$BM$303,Y$2,FALSE),"")</f>
        <v>0</v>
      </c>
      <c r="Z9" s="29">
        <f>IFERROR(VLOOKUP($A9,'Arranjos Consolidados'!$E$3:$BM$303,Z$2,FALSE),"")</f>
        <v>0</v>
      </c>
      <c r="AA9" s="31">
        <f>IFERROR(VLOOKUP($A9,'Arranjos Consolidados'!$E$3:$BM$303,AA$2,FALSE),"")</f>
        <v>610.09192374025884</v>
      </c>
      <c r="AB9" s="31">
        <f>IFERROR(VLOOKUP($A9,'Arranjos Consolidados'!$E$3:$BM$303,AB$2,FALSE),"")</f>
        <v>103.79925256038069</v>
      </c>
      <c r="AC9" s="31">
        <f>IFERROR(VLOOKUP($A9,'Arranjos Consolidados'!$E$3:$BM$303,AC$2,FALSE),"")</f>
        <v>-17.327251626598247</v>
      </c>
      <c r="AD9" s="31">
        <f>IFERROR(VLOOKUP($A9,'Arranjos Consolidados'!$E$3:$BM$303,AD$2,FALSE),"")</f>
        <v>0</v>
      </c>
      <c r="AE9" s="31">
        <f>IFERROR(VLOOKUP($A9,'Arranjos Consolidados'!$E$3:$BM$303,AE$2,FALSE),"")</f>
        <v>0</v>
      </c>
      <c r="AF9" s="31">
        <f>IFERROR(VLOOKUP($A9,'Arranjos Consolidados'!$E$3:$BM$303,AF$2,FALSE),"")</f>
        <v>0.30827038697890718</v>
      </c>
      <c r="AG9" s="31">
        <f>IFERROR(VLOOKUP($A9,'Arranjos Consolidados'!$E$3:$BM$303,AG$2,FALSE),"")</f>
        <v>101.46076874999999</v>
      </c>
      <c r="AH9" s="31">
        <f>IFERROR(VLOOKUP($A9,'Arranjos Consolidados'!$E$3:$BM$303,AH$2,FALSE),"")</f>
        <v>0</v>
      </c>
      <c r="AI9" s="31">
        <f>IFERROR(VLOOKUP($A9,'Arranjos Consolidados'!$E$3:$BM$303,AI$2,FALSE),"")</f>
        <v>0</v>
      </c>
      <c r="AJ9" s="31">
        <f>IFERROR(VLOOKUP($A9,'Arranjos Consolidados'!$E$3:$BM$303,AJ$2,FALSE),"")</f>
        <v>0</v>
      </c>
      <c r="AK9" s="31">
        <f>IFERROR(VLOOKUP($A9,'Arranjos Consolidados'!$E$3:$BM$303,AK$2,FALSE),"")</f>
        <v>19.357465050000005</v>
      </c>
      <c r="AL9" s="34">
        <f>IFERROR(VLOOKUP($A9,'Arranjos Consolidados'!$E$3:$BM$303,AL$2,FALSE),"")</f>
        <v>0.20991034627683444</v>
      </c>
      <c r="AM9" s="31">
        <f>IFERROR(VLOOKUP($A9,'Arranjos Consolidados'!$E$3:$BM$303,AM$2,FALSE),"")</f>
        <v>506.29267117987803</v>
      </c>
      <c r="AN9" s="31">
        <f>IFERROR(VLOOKUP($A9,'Arranjos Consolidados'!$E$3:$BM$303,AN$2,FALSE),"")</f>
        <v>0.30827038697890718</v>
      </c>
      <c r="AO9" s="31">
        <f>IFERROR(VLOOKUP($A9,'Arranjos Consolidados'!$E$3:$BM$303,AO$2,FALSE),"")</f>
        <v>0</v>
      </c>
      <c r="AP9" s="31">
        <f>IFERROR(VLOOKUP($A9,'Arranjos Consolidados'!$E$3:$BM$303,AP$2,FALSE),"")</f>
        <v>0</v>
      </c>
      <c r="AQ9" s="31">
        <f>IFERROR(VLOOKUP($A9,'Arranjos Consolidados'!$E$3:$BM$303,AQ$2,FALSE),"")</f>
        <v>0</v>
      </c>
      <c r="AR9" s="31">
        <f>IFERROR(VLOOKUP($A9,'Arranjos Consolidados'!$E$3:$BM$303,AR$2,FALSE),"")</f>
        <v>0.30827038697890718</v>
      </c>
      <c r="AS9" s="31">
        <f>IFERROR(VLOOKUP($A9,'Arranjos Consolidados'!$E$3:$BM$303,AS$2,FALSE),"")</f>
        <v>369.93463676180744</v>
      </c>
      <c r="AT9" s="31">
        <f>IFERROR(VLOOKUP($A9,'Arranjos Consolidados'!$E$3:$BM$303,AT$2,FALSE),"")</f>
        <v>82.270001783018003</v>
      </c>
      <c r="AU9" s="31">
        <f>IFERROR(VLOOKUP($A9,'Arranjos Consolidados'!$E$3:$BM$303,AU$2,FALSE),"")</f>
        <v>82.270001783018003</v>
      </c>
      <c r="AV9" s="31">
        <f>IFERROR(VLOOKUP($A9,'Arranjos Consolidados'!$E$3:$BM$303,AV$2,FALSE),"")</f>
        <v>0</v>
      </c>
      <c r="AW9" s="31">
        <f>IFERROR(VLOOKUP($A9,'Arranjos Consolidados'!$E$3:$BM$303,AW$2,FALSE),"")</f>
        <v>0</v>
      </c>
      <c r="AX9" s="31">
        <f>IFERROR(VLOOKUP($A9,'Arranjos Consolidados'!$E$3:$BM$303,AX$2,FALSE),"")</f>
        <v>184.88060858573215</v>
      </c>
      <c r="AY9" s="31">
        <f>IFERROR(VLOOKUP($A9,'Arranjos Consolidados'!$E$3:$BM$303,AY$2,FALSE),"")</f>
        <v>76.930878417473082</v>
      </c>
      <c r="AZ9" s="31">
        <f>IFERROR(VLOOKUP($A9,'Arranjos Consolidados'!$E$3:$BM$303,AZ$2,FALSE),"")</f>
        <v>44.979054236774616</v>
      </c>
      <c r="BA9" s="31">
        <f>IFERROR(VLOOKUP($A9,'Arranjos Consolidados'!$E$3:$BM$303,BA$2,FALSE),"")</f>
        <v>62.970675931484465</v>
      </c>
      <c r="BB9" s="31">
        <f>IFERROR(VLOOKUP($A9,'Arranjos Consolidados'!$E$3:$BM$303,BB$2,FALSE),"")</f>
        <v>0</v>
      </c>
      <c r="BC9" s="31">
        <f>IFERROR(VLOOKUP($A9,'Arranjos Consolidados'!$E$3:$BM$303,BC$2,FALSE),"")</f>
        <v>102.78402639305735</v>
      </c>
      <c r="BD9" s="31">
        <f>IFERROR(VLOOKUP($A9,'Arranjos Consolidados'!$E$3:$BM$303,BD$2,FALSE),"")</f>
        <v>35.547952660923521</v>
      </c>
      <c r="BE9" s="31">
        <f>IFERROR(VLOOKUP($A9,'Arranjos Consolidados'!$E$3:$BM$303,BE$2,FALSE),"")</f>
        <v>1.4723613094253218</v>
      </c>
      <c r="BF9" s="31">
        <f>IFERROR(VLOOKUP($A9,'Arranjos Consolidados'!$E$3:$BM$303,BF$2,FALSE),"")</f>
        <v>65.763712422708508</v>
      </c>
      <c r="BG9" s="31">
        <f>IFERROR(VLOOKUP($A9,'Arranjos Consolidados'!$E$3:$BM$303,BG$2,FALSE),"")</f>
        <v>0</v>
      </c>
      <c r="BH9" s="31">
        <f>IFERROR(VLOOKUP($A9,'Arranjos Consolidados'!$E$3:$BM$303,BH$2,FALSE),"")</f>
        <v>370.2429071487864</v>
      </c>
      <c r="BI9" s="31">
        <f>IFERROR(VLOOKUP($A9,'Arranjos Consolidados'!$E$3:$BM$303,BI$2,FALSE),"")</f>
        <v>474.04215970916704</v>
      </c>
      <c r="BJ9" s="34">
        <f>IFERROR(VLOOKUP($A9,'Arranjos Consolidados'!$E$3:$BM$303,BJ$2,FALSE),"")</f>
        <v>0.29777143050777294</v>
      </c>
      <c r="BK9" s="34">
        <f>IFERROR(VLOOKUP($A9,'Arranjos Consolidados'!$E$3:$BM$303,BK$2,FALSE),"")</f>
        <v>0.3789231782900751</v>
      </c>
    </row>
    <row r="10" spans="1:63" ht="16.5" x14ac:dyDescent="0.25">
      <c r="A10" s="24" t="s">
        <v>10017</v>
      </c>
      <c r="B10" s="32">
        <f>'Banco de Dados'!$I$29</f>
        <v>300</v>
      </c>
      <c r="C10" s="25">
        <f>'Banco de Dados'!$I$31/100</f>
        <v>0.35</v>
      </c>
      <c r="D10" s="29">
        <f>IFERROR(VLOOKUP($A10,'Arranjos Consolidados'!$E$3:$BM$303,D$2,FALSE),"")</f>
        <v>170314</v>
      </c>
      <c r="E10" s="33">
        <f>IFERROR(VLOOKUP($A10,'Arranjos Consolidados'!$E$3:$BM$303,E$2,FALSE),"")</f>
        <v>0.89712419976575097</v>
      </c>
      <c r="F10" s="29">
        <f>IFERROR(VLOOKUP($A10,'Arranjos Consolidados'!$E$3:$BM$303,F$2,FALSE),"")</f>
        <v>200</v>
      </c>
      <c r="G10" s="31">
        <f>IFERROR(VLOOKUP($A10,'Arranjos Consolidados'!$E$3:$BM$303,G$2,FALSE),"")</f>
        <v>686.60330095819779</v>
      </c>
      <c r="H10" s="34">
        <f>IFERROR(VLOOKUP($A10,'Arranjos Consolidados'!$E$3:$BM$303,H$2,FALSE),"")</f>
        <v>0.24477563257507409</v>
      </c>
      <c r="I10" s="29">
        <f>IFERROR(VLOOKUP($A10,'Arranjos Consolidados'!$E$3:$BM$303,I$2,FALSE),"")</f>
        <v>30</v>
      </c>
      <c r="J10" s="31">
        <f>IFERROR(VLOOKUP($A10,'Arranjos Consolidados'!$E$3:$BM$303,J$2,FALSE),"")</f>
        <v>207.12846684328503</v>
      </c>
      <c r="K10" s="31">
        <f>IFERROR(VLOOKUP($A10,'Arranjos Consolidados'!$E$3:$BM$303,K$2,FALSE),"")</f>
        <v>37.459027150098294</v>
      </c>
      <c r="L10" s="31">
        <f>IFERROR(VLOOKUP($A10,'Arranjos Consolidados'!$E$3:$BM$303,L$2,FALSE),"")</f>
        <v>66.408338116291901</v>
      </c>
      <c r="M10" s="31">
        <f>IFERROR(VLOOKUP($A10,'Arranjos Consolidados'!$E$3:$BM$303,M$2,FALSE),"")</f>
        <v>9.3316996721013368</v>
      </c>
      <c r="N10" s="31">
        <f>IFERROR(VLOOKUP($A10,'Arranjos Consolidados'!$E$3:$BM$303,N$2,FALSE),"")</f>
        <v>26.800745055282505</v>
      </c>
      <c r="O10" s="31">
        <f>IFERROR(VLOOKUP($A10,'Arranjos Consolidados'!$E$3:$BM$303,O$2,FALSE),"")</f>
        <v>30.275893388908056</v>
      </c>
      <c r="P10" s="31">
        <f>IFERROR(VLOOKUP($A10,'Arranjos Consolidados'!$E$3:$BM$303,P$2,FALSE),"")</f>
        <v>5.2960649647742786</v>
      </c>
      <c r="Q10" s="31">
        <f>IFERROR(VLOOKUP($A10,'Arranjos Consolidados'!$E$3:$BM$303,Q$2,FALSE),"")</f>
        <v>13.056211315353568</v>
      </c>
      <c r="R10" s="31">
        <f>IFERROR(VLOOKUP($A10,'Arranjos Consolidados'!$E$3:$BM$303,R$2,FALSE),"")</f>
        <v>11.92361710878021</v>
      </c>
      <c r="S10" s="31">
        <f>IFERROR(VLOOKUP($A10,'Arranjos Consolidados'!$E$3:$BM$303,S$2,FALSE),"")</f>
        <v>0</v>
      </c>
      <c r="T10" s="31">
        <f>IFERROR(VLOOKUP($A10,'Arranjos Consolidados'!$E$3:$BM$303,T$2,FALSE),"")</f>
        <v>0</v>
      </c>
      <c r="U10" s="31">
        <f>IFERROR(VLOOKUP($A10,'Arranjos Consolidados'!$E$3:$BM$303,U$2,FALSE),"")</f>
        <v>0</v>
      </c>
      <c r="V10" s="31">
        <f>IFERROR(VLOOKUP($A10,'Arranjos Consolidados'!$E$3:$BM$303,V$2,FALSE),"")</f>
        <v>0</v>
      </c>
      <c r="W10" s="31">
        <f>IFERROR(VLOOKUP($A10,'Arranjos Consolidados'!$E$3:$BM$303,W$2,FALSE),"")</f>
        <v>789.96247887161121</v>
      </c>
      <c r="X10" s="29">
        <f>IFERROR(VLOOKUP($A10,'Arranjos Consolidados'!$E$3:$BM$303,X$2,FALSE),"")</f>
        <v>0</v>
      </c>
      <c r="Y10" s="31">
        <f>IFERROR(VLOOKUP($A10,'Arranjos Consolidados'!$E$3:$BM$303,Y$2,FALSE),"")</f>
        <v>0</v>
      </c>
      <c r="Z10" s="29">
        <f>IFERROR(VLOOKUP($A10,'Arranjos Consolidados'!$E$3:$BM$303,Z$2,FALSE),"")</f>
        <v>0</v>
      </c>
      <c r="AA10" s="31">
        <f>IFERROR(VLOOKUP($A10,'Arranjos Consolidados'!$E$3:$BM$303,AA$2,FALSE),"")</f>
        <v>789.96247887161121</v>
      </c>
      <c r="AB10" s="31">
        <f>IFERROR(VLOOKUP($A10,'Arranjos Consolidados'!$E$3:$BM$303,AB$2,FALSE),"")</f>
        <v>103.35917791341338</v>
      </c>
      <c r="AC10" s="31">
        <f>IFERROR(VLOOKUP($A10,'Arranjos Consolidados'!$E$3:$BM$303,AC$2,FALSE),"")</f>
        <v>-17.459055886586668</v>
      </c>
      <c r="AD10" s="31">
        <f>IFERROR(VLOOKUP($A10,'Arranjos Consolidados'!$E$3:$BM$303,AD$2,FALSE),"")</f>
        <v>0</v>
      </c>
      <c r="AE10" s="31">
        <f>IFERROR(VLOOKUP($A10,'Arranjos Consolidados'!$E$3:$BM$303,AE$2,FALSE),"")</f>
        <v>0</v>
      </c>
      <c r="AF10" s="31">
        <f>IFERROR(VLOOKUP($A10,'Arranjos Consolidados'!$E$3:$BM$303,AF$2,FALSE),"")</f>
        <v>0</v>
      </c>
      <c r="AG10" s="31">
        <f>IFERROR(VLOOKUP($A10,'Arranjos Consolidados'!$E$3:$BM$303,AG$2,FALSE),"")</f>
        <v>101.46076875000001</v>
      </c>
      <c r="AH10" s="31">
        <f>IFERROR(VLOOKUP($A10,'Arranjos Consolidados'!$E$3:$BM$303,AH$2,FALSE),"")</f>
        <v>0</v>
      </c>
      <c r="AI10" s="31">
        <f>IFERROR(VLOOKUP($A10,'Arranjos Consolidados'!$E$3:$BM$303,AI$2,FALSE),"")</f>
        <v>0</v>
      </c>
      <c r="AJ10" s="31">
        <f>IFERROR(VLOOKUP($A10,'Arranjos Consolidados'!$E$3:$BM$303,AJ$2,FALSE),"")</f>
        <v>0</v>
      </c>
      <c r="AK10" s="31">
        <f>IFERROR(VLOOKUP($A10,'Arranjos Consolidados'!$E$3:$BM$303,AK$2,FALSE),"")</f>
        <v>19.357465049999995</v>
      </c>
      <c r="AL10" s="34">
        <f>IFERROR(VLOOKUP($A10,'Arranjos Consolidados'!$E$3:$BM$303,AL$2,FALSE),"")</f>
        <v>0.18166889591416518</v>
      </c>
      <c r="AM10" s="31">
        <f>IFERROR(VLOOKUP($A10,'Arranjos Consolidados'!$E$3:$BM$303,AM$2,FALSE),"")</f>
        <v>686.60330095819779</v>
      </c>
      <c r="AN10" s="31">
        <f>IFERROR(VLOOKUP($A10,'Arranjos Consolidados'!$E$3:$BM$303,AN$2,FALSE),"")</f>
        <v>0</v>
      </c>
      <c r="AO10" s="31">
        <f>IFERROR(VLOOKUP($A10,'Arranjos Consolidados'!$E$3:$BM$303,AO$2,FALSE),"")</f>
        <v>0</v>
      </c>
      <c r="AP10" s="31">
        <f>IFERROR(VLOOKUP($A10,'Arranjos Consolidados'!$E$3:$BM$303,AP$2,FALSE),"")</f>
        <v>0</v>
      </c>
      <c r="AQ10" s="31">
        <f>IFERROR(VLOOKUP($A10,'Arranjos Consolidados'!$E$3:$BM$303,AQ$2,FALSE),"")</f>
        <v>0</v>
      </c>
      <c r="AR10" s="31">
        <f>IFERROR(VLOOKUP($A10,'Arranjos Consolidados'!$E$3:$BM$303,AR$2,FALSE),"")</f>
        <v>0</v>
      </c>
      <c r="AS10" s="31">
        <f>IFERROR(VLOOKUP($A10,'Arranjos Consolidados'!$E$3:$BM$303,AS$2,FALSE),"")</f>
        <v>477.14036710582548</v>
      </c>
      <c r="AT10" s="31">
        <f>IFERROR(VLOOKUP($A10,'Arranjos Consolidados'!$E$3:$BM$303,AT$2,FALSE),"")</f>
        <v>88.123691326239452</v>
      </c>
      <c r="AU10" s="31">
        <f>IFERROR(VLOOKUP($A10,'Arranjos Consolidados'!$E$3:$BM$303,AU$2,FALSE),"")</f>
        <v>88.123691326239452</v>
      </c>
      <c r="AV10" s="31">
        <f>IFERROR(VLOOKUP($A10,'Arranjos Consolidados'!$E$3:$BM$303,AV$2,FALSE),"")</f>
        <v>0</v>
      </c>
      <c r="AW10" s="31">
        <f>IFERROR(VLOOKUP($A10,'Arranjos Consolidados'!$E$3:$BM$303,AW$2,FALSE),"")</f>
        <v>0</v>
      </c>
      <c r="AX10" s="31">
        <f>IFERROR(VLOOKUP($A10,'Arranjos Consolidados'!$E$3:$BM$303,AX$2,FALSE),"")</f>
        <v>260.95460722732287</v>
      </c>
      <c r="AY10" s="31">
        <f>IFERROR(VLOOKUP($A10,'Arranjos Consolidados'!$E$3:$BM$303,AY$2,FALSE),"")</f>
        <v>76.930878417473082</v>
      </c>
      <c r="AZ10" s="31">
        <f>IFERROR(VLOOKUP($A10,'Arranjos Consolidados'!$E$3:$BM$303,AZ$2,FALSE),"")</f>
        <v>76.676553670770744</v>
      </c>
      <c r="BA10" s="31">
        <f>IFERROR(VLOOKUP($A10,'Arranjos Consolidados'!$E$3:$BM$303,BA$2,FALSE),"")</f>
        <v>107.34717513907907</v>
      </c>
      <c r="BB10" s="31">
        <f>IFERROR(VLOOKUP($A10,'Arranjos Consolidados'!$E$3:$BM$303,BB$2,FALSE),"")</f>
        <v>0</v>
      </c>
      <c r="BC10" s="31">
        <f>IFERROR(VLOOKUP($A10,'Arranjos Consolidados'!$E$3:$BM$303,BC$2,FALSE),"")</f>
        <v>128.06206855226316</v>
      </c>
      <c r="BD10" s="31">
        <f>IFERROR(VLOOKUP($A10,'Arranjos Consolidados'!$E$3:$BM$303,BD$2,FALSE),"")</f>
        <v>44.417441137837841</v>
      </c>
      <c r="BE10" s="31">
        <f>IFERROR(VLOOKUP($A10,'Arranjos Consolidados'!$E$3:$BM$303,BE$2,FALSE),"")</f>
        <v>1.4723613094253221</v>
      </c>
      <c r="BF10" s="31">
        <f>IFERROR(VLOOKUP($A10,'Arranjos Consolidados'!$E$3:$BM$303,BF$2,FALSE),"")</f>
        <v>82.172266105000006</v>
      </c>
      <c r="BG10" s="31">
        <f>IFERROR(VLOOKUP($A10,'Arranjos Consolidados'!$E$3:$BM$303,BG$2,FALSE),"")</f>
        <v>0</v>
      </c>
      <c r="BH10" s="31">
        <f>IFERROR(VLOOKUP($A10,'Arranjos Consolidados'!$E$3:$BM$303,BH$2,FALSE),"")</f>
        <v>477.14036710582548</v>
      </c>
      <c r="BI10" s="31">
        <f>IFERROR(VLOOKUP($A10,'Arranjos Consolidados'!$E$3:$BM$303,BI$2,FALSE),"")</f>
        <v>580.49954501923889</v>
      </c>
      <c r="BJ10" s="34">
        <f>IFERROR(VLOOKUP($A10,'Arranjos Consolidados'!$E$3:$BM$303,BJ$2,FALSE),"")</f>
        <v>0.18930175321531423</v>
      </c>
      <c r="BK10" s="34">
        <f>IFERROR(VLOOKUP($A10,'Arranjos Consolidados'!$E$3:$BM$303,BK$2,FALSE),"")</f>
        <v>0.24477563257507409</v>
      </c>
    </row>
    <row r="11" spans="1:63" ht="16.5" x14ac:dyDescent="0.25">
      <c r="A11" s="24" t="s">
        <v>10568</v>
      </c>
      <c r="B11" s="32">
        <f>'Banco de Dados'!$I$29</f>
        <v>300</v>
      </c>
      <c r="C11" s="25">
        <f>'Banco de Dados'!$I$31/100</f>
        <v>0.35</v>
      </c>
      <c r="D11" s="29">
        <f>IFERROR(VLOOKUP($A11,'Arranjos Consolidados'!$E$3:$BM$303,D$2,FALSE),"")</f>
        <v>19348</v>
      </c>
      <c r="E11" s="33">
        <f>IFERROR(VLOOKUP($A11,'Arranjos Consolidados'!$E$3:$BM$303,E$2,FALSE),"")</f>
        <v>0.89711895463337699</v>
      </c>
      <c r="F11" s="29">
        <f>IFERROR(VLOOKUP($A11,'Arranjos Consolidados'!$E$3:$BM$303,F$2,FALSE),"")</f>
        <v>200</v>
      </c>
      <c r="G11" s="31">
        <f>IFERROR(VLOOKUP($A11,'Arranjos Consolidados'!$E$3:$BM$303,G$2,FALSE),"")</f>
        <v>686.70686670947396</v>
      </c>
      <c r="H11" s="34">
        <f>IFERROR(VLOOKUP($A11,'Arranjos Consolidados'!$E$3:$BM$303,H$2,FALSE),"")</f>
        <v>0.24244344634660048</v>
      </c>
      <c r="I11" s="29">
        <f>IFERROR(VLOOKUP($A11,'Arranjos Consolidados'!$E$3:$BM$303,I$2,FALSE),"")</f>
        <v>30</v>
      </c>
      <c r="J11" s="31">
        <f>IFERROR(VLOOKUP($A11,'Arranjos Consolidados'!$E$3:$BM$303,J$2,FALSE),"")</f>
        <v>207.12914756087631</v>
      </c>
      <c r="K11" s="31">
        <f>IFERROR(VLOOKUP($A11,'Arranjos Consolidados'!$E$3:$BM$303,K$2,FALSE),"")</f>
        <v>37.46242730532699</v>
      </c>
      <c r="L11" s="31">
        <f>IFERROR(VLOOKUP($A11,'Arranjos Consolidados'!$E$3:$BM$303,L$2,FALSE),"")</f>
        <v>66.408338116291915</v>
      </c>
      <c r="M11" s="31">
        <f>IFERROR(VLOOKUP($A11,'Arranjos Consolidados'!$E$3:$BM$303,M$2,FALSE),"")</f>
        <v>9.3316996721013385</v>
      </c>
      <c r="N11" s="31">
        <f>IFERROR(VLOOKUP($A11,'Arranjos Consolidados'!$E$3:$BM$303,N$2,FALSE),"")</f>
        <v>26.800745055282505</v>
      </c>
      <c r="O11" s="31">
        <f>IFERROR(VLOOKUP($A11,'Arranjos Consolidados'!$E$3:$BM$303,O$2,FALSE),"")</f>
        <v>30.275893388908059</v>
      </c>
      <c r="P11" s="31">
        <f>IFERROR(VLOOKUP($A11,'Arranjos Consolidados'!$E$3:$BM$303,P$2,FALSE),"")</f>
        <v>5.2960649647742803</v>
      </c>
      <c r="Q11" s="31">
        <f>IFERROR(VLOOKUP($A11,'Arranjos Consolidados'!$E$3:$BM$303,Q$2,FALSE),"")</f>
        <v>13.056211315353568</v>
      </c>
      <c r="R11" s="31">
        <f>IFERROR(VLOOKUP($A11,'Arranjos Consolidados'!$E$3:$BM$303,R$2,FALSE),"")</f>
        <v>11.923617108780212</v>
      </c>
      <c r="S11" s="31">
        <f>IFERROR(VLOOKUP($A11,'Arranjos Consolidados'!$E$3:$BM$303,S$2,FALSE),"")</f>
        <v>0</v>
      </c>
      <c r="T11" s="31">
        <f>IFERROR(VLOOKUP($A11,'Arranjos Consolidados'!$E$3:$BM$303,T$2,FALSE),"")</f>
        <v>0</v>
      </c>
      <c r="U11" s="31">
        <f>IFERROR(VLOOKUP($A11,'Arranjos Consolidados'!$E$3:$BM$303,U$2,FALSE),"")</f>
        <v>0</v>
      </c>
      <c r="V11" s="31">
        <f>IFERROR(VLOOKUP($A11,'Arranjos Consolidados'!$E$3:$BM$303,V$2,FALSE),"")</f>
        <v>0</v>
      </c>
      <c r="W11" s="31">
        <f>IFERROR(VLOOKUP($A11,'Arranjos Consolidados'!$E$3:$BM$303,W$2,FALSE),"")</f>
        <v>790.06604462288726</v>
      </c>
      <c r="X11" s="29">
        <f>IFERROR(VLOOKUP($A11,'Arranjos Consolidados'!$E$3:$BM$303,X$2,FALSE),"")</f>
        <v>0</v>
      </c>
      <c r="Y11" s="31">
        <f>IFERROR(VLOOKUP($A11,'Arranjos Consolidados'!$E$3:$BM$303,Y$2,FALSE),"")</f>
        <v>0</v>
      </c>
      <c r="Z11" s="29">
        <f>IFERROR(VLOOKUP($A11,'Arranjos Consolidados'!$E$3:$BM$303,Z$2,FALSE),"")</f>
        <v>0</v>
      </c>
      <c r="AA11" s="31">
        <f>IFERROR(VLOOKUP($A11,'Arranjos Consolidados'!$E$3:$BM$303,AA$2,FALSE),"")</f>
        <v>790.06604462288726</v>
      </c>
      <c r="AB11" s="31">
        <f>IFERROR(VLOOKUP($A11,'Arranjos Consolidados'!$E$3:$BM$303,AB$2,FALSE),"")</f>
        <v>103.35917791341332</v>
      </c>
      <c r="AC11" s="31">
        <f>IFERROR(VLOOKUP($A11,'Arranjos Consolidados'!$E$3:$BM$303,AC$2,FALSE),"")</f>
        <v>-17.459055886586661</v>
      </c>
      <c r="AD11" s="31">
        <f>IFERROR(VLOOKUP($A11,'Arranjos Consolidados'!$E$3:$BM$303,AD$2,FALSE),"")</f>
        <v>0</v>
      </c>
      <c r="AE11" s="31">
        <f>IFERROR(VLOOKUP($A11,'Arranjos Consolidados'!$E$3:$BM$303,AE$2,FALSE),"")</f>
        <v>0</v>
      </c>
      <c r="AF11" s="31">
        <f>IFERROR(VLOOKUP($A11,'Arranjos Consolidados'!$E$3:$BM$303,AF$2,FALSE),"")</f>
        <v>0</v>
      </c>
      <c r="AG11" s="31">
        <f>IFERROR(VLOOKUP($A11,'Arranjos Consolidados'!$E$3:$BM$303,AG$2,FALSE),"")</f>
        <v>101.46076874999996</v>
      </c>
      <c r="AH11" s="31">
        <f>IFERROR(VLOOKUP($A11,'Arranjos Consolidados'!$E$3:$BM$303,AH$2,FALSE),"")</f>
        <v>0</v>
      </c>
      <c r="AI11" s="31">
        <f>IFERROR(VLOOKUP($A11,'Arranjos Consolidados'!$E$3:$BM$303,AI$2,FALSE),"")</f>
        <v>0</v>
      </c>
      <c r="AJ11" s="31">
        <f>IFERROR(VLOOKUP($A11,'Arranjos Consolidados'!$E$3:$BM$303,AJ$2,FALSE),"")</f>
        <v>0</v>
      </c>
      <c r="AK11" s="31">
        <f>IFERROR(VLOOKUP($A11,'Arranjos Consolidados'!$E$3:$BM$303,AK$2,FALSE),"")</f>
        <v>19.357465049999991</v>
      </c>
      <c r="AL11" s="34">
        <f>IFERROR(VLOOKUP($A11,'Arranjos Consolidados'!$E$3:$BM$303,AL$2,FALSE),"")</f>
        <v>0.18118468408544289</v>
      </c>
      <c r="AM11" s="31">
        <f>IFERROR(VLOOKUP($A11,'Arranjos Consolidados'!$E$3:$BM$303,AM$2,FALSE),"")</f>
        <v>686.70686670947396</v>
      </c>
      <c r="AN11" s="31">
        <f>IFERROR(VLOOKUP($A11,'Arranjos Consolidados'!$E$3:$BM$303,AN$2,FALSE),"")</f>
        <v>0</v>
      </c>
      <c r="AO11" s="31">
        <f>IFERROR(VLOOKUP($A11,'Arranjos Consolidados'!$E$3:$BM$303,AO$2,FALSE),"")</f>
        <v>0</v>
      </c>
      <c r="AP11" s="31">
        <f>IFERROR(VLOOKUP($A11,'Arranjos Consolidados'!$E$3:$BM$303,AP$2,FALSE),"")</f>
        <v>0</v>
      </c>
      <c r="AQ11" s="31">
        <f>IFERROR(VLOOKUP($A11,'Arranjos Consolidados'!$E$3:$BM$303,AQ$2,FALSE),"")</f>
        <v>0</v>
      </c>
      <c r="AR11" s="31">
        <f>IFERROR(VLOOKUP($A11,'Arranjos Consolidados'!$E$3:$BM$303,AR$2,FALSE),"")</f>
        <v>0</v>
      </c>
      <c r="AS11" s="31">
        <f>IFERROR(VLOOKUP($A11,'Arranjos Consolidados'!$E$3:$BM$303,AS$2,FALSE),"")</f>
        <v>477.28440322437484</v>
      </c>
      <c r="AT11" s="31">
        <f>IFERROR(VLOOKUP($A11,'Arranjos Consolidados'!$E$3:$BM$303,AT$2,FALSE),"")</f>
        <v>88.221259729563968</v>
      </c>
      <c r="AU11" s="31">
        <f>IFERROR(VLOOKUP($A11,'Arranjos Consolidados'!$E$3:$BM$303,AU$2,FALSE),"")</f>
        <v>88.221259729563968</v>
      </c>
      <c r="AV11" s="31">
        <f>IFERROR(VLOOKUP($A11,'Arranjos Consolidados'!$E$3:$BM$303,AV$2,FALSE),"")</f>
        <v>0</v>
      </c>
      <c r="AW11" s="31">
        <f>IFERROR(VLOOKUP($A11,'Arranjos Consolidados'!$E$3:$BM$303,AW$2,FALSE),"")</f>
        <v>0</v>
      </c>
      <c r="AX11" s="31">
        <f>IFERROR(VLOOKUP($A11,'Arranjos Consolidados'!$E$3:$BM$303,AX$2,FALSE),"")</f>
        <v>260.99285817626981</v>
      </c>
      <c r="AY11" s="31">
        <f>IFERROR(VLOOKUP($A11,'Arranjos Consolidados'!$E$3:$BM$303,AY$2,FALSE),"")</f>
        <v>76.930878417473082</v>
      </c>
      <c r="AZ11" s="31">
        <f>IFERROR(VLOOKUP($A11,'Arranjos Consolidados'!$E$3:$BM$303,AZ$2,FALSE),"")</f>
        <v>76.692491566165288</v>
      </c>
      <c r="BA11" s="31">
        <f>IFERROR(VLOOKUP($A11,'Arranjos Consolidados'!$E$3:$BM$303,BA$2,FALSE),"")</f>
        <v>107.36948819263141</v>
      </c>
      <c r="BB11" s="31">
        <f>IFERROR(VLOOKUP($A11,'Arranjos Consolidados'!$E$3:$BM$303,BB$2,FALSE),"")</f>
        <v>0</v>
      </c>
      <c r="BC11" s="31">
        <f>IFERROR(VLOOKUP($A11,'Arranjos Consolidados'!$E$3:$BM$303,BC$2,FALSE),"")</f>
        <v>128.0702853185411</v>
      </c>
      <c r="BD11" s="31">
        <f>IFERROR(VLOOKUP($A11,'Arranjos Consolidados'!$E$3:$BM$303,BD$2,FALSE),"")</f>
        <v>44.420324213724847</v>
      </c>
      <c r="BE11" s="31">
        <f>IFERROR(VLOOKUP($A11,'Arranjos Consolidados'!$E$3:$BM$303,BE$2,FALSE),"")</f>
        <v>1.4723613094253221</v>
      </c>
      <c r="BF11" s="31">
        <f>IFERROR(VLOOKUP($A11,'Arranjos Consolidados'!$E$3:$BM$303,BF$2,FALSE),"")</f>
        <v>82.177599795390947</v>
      </c>
      <c r="BG11" s="31">
        <f>IFERROR(VLOOKUP($A11,'Arranjos Consolidados'!$E$3:$BM$303,BG$2,FALSE),"")</f>
        <v>0</v>
      </c>
      <c r="BH11" s="31">
        <f>IFERROR(VLOOKUP($A11,'Arranjos Consolidados'!$E$3:$BM$303,BH$2,FALSE),"")</f>
        <v>477.28440322437484</v>
      </c>
      <c r="BI11" s="31">
        <f>IFERROR(VLOOKUP($A11,'Arranjos Consolidados'!$E$3:$BM$303,BI$2,FALSE),"")</f>
        <v>580.64358113778815</v>
      </c>
      <c r="BJ11" s="34">
        <f>IFERROR(VLOOKUP($A11,'Arranjos Consolidados'!$E$3:$BM$303,BJ$2,FALSE),"")</f>
        <v>0.18744295367253092</v>
      </c>
      <c r="BK11" s="34">
        <f>IFERROR(VLOOKUP($A11,'Arranjos Consolidados'!$E$3:$BM$303,BK$2,FALSE),"")</f>
        <v>0.24244344634660048</v>
      </c>
    </row>
    <row r="12" spans="1:63" ht="16.5" x14ac:dyDescent="0.25">
      <c r="A12" s="24" t="s">
        <v>10012</v>
      </c>
      <c r="B12" s="32">
        <f>'Banco de Dados'!$I$29</f>
        <v>300</v>
      </c>
      <c r="C12" s="25">
        <f>'Banco de Dados'!$I$31/100</f>
        <v>0.35</v>
      </c>
      <c r="D12" s="29">
        <f>IFERROR(VLOOKUP($A12,'Arranjos Consolidados'!$E$3:$BM$303,D$2,FALSE),"")</f>
        <v>189318</v>
      </c>
      <c r="E12" s="33">
        <f>IFERROR(VLOOKUP($A12,'Arranjos Consolidados'!$E$3:$BM$303,E$2,FALSE),"")</f>
        <v>0.89712382167164706</v>
      </c>
      <c r="F12" s="29">
        <f>IFERROR(VLOOKUP($A12,'Arranjos Consolidados'!$E$3:$BM$303,F$2,FALSE),"")</f>
        <v>200</v>
      </c>
      <c r="G12" s="31">
        <f>IFERROR(VLOOKUP($A12,'Arranjos Consolidados'!$E$3:$BM$303,G$2,FALSE),"")</f>
        <v>359.67053928565883</v>
      </c>
      <c r="H12" s="34">
        <f>IFERROR(VLOOKUP($A12,'Arranjos Consolidados'!$E$3:$BM$303,H$2,FALSE),"")</f>
        <v>0.34571055132414197</v>
      </c>
      <c r="I12" s="29">
        <f>IFERROR(VLOOKUP($A12,'Arranjos Consolidados'!$E$3:$BM$303,I$2,FALSE),"")</f>
        <v>30</v>
      </c>
      <c r="J12" s="31">
        <f>IFERROR(VLOOKUP($A12,'Arranjos Consolidados'!$E$3:$BM$303,J$2,FALSE),"")</f>
        <v>90.963912203230876</v>
      </c>
      <c r="K12" s="31">
        <f>IFERROR(VLOOKUP($A12,'Arranjos Consolidados'!$E$3:$BM$303,K$2,FALSE),"")</f>
        <v>19.362802333502334</v>
      </c>
      <c r="L12" s="31">
        <f>IFERROR(VLOOKUP($A12,'Arranjos Consolidados'!$E$3:$BM$303,L$2,FALSE),"")</f>
        <v>66.408338116291901</v>
      </c>
      <c r="M12" s="31">
        <f>IFERROR(VLOOKUP($A12,'Arranjos Consolidados'!$E$3:$BM$303,M$2,FALSE),"")</f>
        <v>9.3316996721013332</v>
      </c>
      <c r="N12" s="31">
        <f>IFERROR(VLOOKUP($A12,'Arranjos Consolidados'!$E$3:$BM$303,N$2,FALSE),"")</f>
        <v>26.800745055282508</v>
      </c>
      <c r="O12" s="31">
        <f>IFERROR(VLOOKUP($A12,'Arranjos Consolidados'!$E$3:$BM$303,O$2,FALSE),"")</f>
        <v>30.275893388908067</v>
      </c>
      <c r="P12" s="31">
        <f>IFERROR(VLOOKUP($A12,'Arranjos Consolidados'!$E$3:$BM$303,P$2,FALSE),"")</f>
        <v>5.2960649647742803</v>
      </c>
      <c r="Q12" s="31">
        <f>IFERROR(VLOOKUP($A12,'Arranjos Consolidados'!$E$3:$BM$303,Q$2,FALSE),"")</f>
        <v>13.056211315353574</v>
      </c>
      <c r="R12" s="31">
        <f>IFERROR(VLOOKUP($A12,'Arranjos Consolidados'!$E$3:$BM$303,R$2,FALSE),"")</f>
        <v>11.92361710878021</v>
      </c>
      <c r="S12" s="31">
        <f>IFERROR(VLOOKUP($A12,'Arranjos Consolidados'!$E$3:$BM$303,S$2,FALSE),"")</f>
        <v>0</v>
      </c>
      <c r="T12" s="31">
        <f>IFERROR(VLOOKUP($A12,'Arranjos Consolidados'!$E$3:$BM$303,T$2,FALSE),"")</f>
        <v>0</v>
      </c>
      <c r="U12" s="31">
        <f>IFERROR(VLOOKUP($A12,'Arranjos Consolidados'!$E$3:$BM$303,U$2,FALSE),"")</f>
        <v>0</v>
      </c>
      <c r="V12" s="31">
        <f>IFERROR(VLOOKUP($A12,'Arranjos Consolidados'!$E$3:$BM$303,V$2,FALSE),"")</f>
        <v>0</v>
      </c>
      <c r="W12" s="31">
        <f>IFERROR(VLOOKUP($A12,'Arranjos Consolidados'!$E$3:$BM$303,W$2,FALSE),"")</f>
        <v>443.67225214907216</v>
      </c>
      <c r="X12" s="29">
        <f>IFERROR(VLOOKUP($A12,'Arranjos Consolidados'!$E$3:$BM$303,X$2,FALSE),"")</f>
        <v>0</v>
      </c>
      <c r="Y12" s="31">
        <f>IFERROR(VLOOKUP($A12,'Arranjos Consolidados'!$E$3:$BM$303,Y$2,FALSE),"")</f>
        <v>0</v>
      </c>
      <c r="Z12" s="29">
        <f>IFERROR(VLOOKUP($A12,'Arranjos Consolidados'!$E$3:$BM$303,Z$2,FALSE),"")</f>
        <v>0</v>
      </c>
      <c r="AA12" s="31">
        <f>IFERROR(VLOOKUP($A12,'Arranjos Consolidados'!$E$3:$BM$303,AA$2,FALSE),"")</f>
        <v>443.67225214907216</v>
      </c>
      <c r="AB12" s="31">
        <f>IFERROR(VLOOKUP($A12,'Arranjos Consolidados'!$E$3:$BM$303,AB$2,FALSE),"")</f>
        <v>84.001712863413331</v>
      </c>
      <c r="AC12" s="31">
        <f>IFERROR(VLOOKUP($A12,'Arranjos Consolidados'!$E$3:$BM$303,AC$2,FALSE),"")</f>
        <v>-17.459055886586672</v>
      </c>
      <c r="AD12" s="31">
        <f>IFERROR(VLOOKUP($A12,'Arranjos Consolidados'!$E$3:$BM$303,AD$2,FALSE),"")</f>
        <v>0</v>
      </c>
      <c r="AE12" s="31">
        <f>IFERROR(VLOOKUP($A12,'Arranjos Consolidados'!$E$3:$BM$303,AE$2,FALSE),"")</f>
        <v>0</v>
      </c>
      <c r="AF12" s="31">
        <f>IFERROR(VLOOKUP($A12,'Arranjos Consolidados'!$E$3:$BM$303,AF$2,FALSE),"")</f>
        <v>0</v>
      </c>
      <c r="AG12" s="31">
        <f>IFERROR(VLOOKUP($A12,'Arranjos Consolidados'!$E$3:$BM$303,AG$2,FALSE),"")</f>
        <v>101.46076875000003</v>
      </c>
      <c r="AH12" s="31">
        <f>IFERROR(VLOOKUP($A12,'Arranjos Consolidados'!$E$3:$BM$303,AH$2,FALSE),"")</f>
        <v>0</v>
      </c>
      <c r="AI12" s="31">
        <f>IFERROR(VLOOKUP($A12,'Arranjos Consolidados'!$E$3:$BM$303,AI$2,FALSE),"")</f>
        <v>0</v>
      </c>
      <c r="AJ12" s="31">
        <f>IFERROR(VLOOKUP($A12,'Arranjos Consolidados'!$E$3:$BM$303,AJ$2,FALSE),"")</f>
        <v>0</v>
      </c>
      <c r="AK12" s="31">
        <f>IFERROR(VLOOKUP($A12,'Arranjos Consolidados'!$E$3:$BM$303,AK$2,FALSE),"")</f>
        <v>0</v>
      </c>
      <c r="AL12" s="34">
        <f>IFERROR(VLOOKUP($A12,'Arranjos Consolidados'!$E$3:$BM$303,AL$2,FALSE),"")</f>
        <v>0.18933280694594595</v>
      </c>
      <c r="AM12" s="31">
        <f>IFERROR(VLOOKUP($A12,'Arranjos Consolidados'!$E$3:$BM$303,AM$2,FALSE),"")</f>
        <v>359.67053928565883</v>
      </c>
      <c r="AN12" s="31">
        <f>IFERROR(VLOOKUP($A12,'Arranjos Consolidados'!$E$3:$BM$303,AN$2,FALSE),"")</f>
        <v>0</v>
      </c>
      <c r="AO12" s="31">
        <f>IFERROR(VLOOKUP($A12,'Arranjos Consolidados'!$E$3:$BM$303,AO$2,FALSE),"")</f>
        <v>0</v>
      </c>
      <c r="AP12" s="31">
        <f>IFERROR(VLOOKUP($A12,'Arranjos Consolidados'!$E$3:$BM$303,AP$2,FALSE),"")</f>
        <v>0</v>
      </c>
      <c r="AQ12" s="31">
        <f>IFERROR(VLOOKUP($A12,'Arranjos Consolidados'!$E$3:$BM$303,AQ$2,FALSE),"")</f>
        <v>0</v>
      </c>
      <c r="AR12" s="31">
        <f>IFERROR(VLOOKUP($A12,'Arranjos Consolidados'!$E$3:$BM$303,AR$2,FALSE),"")</f>
        <v>0</v>
      </c>
      <c r="AS12" s="31">
        <f>IFERROR(VLOOKUP($A12,'Arranjos Consolidados'!$E$3:$BM$303,AS$2,FALSE),"")</f>
        <v>284.01243971715542</v>
      </c>
      <c r="AT12" s="31">
        <f>IFERROR(VLOOKUP($A12,'Arranjos Consolidados'!$E$3:$BM$303,AT$2,FALSE),"")</f>
        <v>59.642499999999984</v>
      </c>
      <c r="AU12" s="31">
        <f>IFERROR(VLOOKUP($A12,'Arranjos Consolidados'!$E$3:$BM$303,AU$2,FALSE),"")</f>
        <v>59.642499999999984</v>
      </c>
      <c r="AV12" s="31">
        <f>IFERROR(VLOOKUP($A12,'Arranjos Consolidados'!$E$3:$BM$303,AV$2,FALSE),"")</f>
        <v>0</v>
      </c>
      <c r="AW12" s="31">
        <f>IFERROR(VLOOKUP($A12,'Arranjos Consolidados'!$E$3:$BM$303,AW$2,FALSE),"")</f>
        <v>0</v>
      </c>
      <c r="AX12" s="31">
        <f>IFERROR(VLOOKUP($A12,'Arranjos Consolidados'!$E$3:$BM$303,AX$2,FALSE),"")</f>
        <v>157.18636701264873</v>
      </c>
      <c r="AY12" s="31">
        <f>IFERROR(VLOOKUP($A12,'Arranjos Consolidados'!$E$3:$BM$303,AY$2,FALSE),"")</f>
        <v>76.930878417473096</v>
      </c>
      <c r="AZ12" s="31">
        <f>IFERROR(VLOOKUP($A12,'Arranjos Consolidados'!$E$3:$BM$303,AZ$2,FALSE),"")</f>
        <v>33.439786914656516</v>
      </c>
      <c r="BA12" s="31">
        <f>IFERROR(VLOOKUP($A12,'Arranjos Consolidados'!$E$3:$BM$303,BA$2,FALSE),"")</f>
        <v>46.815701680519119</v>
      </c>
      <c r="BB12" s="31">
        <f>IFERROR(VLOOKUP($A12,'Arranjos Consolidados'!$E$3:$BM$303,BB$2,FALSE),"")</f>
        <v>0</v>
      </c>
      <c r="BC12" s="31">
        <f>IFERROR(VLOOKUP($A12,'Arranjos Consolidados'!$E$3:$BM$303,BC$2,FALSE),"")</f>
        <v>67.183572704506716</v>
      </c>
      <c r="BD12" s="31">
        <f>IFERROR(VLOOKUP($A12,'Arranjos Consolidados'!$E$3:$BM$303,BD$2,FALSE),"")</f>
        <v>23.056565401782947</v>
      </c>
      <c r="BE12" s="31">
        <f>IFERROR(VLOOKUP($A12,'Arranjos Consolidados'!$E$3:$BM$303,BE$2,FALSE),"")</f>
        <v>1.4723613094253225</v>
      </c>
      <c r="BF12" s="31">
        <f>IFERROR(VLOOKUP($A12,'Arranjos Consolidados'!$E$3:$BM$303,BF$2,FALSE),"")</f>
        <v>42.654645993298445</v>
      </c>
      <c r="BG12" s="31">
        <f>IFERROR(VLOOKUP($A12,'Arranjos Consolidados'!$E$3:$BM$303,BG$2,FALSE),"")</f>
        <v>0</v>
      </c>
      <c r="BH12" s="31">
        <f>IFERROR(VLOOKUP($A12,'Arranjos Consolidados'!$E$3:$BM$303,BH$2,FALSE),"")</f>
        <v>284.01243971715542</v>
      </c>
      <c r="BI12" s="31">
        <f>IFERROR(VLOOKUP($A12,'Arranjos Consolidados'!$E$3:$BM$303,BI$2,FALSE),"")</f>
        <v>368.01415258056875</v>
      </c>
      <c r="BJ12" s="34">
        <f>IFERROR(VLOOKUP($A12,'Arranjos Consolidados'!$E$3:$BM$303,BJ$2,FALSE),"")</f>
        <v>0.2802562022511117</v>
      </c>
      <c r="BK12" s="34">
        <f>IFERROR(VLOOKUP($A12,'Arranjos Consolidados'!$E$3:$BM$303,BK$2,FALSE),"")</f>
        <v>0.34571055132414197</v>
      </c>
    </row>
    <row r="13" spans="1:63" ht="16.5" x14ac:dyDescent="0.25">
      <c r="A13" s="24" t="s">
        <v>10015</v>
      </c>
      <c r="B13" s="32">
        <f>'Banco de Dados'!$I$29</f>
        <v>300</v>
      </c>
      <c r="C13" s="25">
        <f>'Banco de Dados'!$I$31/100</f>
        <v>0.35</v>
      </c>
      <c r="D13" s="29">
        <f>IFERROR(VLOOKUP($A13,'Arranjos Consolidados'!$E$3:$BM$303,D$2,FALSE),"")</f>
        <v>187889</v>
      </c>
      <c r="E13" s="33">
        <f>IFERROR(VLOOKUP($A13,'Arranjos Consolidados'!$E$3:$BM$303,E$2,FALSE),"")</f>
        <v>0.89712274742220655</v>
      </c>
      <c r="F13" s="29">
        <f>IFERROR(VLOOKUP($A13,'Arranjos Consolidados'!$E$3:$BM$303,F$2,FALSE),"")</f>
        <v>199.99999999999997</v>
      </c>
      <c r="G13" s="31">
        <f>IFERROR(VLOOKUP($A13,'Arranjos Consolidados'!$E$3:$BM$303,G$2,FALSE),"")</f>
        <v>456.81883934023995</v>
      </c>
      <c r="H13" s="34">
        <f>IFERROR(VLOOKUP($A13,'Arranjos Consolidados'!$E$3:$BM$303,H$2,FALSE),"")</f>
        <v>0.33162385365546276</v>
      </c>
      <c r="I13" s="29">
        <f>IFERROR(VLOOKUP($A13,'Arranjos Consolidados'!$E$3:$BM$303,I$2,FALSE),"")</f>
        <v>30</v>
      </c>
      <c r="J13" s="31">
        <f>IFERROR(VLOOKUP($A13,'Arranjos Consolidados'!$E$3:$BM$303,J$2,FALSE),"")</f>
        <v>100.65449364441511</v>
      </c>
      <c r="K13" s="31">
        <f>IFERROR(VLOOKUP($A13,'Arranjos Consolidados'!$E$3:$BM$303,K$2,FALSE),"")</f>
        <v>24.33077533626653</v>
      </c>
      <c r="L13" s="31">
        <f>IFERROR(VLOOKUP($A13,'Arranjos Consolidados'!$E$3:$BM$303,L$2,FALSE),"")</f>
        <v>66.408338116291887</v>
      </c>
      <c r="M13" s="31">
        <f>IFERROR(VLOOKUP($A13,'Arranjos Consolidados'!$E$3:$BM$303,M$2,FALSE),"")</f>
        <v>9.3546983381860684</v>
      </c>
      <c r="N13" s="31">
        <f>IFERROR(VLOOKUP($A13,'Arranjos Consolidados'!$E$3:$BM$303,N$2,FALSE),"")</f>
        <v>26.792531245966526</v>
      </c>
      <c r="O13" s="31">
        <f>IFERROR(VLOOKUP($A13,'Arranjos Consolidados'!$E$3:$BM$303,O$2,FALSE),"")</f>
        <v>30.261108532139296</v>
      </c>
      <c r="P13" s="31">
        <f>IFERROR(VLOOKUP($A13,'Arranjos Consolidados'!$E$3:$BM$303,P$2,FALSE),"")</f>
        <v>5.2960649647742786</v>
      </c>
      <c r="Q13" s="31">
        <f>IFERROR(VLOOKUP($A13,'Arranjos Consolidados'!$E$3:$BM$303,Q$2,FALSE),"")</f>
        <v>13.041426458584809</v>
      </c>
      <c r="R13" s="31">
        <f>IFERROR(VLOOKUP($A13,'Arranjos Consolidados'!$E$3:$BM$303,R$2,FALSE),"")</f>
        <v>11.923617108780212</v>
      </c>
      <c r="S13" s="31">
        <f>IFERROR(VLOOKUP($A13,'Arranjos Consolidados'!$E$3:$BM$303,S$2,FALSE),"")</f>
        <v>0</v>
      </c>
      <c r="T13" s="31">
        <f>IFERROR(VLOOKUP($A13,'Arranjos Consolidados'!$E$3:$BM$303,T$2,FALSE),"")</f>
        <v>60.880376139230698</v>
      </c>
      <c r="U13" s="31">
        <f>IFERROR(VLOOKUP($A13,'Arranjos Consolidados'!$E$3:$BM$303,U$2,FALSE),"")</f>
        <v>0</v>
      </c>
      <c r="V13" s="31">
        <f>IFERROR(VLOOKUP($A13,'Arranjos Consolidados'!$E$3:$BM$303,V$2,FALSE),"")</f>
        <v>0</v>
      </c>
      <c r="W13" s="31">
        <f>IFERROR(VLOOKUP($A13,'Arranjos Consolidados'!$E$3:$BM$303,W$2,FALSE),"")</f>
        <v>541.26062685062061</v>
      </c>
      <c r="X13" s="29">
        <f>IFERROR(VLOOKUP($A13,'Arranjos Consolidados'!$E$3:$BM$303,X$2,FALSE),"")</f>
        <v>0</v>
      </c>
      <c r="Y13" s="31">
        <f>IFERROR(VLOOKUP($A13,'Arranjos Consolidados'!$E$3:$BM$303,Y$2,FALSE),"")</f>
        <v>0</v>
      </c>
      <c r="Z13" s="29">
        <f>IFERROR(VLOOKUP($A13,'Arranjos Consolidados'!$E$3:$BM$303,Z$2,FALSE),"")</f>
        <v>0</v>
      </c>
      <c r="AA13" s="31">
        <f>IFERROR(VLOOKUP($A13,'Arranjos Consolidados'!$E$3:$BM$303,AA$2,FALSE),"")</f>
        <v>541.26062685062061</v>
      </c>
      <c r="AB13" s="31">
        <f>IFERROR(VLOOKUP($A13,'Arranjos Consolidados'!$E$3:$BM$303,AB$2,FALSE),"")</f>
        <v>84.441787510380649</v>
      </c>
      <c r="AC13" s="31">
        <f>IFERROR(VLOOKUP($A13,'Arranjos Consolidados'!$E$3:$BM$303,AC$2,FALSE),"")</f>
        <v>-17.327251626598247</v>
      </c>
      <c r="AD13" s="31">
        <f>IFERROR(VLOOKUP($A13,'Arranjos Consolidados'!$E$3:$BM$303,AD$2,FALSE),"")</f>
        <v>0</v>
      </c>
      <c r="AE13" s="31">
        <f>IFERROR(VLOOKUP($A13,'Arranjos Consolidados'!$E$3:$BM$303,AE$2,FALSE),"")</f>
        <v>0</v>
      </c>
      <c r="AF13" s="31">
        <f>IFERROR(VLOOKUP($A13,'Arranjos Consolidados'!$E$3:$BM$303,AF$2,FALSE),"")</f>
        <v>0.30827038697890718</v>
      </c>
      <c r="AG13" s="31">
        <f>IFERROR(VLOOKUP($A13,'Arranjos Consolidados'!$E$3:$BM$303,AG$2,FALSE),"")</f>
        <v>101.46076874999999</v>
      </c>
      <c r="AH13" s="31">
        <f>IFERROR(VLOOKUP($A13,'Arranjos Consolidados'!$E$3:$BM$303,AH$2,FALSE),"")</f>
        <v>0</v>
      </c>
      <c r="AI13" s="31">
        <f>IFERROR(VLOOKUP($A13,'Arranjos Consolidados'!$E$3:$BM$303,AI$2,FALSE),"")</f>
        <v>0</v>
      </c>
      <c r="AJ13" s="31">
        <f>IFERROR(VLOOKUP($A13,'Arranjos Consolidados'!$E$3:$BM$303,AJ$2,FALSE),"")</f>
        <v>0</v>
      </c>
      <c r="AK13" s="31">
        <f>IFERROR(VLOOKUP($A13,'Arranjos Consolidados'!$E$3:$BM$303,AK$2,FALSE),"")</f>
        <v>0</v>
      </c>
      <c r="AL13" s="34">
        <f>IFERROR(VLOOKUP($A13,'Arranjos Consolidados'!$E$3:$BM$303,AL$2,FALSE),"")</f>
        <v>0.18712029400721356</v>
      </c>
      <c r="AM13" s="31">
        <f>IFERROR(VLOOKUP($A13,'Arranjos Consolidados'!$E$3:$BM$303,AM$2,FALSE),"")</f>
        <v>456.81883934023995</v>
      </c>
      <c r="AN13" s="31">
        <f>IFERROR(VLOOKUP($A13,'Arranjos Consolidados'!$E$3:$BM$303,AN$2,FALSE),"")</f>
        <v>0.30827038697890718</v>
      </c>
      <c r="AO13" s="31">
        <f>IFERROR(VLOOKUP($A13,'Arranjos Consolidados'!$E$3:$BM$303,AO$2,FALSE),"")</f>
        <v>0</v>
      </c>
      <c r="AP13" s="31">
        <f>IFERROR(VLOOKUP($A13,'Arranjos Consolidados'!$E$3:$BM$303,AP$2,FALSE),"")</f>
        <v>0</v>
      </c>
      <c r="AQ13" s="31">
        <f>IFERROR(VLOOKUP($A13,'Arranjos Consolidados'!$E$3:$BM$303,AQ$2,FALSE),"")</f>
        <v>0</v>
      </c>
      <c r="AR13" s="31">
        <f>IFERROR(VLOOKUP($A13,'Arranjos Consolidados'!$E$3:$BM$303,AR$2,FALSE),"")</f>
        <v>0.30827038697890718</v>
      </c>
      <c r="AS13" s="31">
        <f>IFERROR(VLOOKUP($A13,'Arranjos Consolidados'!$E$3:$BM$303,AS$2,FALSE),"")</f>
        <v>297.82021483158007</v>
      </c>
      <c r="AT13" s="31">
        <f>IFERROR(VLOOKUP($A13,'Arranjos Consolidados'!$E$3:$BM$303,AT$2,FALSE),"")</f>
        <v>59.654868641572669</v>
      </c>
      <c r="AU13" s="31">
        <f>IFERROR(VLOOKUP($A13,'Arranjos Consolidados'!$E$3:$BM$303,AU$2,FALSE),"")</f>
        <v>59.654868641572669</v>
      </c>
      <c r="AV13" s="31">
        <f>IFERROR(VLOOKUP($A13,'Arranjos Consolidados'!$E$3:$BM$303,AV$2,FALSE),"")</f>
        <v>0</v>
      </c>
      <c r="AW13" s="31">
        <f>IFERROR(VLOOKUP($A13,'Arranjos Consolidados'!$E$3:$BM$303,AW$2,FALSE),"")</f>
        <v>0</v>
      </c>
      <c r="AX13" s="31">
        <f>IFERROR(VLOOKUP($A13,'Arranjos Consolidados'!$E$3:$BM$303,AX$2,FALSE),"")</f>
        <v>157.13814072772288</v>
      </c>
      <c r="AY13" s="31">
        <f>IFERROR(VLOOKUP($A13,'Arranjos Consolidados'!$E$3:$BM$303,AY$2,FALSE),"")</f>
        <v>76.930878417473082</v>
      </c>
      <c r="AZ13" s="31">
        <f>IFERROR(VLOOKUP($A13,'Arranjos Consolidados'!$E$3:$BM$303,AZ$2,FALSE),"")</f>
        <v>33.419692629270756</v>
      </c>
      <c r="BA13" s="31">
        <f>IFERROR(VLOOKUP($A13,'Arranjos Consolidados'!$E$3:$BM$303,BA$2,FALSE),"")</f>
        <v>46.78756968097904</v>
      </c>
      <c r="BB13" s="31">
        <f>IFERROR(VLOOKUP($A13,'Arranjos Consolidados'!$E$3:$BM$303,BB$2,FALSE),"")</f>
        <v>0</v>
      </c>
      <c r="BC13" s="31">
        <f>IFERROR(VLOOKUP($A13,'Arranjos Consolidados'!$E$3:$BM$303,BC$2,FALSE),"")</f>
        <v>81.027205462284527</v>
      </c>
      <c r="BD13" s="31">
        <f>IFERROR(VLOOKUP($A13,'Arranjos Consolidados'!$E$3:$BM$303,BD$2,FALSE),"")</f>
        <v>27.913980404511999</v>
      </c>
      <c r="BE13" s="31">
        <f>IFERROR(VLOOKUP($A13,'Arranjos Consolidados'!$E$3:$BM$303,BE$2,FALSE),"")</f>
        <v>1.4723613094253218</v>
      </c>
      <c r="BF13" s="31">
        <f>IFERROR(VLOOKUP($A13,'Arranjos Consolidados'!$E$3:$BM$303,BF$2,FALSE),"")</f>
        <v>51.640863748347186</v>
      </c>
      <c r="BG13" s="31">
        <f>IFERROR(VLOOKUP($A13,'Arranjos Consolidados'!$E$3:$BM$303,BG$2,FALSE),"")</f>
        <v>0</v>
      </c>
      <c r="BH13" s="31">
        <f>IFERROR(VLOOKUP($A13,'Arranjos Consolidados'!$E$3:$BM$303,BH$2,FALSE),"")</f>
        <v>298.12848521855898</v>
      </c>
      <c r="BI13" s="31">
        <f>IFERROR(VLOOKUP($A13,'Arranjos Consolidados'!$E$3:$BM$303,BI$2,FALSE),"")</f>
        <v>382.57027272893964</v>
      </c>
      <c r="BJ13" s="34">
        <f>IFERROR(VLOOKUP($A13,'Arranjos Consolidados'!$E$3:$BM$303,BJ$2,FALSE),"")</f>
        <v>0.26801684135272302</v>
      </c>
      <c r="BK13" s="34">
        <f>IFERROR(VLOOKUP($A13,'Arranjos Consolidados'!$E$3:$BM$303,BK$2,FALSE),"")</f>
        <v>0.33162385365546276</v>
      </c>
    </row>
    <row r="14" spans="1:63" ht="16.5" x14ac:dyDescent="0.25">
      <c r="A14" s="24" t="s">
        <v>10016</v>
      </c>
      <c r="B14" s="32">
        <f>'Banco de Dados'!$I$29</f>
        <v>300</v>
      </c>
      <c r="C14" s="25">
        <f>'Banco de Dados'!$I$31/100</f>
        <v>0.35</v>
      </c>
      <c r="D14" s="29">
        <f>IFERROR(VLOOKUP($A14,'Arranjos Consolidados'!$E$3:$BM$303,D$2,FALSE),"")</f>
        <v>170314</v>
      </c>
      <c r="E14" s="33">
        <f>IFERROR(VLOOKUP($A14,'Arranjos Consolidados'!$E$3:$BM$303,E$2,FALSE),"")</f>
        <v>0.89712419976575097</v>
      </c>
      <c r="F14" s="29">
        <f>IFERROR(VLOOKUP($A14,'Arranjos Consolidados'!$E$3:$BM$303,F$2,FALSE),"")</f>
        <v>200</v>
      </c>
      <c r="G14" s="31">
        <f>IFERROR(VLOOKUP($A14,'Arranjos Consolidados'!$E$3:$BM$303,G$2,FALSE),"")</f>
        <v>633.41021931807563</v>
      </c>
      <c r="H14" s="34">
        <f>IFERROR(VLOOKUP($A14,'Arranjos Consolidados'!$E$3:$BM$303,H$2,FALSE),"")</f>
        <v>0.20032435709683197</v>
      </c>
      <c r="I14" s="29">
        <f>IFERROR(VLOOKUP($A14,'Arranjos Consolidados'!$E$3:$BM$303,I$2,FALSE),"")</f>
        <v>30</v>
      </c>
      <c r="J14" s="31">
        <f>IFERROR(VLOOKUP($A14,'Arranjos Consolidados'!$E$3:$BM$303,J$2,FALSE),"")</f>
        <v>140.656349535022</v>
      </c>
      <c r="K14" s="31">
        <f>IFERROR(VLOOKUP($A14,'Arranjos Consolidados'!$E$3:$BM$303,K$2,FALSE),"")</f>
        <v>32.336267738078092</v>
      </c>
      <c r="L14" s="31">
        <f>IFERROR(VLOOKUP($A14,'Arranjos Consolidados'!$E$3:$BM$303,L$2,FALSE),"")</f>
        <v>66.408338116291901</v>
      </c>
      <c r="M14" s="31">
        <f>IFERROR(VLOOKUP($A14,'Arranjos Consolidados'!$E$3:$BM$303,M$2,FALSE),"")</f>
        <v>9.3316996721013368</v>
      </c>
      <c r="N14" s="31">
        <f>IFERROR(VLOOKUP($A14,'Arranjos Consolidados'!$E$3:$BM$303,N$2,FALSE),"")</f>
        <v>26.800745055282505</v>
      </c>
      <c r="O14" s="31">
        <f>IFERROR(VLOOKUP($A14,'Arranjos Consolidados'!$E$3:$BM$303,O$2,FALSE),"")</f>
        <v>30.275893388908056</v>
      </c>
      <c r="P14" s="31">
        <f>IFERROR(VLOOKUP($A14,'Arranjos Consolidados'!$E$3:$BM$303,P$2,FALSE),"")</f>
        <v>5.2960649647742786</v>
      </c>
      <c r="Q14" s="31">
        <f>IFERROR(VLOOKUP($A14,'Arranjos Consolidados'!$E$3:$BM$303,Q$2,FALSE),"")</f>
        <v>13.056211315353568</v>
      </c>
      <c r="R14" s="31">
        <f>IFERROR(VLOOKUP($A14,'Arranjos Consolidados'!$E$3:$BM$303,R$2,FALSE),"")</f>
        <v>11.92361710878021</v>
      </c>
      <c r="S14" s="31">
        <f>IFERROR(VLOOKUP($A14,'Arranjos Consolidados'!$E$3:$BM$303,S$2,FALSE),"")</f>
        <v>0</v>
      </c>
      <c r="T14" s="31">
        <f>IFERROR(VLOOKUP($A14,'Arranjos Consolidados'!$E$3:$BM$303,T$2,FALSE),"")</f>
        <v>0</v>
      </c>
      <c r="U14" s="31">
        <f>IFERROR(VLOOKUP($A14,'Arranjos Consolidados'!$E$3:$BM$303,U$2,FALSE),"")</f>
        <v>0</v>
      </c>
      <c r="V14" s="31">
        <f>IFERROR(VLOOKUP($A14,'Arranjos Consolidados'!$E$3:$BM$303,V$2,FALSE),"")</f>
        <v>0</v>
      </c>
      <c r="W14" s="31">
        <f>IFERROR(VLOOKUP($A14,'Arranjos Consolidados'!$E$3:$BM$303,W$2,FALSE),"")</f>
        <v>717.41193218148885</v>
      </c>
      <c r="X14" s="29">
        <f>IFERROR(VLOOKUP($A14,'Arranjos Consolidados'!$E$3:$BM$303,X$2,FALSE),"")</f>
        <v>0</v>
      </c>
      <c r="Y14" s="31">
        <f>IFERROR(VLOOKUP($A14,'Arranjos Consolidados'!$E$3:$BM$303,Y$2,FALSE),"")</f>
        <v>0</v>
      </c>
      <c r="Z14" s="29">
        <f>IFERROR(VLOOKUP($A14,'Arranjos Consolidados'!$E$3:$BM$303,Z$2,FALSE),"")</f>
        <v>0</v>
      </c>
      <c r="AA14" s="31">
        <f>IFERROR(VLOOKUP($A14,'Arranjos Consolidados'!$E$3:$BM$303,AA$2,FALSE),"")</f>
        <v>717.41193218148885</v>
      </c>
      <c r="AB14" s="31">
        <f>IFERROR(VLOOKUP($A14,'Arranjos Consolidados'!$E$3:$BM$303,AB$2,FALSE),"")</f>
        <v>84.001712863413346</v>
      </c>
      <c r="AC14" s="31">
        <f>IFERROR(VLOOKUP($A14,'Arranjos Consolidados'!$E$3:$BM$303,AC$2,FALSE),"")</f>
        <v>-17.459055886586668</v>
      </c>
      <c r="AD14" s="31">
        <f>IFERROR(VLOOKUP($A14,'Arranjos Consolidados'!$E$3:$BM$303,AD$2,FALSE),"")</f>
        <v>0</v>
      </c>
      <c r="AE14" s="31">
        <f>IFERROR(VLOOKUP($A14,'Arranjos Consolidados'!$E$3:$BM$303,AE$2,FALSE),"")</f>
        <v>0</v>
      </c>
      <c r="AF14" s="31">
        <f>IFERROR(VLOOKUP($A14,'Arranjos Consolidados'!$E$3:$BM$303,AF$2,FALSE),"")</f>
        <v>0</v>
      </c>
      <c r="AG14" s="31">
        <f>IFERROR(VLOOKUP($A14,'Arranjos Consolidados'!$E$3:$BM$303,AG$2,FALSE),"")</f>
        <v>101.46076875000001</v>
      </c>
      <c r="AH14" s="31">
        <f>IFERROR(VLOOKUP($A14,'Arranjos Consolidados'!$E$3:$BM$303,AH$2,FALSE),"")</f>
        <v>0</v>
      </c>
      <c r="AI14" s="31">
        <f>IFERROR(VLOOKUP($A14,'Arranjos Consolidados'!$E$3:$BM$303,AI$2,FALSE),"")</f>
        <v>0</v>
      </c>
      <c r="AJ14" s="31">
        <f>IFERROR(VLOOKUP($A14,'Arranjos Consolidados'!$E$3:$BM$303,AJ$2,FALSE),"")</f>
        <v>0</v>
      </c>
      <c r="AK14" s="31">
        <f>IFERROR(VLOOKUP($A14,'Arranjos Consolidados'!$E$3:$BM$303,AK$2,FALSE),"")</f>
        <v>0</v>
      </c>
      <c r="AL14" s="34">
        <f>IFERROR(VLOOKUP($A14,'Arranjos Consolidados'!$E$3:$BM$303,AL$2,FALSE),"")</f>
        <v>0.16241149860139539</v>
      </c>
      <c r="AM14" s="31">
        <f>IFERROR(VLOOKUP($A14,'Arranjos Consolidados'!$E$3:$BM$303,AM$2,FALSE),"")</f>
        <v>633.41021931807563</v>
      </c>
      <c r="AN14" s="31">
        <f>IFERROR(VLOOKUP($A14,'Arranjos Consolidados'!$E$3:$BM$303,AN$2,FALSE),"")</f>
        <v>0</v>
      </c>
      <c r="AO14" s="31">
        <f>IFERROR(VLOOKUP($A14,'Arranjos Consolidados'!$E$3:$BM$303,AO$2,FALSE),"")</f>
        <v>0</v>
      </c>
      <c r="AP14" s="31">
        <f>IFERROR(VLOOKUP($A14,'Arranjos Consolidados'!$E$3:$BM$303,AP$2,FALSE),"")</f>
        <v>0</v>
      </c>
      <c r="AQ14" s="31">
        <f>IFERROR(VLOOKUP($A14,'Arranjos Consolidados'!$E$3:$BM$303,AQ$2,FALSE),"")</f>
        <v>0</v>
      </c>
      <c r="AR14" s="31">
        <f>IFERROR(VLOOKUP($A14,'Arranjos Consolidados'!$E$3:$BM$303,AR$2,FALSE),"")</f>
        <v>0</v>
      </c>
      <c r="AS14" s="31">
        <f>IFERROR(VLOOKUP($A14,'Arranjos Consolidados'!$E$3:$BM$303,AS$2,FALSE),"")</f>
        <v>399.58627141136611</v>
      </c>
      <c r="AT14" s="31">
        <f>IFERROR(VLOOKUP($A14,'Arranjos Consolidados'!$E$3:$BM$303,AT$2,FALSE),"")</f>
        <v>59.642499999999998</v>
      </c>
      <c r="AU14" s="31">
        <f>IFERROR(VLOOKUP($A14,'Arranjos Consolidados'!$E$3:$BM$303,AU$2,FALSE),"")</f>
        <v>59.642499999999998</v>
      </c>
      <c r="AV14" s="31">
        <f>IFERROR(VLOOKUP($A14,'Arranjos Consolidados'!$E$3:$BM$303,AV$2,FALSE),"")</f>
        <v>0</v>
      </c>
      <c r="AW14" s="31">
        <f>IFERROR(VLOOKUP($A14,'Arranjos Consolidados'!$E$3:$BM$303,AW$2,FALSE),"")</f>
        <v>0</v>
      </c>
      <c r="AX14" s="31">
        <f>IFERROR(VLOOKUP($A14,'Arranjos Consolidados'!$E$3:$BM$303,AX$2,FALSE),"")</f>
        <v>233.75229430224005</v>
      </c>
      <c r="AY14" s="31">
        <f>IFERROR(VLOOKUP($A14,'Arranjos Consolidados'!$E$3:$BM$303,AY$2,FALSE),"")</f>
        <v>76.930878417473082</v>
      </c>
      <c r="AZ14" s="31">
        <f>IFERROR(VLOOKUP($A14,'Arranjos Consolidados'!$E$3:$BM$303,AZ$2,FALSE),"")</f>
        <v>65.342256618652911</v>
      </c>
      <c r="BA14" s="31">
        <f>IFERROR(VLOOKUP($A14,'Arranjos Consolidados'!$E$3:$BM$303,BA$2,FALSE),"")</f>
        <v>91.479159266114067</v>
      </c>
      <c r="BB14" s="31">
        <f>IFERROR(VLOOKUP($A14,'Arranjos Consolidados'!$E$3:$BM$303,BB$2,FALSE),"")</f>
        <v>0</v>
      </c>
      <c r="BC14" s="31">
        <f>IFERROR(VLOOKUP($A14,'Arranjos Consolidados'!$E$3:$BM$303,BC$2,FALSE),"")</f>
        <v>106.19147710912608</v>
      </c>
      <c r="BD14" s="31">
        <f>IFERROR(VLOOKUP($A14,'Arranjos Consolidados'!$E$3:$BM$303,BD$2,FALSE),"")</f>
        <v>36.743549403403776</v>
      </c>
      <c r="BE14" s="31">
        <f>IFERROR(VLOOKUP($A14,'Arranjos Consolidados'!$E$3:$BM$303,BE$2,FALSE),"")</f>
        <v>1.4723613094253221</v>
      </c>
      <c r="BF14" s="31">
        <f>IFERROR(VLOOKUP($A14,'Arranjos Consolidados'!$E$3:$BM$303,BF$2,FALSE),"")</f>
        <v>67.975566396296969</v>
      </c>
      <c r="BG14" s="31">
        <f>IFERROR(VLOOKUP($A14,'Arranjos Consolidados'!$E$3:$BM$303,BG$2,FALSE),"")</f>
        <v>0</v>
      </c>
      <c r="BH14" s="31">
        <f>IFERROR(VLOOKUP($A14,'Arranjos Consolidados'!$E$3:$BM$303,BH$2,FALSE),"")</f>
        <v>399.58627141136611</v>
      </c>
      <c r="BI14" s="31">
        <f>IFERROR(VLOOKUP($A14,'Arranjos Consolidados'!$E$3:$BM$303,BI$2,FALSE),"")</f>
        <v>483.5879842747795</v>
      </c>
      <c r="BJ14" s="34">
        <f>IFERROR(VLOOKUP($A14,'Arranjos Consolidados'!$E$3:$BM$303,BJ$2,FALSE),"")</f>
        <v>0.15796667682345886</v>
      </c>
      <c r="BK14" s="34">
        <f>IFERROR(VLOOKUP($A14,'Arranjos Consolidados'!$E$3:$BM$303,BK$2,FALSE),"")</f>
        <v>0.20032435709683197</v>
      </c>
    </row>
    <row r="15" spans="1:63" ht="16.5" x14ac:dyDescent="0.25">
      <c r="A15" s="24" t="s">
        <v>10569</v>
      </c>
      <c r="B15" s="32">
        <f>'Banco de Dados'!$I$29</f>
        <v>300</v>
      </c>
      <c r="C15" s="25">
        <f>'Banco de Dados'!$I$31/100</f>
        <v>0.35</v>
      </c>
      <c r="D15" s="29">
        <f>IFERROR(VLOOKUP($A15,'Arranjos Consolidados'!$E$3:$BM$303,D$2,FALSE),"")</f>
        <v>19348</v>
      </c>
      <c r="E15" s="33">
        <f>IFERROR(VLOOKUP($A15,'Arranjos Consolidados'!$E$3:$BM$303,E$2,FALSE),"")</f>
        <v>0.89711895463337699</v>
      </c>
      <c r="F15" s="29">
        <f>IFERROR(VLOOKUP($A15,'Arranjos Consolidados'!$E$3:$BM$303,F$2,FALSE),"")</f>
        <v>200</v>
      </c>
      <c r="G15" s="31">
        <f>IFERROR(VLOOKUP($A15,'Arranjos Consolidados'!$E$3:$BM$303,G$2,FALSE),"")</f>
        <v>633.45225678333759</v>
      </c>
      <c r="H15" s="34">
        <f>IFERROR(VLOOKUP($A15,'Arranjos Consolidados'!$E$3:$BM$303,H$2,FALSE),"")</f>
        <v>0.19801874507611769</v>
      </c>
      <c r="I15" s="29">
        <f>IFERROR(VLOOKUP($A15,'Arranjos Consolidados'!$E$3:$BM$303,I$2,FALSE),"")</f>
        <v>30</v>
      </c>
      <c r="J15" s="31">
        <f>IFERROR(VLOOKUP($A15,'Arranjos Consolidados'!$E$3:$BM$303,J$2,FALSE),"")</f>
        <v>140.65549065414226</v>
      </c>
      <c r="K15" s="31">
        <f>IFERROR(VLOOKUP($A15,'Arranjos Consolidados'!$E$3:$BM$303,K$2,FALSE),"")</f>
        <v>32.338831446018368</v>
      </c>
      <c r="L15" s="31">
        <f>IFERROR(VLOOKUP($A15,'Arranjos Consolidados'!$E$3:$BM$303,L$2,FALSE),"")</f>
        <v>66.408338116291915</v>
      </c>
      <c r="M15" s="31">
        <f>IFERROR(VLOOKUP($A15,'Arranjos Consolidados'!$E$3:$BM$303,M$2,FALSE),"")</f>
        <v>9.3316996721013385</v>
      </c>
      <c r="N15" s="31">
        <f>IFERROR(VLOOKUP($A15,'Arranjos Consolidados'!$E$3:$BM$303,N$2,FALSE),"")</f>
        <v>26.800745055282505</v>
      </c>
      <c r="O15" s="31">
        <f>IFERROR(VLOOKUP($A15,'Arranjos Consolidados'!$E$3:$BM$303,O$2,FALSE),"")</f>
        <v>30.275893388908059</v>
      </c>
      <c r="P15" s="31">
        <f>IFERROR(VLOOKUP($A15,'Arranjos Consolidados'!$E$3:$BM$303,P$2,FALSE),"")</f>
        <v>5.2960649647742803</v>
      </c>
      <c r="Q15" s="31">
        <f>IFERROR(VLOOKUP($A15,'Arranjos Consolidados'!$E$3:$BM$303,Q$2,FALSE),"")</f>
        <v>13.056211315353568</v>
      </c>
      <c r="R15" s="31">
        <f>IFERROR(VLOOKUP($A15,'Arranjos Consolidados'!$E$3:$BM$303,R$2,FALSE),"")</f>
        <v>11.923617108780212</v>
      </c>
      <c r="S15" s="31">
        <f>IFERROR(VLOOKUP($A15,'Arranjos Consolidados'!$E$3:$BM$303,S$2,FALSE),"")</f>
        <v>0</v>
      </c>
      <c r="T15" s="31">
        <f>IFERROR(VLOOKUP($A15,'Arranjos Consolidados'!$E$3:$BM$303,T$2,FALSE),"")</f>
        <v>0</v>
      </c>
      <c r="U15" s="31">
        <f>IFERROR(VLOOKUP($A15,'Arranjos Consolidados'!$E$3:$BM$303,U$2,FALSE),"")</f>
        <v>0</v>
      </c>
      <c r="V15" s="31">
        <f>IFERROR(VLOOKUP($A15,'Arranjos Consolidados'!$E$3:$BM$303,V$2,FALSE),"")</f>
        <v>0</v>
      </c>
      <c r="W15" s="31">
        <f>IFERROR(VLOOKUP($A15,'Arranjos Consolidados'!$E$3:$BM$303,W$2,FALSE),"")</f>
        <v>717.45396964675092</v>
      </c>
      <c r="X15" s="29">
        <f>IFERROR(VLOOKUP($A15,'Arranjos Consolidados'!$E$3:$BM$303,X$2,FALSE),"")</f>
        <v>0</v>
      </c>
      <c r="Y15" s="31">
        <f>IFERROR(VLOOKUP($A15,'Arranjos Consolidados'!$E$3:$BM$303,Y$2,FALSE),"")</f>
        <v>0</v>
      </c>
      <c r="Z15" s="29">
        <f>IFERROR(VLOOKUP($A15,'Arranjos Consolidados'!$E$3:$BM$303,Z$2,FALSE),"")</f>
        <v>0</v>
      </c>
      <c r="AA15" s="31">
        <f>IFERROR(VLOOKUP($A15,'Arranjos Consolidados'!$E$3:$BM$303,AA$2,FALSE),"")</f>
        <v>717.45396964675092</v>
      </c>
      <c r="AB15" s="31">
        <f>IFERROR(VLOOKUP($A15,'Arranjos Consolidados'!$E$3:$BM$303,AB$2,FALSE),"")</f>
        <v>84.001712863413289</v>
      </c>
      <c r="AC15" s="31">
        <f>IFERROR(VLOOKUP($A15,'Arranjos Consolidados'!$E$3:$BM$303,AC$2,FALSE),"")</f>
        <v>-17.459055886586661</v>
      </c>
      <c r="AD15" s="31">
        <f>IFERROR(VLOOKUP($A15,'Arranjos Consolidados'!$E$3:$BM$303,AD$2,FALSE),"")</f>
        <v>0</v>
      </c>
      <c r="AE15" s="31">
        <f>IFERROR(VLOOKUP($A15,'Arranjos Consolidados'!$E$3:$BM$303,AE$2,FALSE),"")</f>
        <v>0</v>
      </c>
      <c r="AF15" s="31">
        <f>IFERROR(VLOOKUP($A15,'Arranjos Consolidados'!$E$3:$BM$303,AF$2,FALSE),"")</f>
        <v>0</v>
      </c>
      <c r="AG15" s="31">
        <f>IFERROR(VLOOKUP($A15,'Arranjos Consolidados'!$E$3:$BM$303,AG$2,FALSE),"")</f>
        <v>101.46076874999996</v>
      </c>
      <c r="AH15" s="31">
        <f>IFERROR(VLOOKUP($A15,'Arranjos Consolidados'!$E$3:$BM$303,AH$2,FALSE),"")</f>
        <v>0</v>
      </c>
      <c r="AI15" s="31">
        <f>IFERROR(VLOOKUP($A15,'Arranjos Consolidados'!$E$3:$BM$303,AI$2,FALSE),"")</f>
        <v>0</v>
      </c>
      <c r="AJ15" s="31">
        <f>IFERROR(VLOOKUP($A15,'Arranjos Consolidados'!$E$3:$BM$303,AJ$2,FALSE),"")</f>
        <v>0</v>
      </c>
      <c r="AK15" s="31">
        <f>IFERROR(VLOOKUP($A15,'Arranjos Consolidados'!$E$3:$BM$303,AK$2,FALSE),"")</f>
        <v>0</v>
      </c>
      <c r="AL15" s="34">
        <f>IFERROR(VLOOKUP($A15,'Arranjos Consolidados'!$E$3:$BM$303,AL$2,FALSE),"")</f>
        <v>0.16198819308814111</v>
      </c>
      <c r="AM15" s="31">
        <f>IFERROR(VLOOKUP($A15,'Arranjos Consolidados'!$E$3:$BM$303,AM$2,FALSE),"")</f>
        <v>633.45225678333759</v>
      </c>
      <c r="AN15" s="31">
        <f>IFERROR(VLOOKUP($A15,'Arranjos Consolidados'!$E$3:$BM$303,AN$2,FALSE),"")</f>
        <v>0</v>
      </c>
      <c r="AO15" s="31">
        <f>IFERROR(VLOOKUP($A15,'Arranjos Consolidados'!$E$3:$BM$303,AO$2,FALSE),"")</f>
        <v>0</v>
      </c>
      <c r="AP15" s="31">
        <f>IFERROR(VLOOKUP($A15,'Arranjos Consolidados'!$E$3:$BM$303,AP$2,FALSE),"")</f>
        <v>0</v>
      </c>
      <c r="AQ15" s="31">
        <f>IFERROR(VLOOKUP($A15,'Arranjos Consolidados'!$E$3:$BM$303,AQ$2,FALSE),"")</f>
        <v>0</v>
      </c>
      <c r="AR15" s="31">
        <f>IFERROR(VLOOKUP($A15,'Arranjos Consolidados'!$E$3:$BM$303,AR$2,FALSE),"")</f>
        <v>0</v>
      </c>
      <c r="AS15" s="31">
        <f>IFERROR(VLOOKUP($A15,'Arranjos Consolidados'!$E$3:$BM$303,AS$2,FALSE),"")</f>
        <v>399.64110559946261</v>
      </c>
      <c r="AT15" s="31">
        <f>IFERROR(VLOOKUP($A15,'Arranjos Consolidados'!$E$3:$BM$303,AT$2,FALSE),"")</f>
        <v>59.642499999999991</v>
      </c>
      <c r="AU15" s="31">
        <f>IFERROR(VLOOKUP($A15,'Arranjos Consolidados'!$E$3:$BM$303,AU$2,FALSE),"")</f>
        <v>59.642499999999991</v>
      </c>
      <c r="AV15" s="31">
        <f>IFERROR(VLOOKUP($A15,'Arranjos Consolidados'!$E$3:$BM$303,AV$2,FALSE),"")</f>
        <v>0</v>
      </c>
      <c r="AW15" s="31">
        <f>IFERROR(VLOOKUP($A15,'Arranjos Consolidados'!$E$3:$BM$303,AW$2,FALSE),"")</f>
        <v>0</v>
      </c>
      <c r="AX15" s="31">
        <f>IFERROR(VLOOKUP($A15,'Arranjos Consolidados'!$E$3:$BM$303,AX$2,FALSE),"")</f>
        <v>233.80113815153666</v>
      </c>
      <c r="AY15" s="31">
        <f>IFERROR(VLOOKUP($A15,'Arranjos Consolidados'!$E$3:$BM$303,AY$2,FALSE),"")</f>
        <v>76.930878417473082</v>
      </c>
      <c r="AZ15" s="31">
        <f>IFERROR(VLOOKUP($A15,'Arranjos Consolidados'!$E$3:$BM$303,AZ$2,FALSE),"")</f>
        <v>65.362608222526518</v>
      </c>
      <c r="BA15" s="31">
        <f>IFERROR(VLOOKUP($A15,'Arranjos Consolidados'!$E$3:$BM$303,BA$2,FALSE),"")</f>
        <v>91.507651511537105</v>
      </c>
      <c r="BB15" s="31">
        <f>IFERROR(VLOOKUP($A15,'Arranjos Consolidados'!$E$3:$BM$303,BB$2,FALSE),"")</f>
        <v>0</v>
      </c>
      <c r="BC15" s="31">
        <f>IFERROR(VLOOKUP($A15,'Arranjos Consolidados'!$E$3:$BM$303,BC$2,FALSE),"")</f>
        <v>106.19746744792593</v>
      </c>
      <c r="BD15" s="31">
        <f>IFERROR(VLOOKUP($A15,'Arranjos Consolidados'!$E$3:$BM$303,BD$2,FALSE),"")</f>
        <v>36.745651276666877</v>
      </c>
      <c r="BE15" s="31">
        <f>IFERROR(VLOOKUP($A15,'Arranjos Consolidados'!$E$3:$BM$303,BE$2,FALSE),"")</f>
        <v>1.4723613094253221</v>
      </c>
      <c r="BF15" s="31">
        <f>IFERROR(VLOOKUP($A15,'Arranjos Consolidados'!$E$3:$BM$303,BF$2,FALSE),"")</f>
        <v>67.979454861833716</v>
      </c>
      <c r="BG15" s="31">
        <f>IFERROR(VLOOKUP($A15,'Arranjos Consolidados'!$E$3:$BM$303,BG$2,FALSE),"")</f>
        <v>0</v>
      </c>
      <c r="BH15" s="31">
        <f>IFERROR(VLOOKUP($A15,'Arranjos Consolidados'!$E$3:$BM$303,BH$2,FALSE),"")</f>
        <v>399.64110559946261</v>
      </c>
      <c r="BI15" s="31">
        <f>IFERROR(VLOOKUP($A15,'Arranjos Consolidados'!$E$3:$BM$303,BI$2,FALSE),"")</f>
        <v>483.64281846287588</v>
      </c>
      <c r="BJ15" s="34">
        <f>IFERROR(VLOOKUP($A15,'Arranjos Consolidados'!$E$3:$BM$303,BJ$2,FALSE),"")</f>
        <v>0.15605753824445037</v>
      </c>
      <c r="BK15" s="34">
        <f>IFERROR(VLOOKUP($A15,'Arranjos Consolidados'!$E$3:$BM$303,BK$2,FALSE),"")</f>
        <v>0.19801874507611769</v>
      </c>
    </row>
    <row r="16" spans="1:63" ht="16.5" x14ac:dyDescent="0.25">
      <c r="A16" s="24" t="s">
        <v>10156</v>
      </c>
      <c r="B16" s="32">
        <f>'Banco de Dados'!$I$29</f>
        <v>300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M1A1SA1</v>
      </c>
      <c r="D27" s="40" t="s">
        <v>10457</v>
      </c>
      <c r="E27" s="40" t="s">
        <v>10454</v>
      </c>
      <c r="F27" s="40" t="s">
        <v>10562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M1A1SA1RT1-A</v>
      </c>
      <c r="B30" s="41" t="s">
        <v>10320</v>
      </c>
      <c r="C30" s="39" t="s">
        <v>10441</v>
      </c>
      <c r="D30" s="43">
        <f>IFERROR(VLOOKUP(A30,'Arranjos Consolidados'!$E$3:$BM$303,5,FALSE),"")</f>
        <v>456.01963505347896</v>
      </c>
      <c r="E30" s="42">
        <f>IFERROR(VLOOKUP(A30,'Arranjos Consolidados'!$E$3:$BM$303,21,FALSE),"")</f>
        <v>597.17510814694663</v>
      </c>
      <c r="F30" s="42">
        <f>IFERROR(VLOOKUP(A30,'Arranjos Consolidados'!$E$3:$BM$303,43,FALSE),"")</f>
        <v>382.15961449849715</v>
      </c>
      <c r="G30" s="40">
        <f>IFERROR(VLOOKUP(A30,'Arranjos Consolidados'!$E$3:$BM$303,4,FALSE),"")</f>
        <v>200</v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M1A1SA1RT1-B</v>
      </c>
      <c r="B31" s="41" t="s">
        <v>10321</v>
      </c>
      <c r="C31" s="39" t="s">
        <v>10442</v>
      </c>
      <c r="D31" s="43">
        <f>IFERROR(VLOOKUP(A31,'Arranjos Consolidados'!$E$3:$BM$303,5,FALSE),"")</f>
        <v>581.21557721450029</v>
      </c>
      <c r="E31" s="42">
        <f>IFERROR(VLOOKUP(A31,'Arranjos Consolidados'!$E$3:$BM$303,21,FALSE),"")</f>
        <v>597.17510814694663</v>
      </c>
      <c r="F31" s="42">
        <f>IFERROR(VLOOKUP(A31,'Arranjos Consolidados'!$E$3:$BM$303,43,FALSE),"")</f>
        <v>404.40802779810053</v>
      </c>
      <c r="G31" s="40">
        <f>IFERROR(VLOOKUP(A31,'Arranjos Consolidados'!$E$3:$BM$303,4,FALSE),"")</f>
        <v>200</v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M1A1SA1RT1-C</v>
      </c>
      <c r="B32" s="41" t="s">
        <v>10322</v>
      </c>
      <c r="C32" s="39" t="s">
        <v>10443</v>
      </c>
      <c r="D32" s="43">
        <f>IFERROR(VLOOKUP(A32,'Arranjos Consolidados'!$E$3:$BM$303,5,FALSE),"")</f>
        <v>481.52326330418066</v>
      </c>
      <c r="E32" s="42">
        <f>IFERROR(VLOOKUP(A32,'Arranjos Consolidados'!$E$3:$BM$303,21,FALSE),"")</f>
        <v>597.17510814694663</v>
      </c>
      <c r="F32" s="42">
        <f>IFERROR(VLOOKUP(A32,'Arranjos Consolidados'!$E$3:$BM$303,43,FALSE),"")</f>
        <v>390.73357599032846</v>
      </c>
      <c r="G32" s="40">
        <f>IFERROR(VLOOKUP(A32,'Arranjos Consolidados'!$E$3:$BM$303,4,FALSE),"")</f>
        <v>200</v>
      </c>
    </row>
    <row r="33" spans="1:15" ht="16.5" x14ac:dyDescent="0.35">
      <c r="A33" s="41" t="str">
        <f t="shared" si="0"/>
        <v>M1A1SA1RT2</v>
      </c>
      <c r="B33" s="41" t="s">
        <v>10323</v>
      </c>
      <c r="C33" s="39" t="s">
        <v>10444</v>
      </c>
      <c r="D33" s="43">
        <f>IFERROR(VLOOKUP(A33,'Arranjos Consolidados'!$E$3:$BM$303,5,FALSE),"")</f>
        <v>402.48281677236207</v>
      </c>
      <c r="E33" s="42">
        <f>IFERROR(VLOOKUP(A33,'Arranjos Consolidados'!$E$3:$BM$303,21,FALSE),"")</f>
        <v>486.48452963577546</v>
      </c>
      <c r="F33" s="42">
        <f>IFERROR(VLOOKUP(A33,'Arranjos Consolidados'!$E$3:$BM$303,43,FALSE),"")</f>
        <v>333.47903222089241</v>
      </c>
      <c r="G33" s="40">
        <f>IFERROR(VLOOKUP(A33,'Arranjos Consolidados'!$E$3:$BM$303,4,FALSE),"")</f>
        <v>200</v>
      </c>
    </row>
    <row r="34" spans="1:15" ht="16.5" x14ac:dyDescent="0.35">
      <c r="A34" s="41" t="str">
        <f t="shared" si="0"/>
        <v>M1A1SA1RT3</v>
      </c>
      <c r="B34" s="41" t="s">
        <v>10324</v>
      </c>
      <c r="C34" s="39" t="s">
        <v>10445</v>
      </c>
      <c r="D34" s="43">
        <f>IFERROR(VLOOKUP(A34,'Arranjos Consolidados'!$E$3:$BM$303,5,FALSE),"")</f>
        <v>519.99825888516625</v>
      </c>
      <c r="E34" s="42">
        <f>IFERROR(VLOOKUP(A34,'Arranjos Consolidados'!$E$3:$BM$303,21,FALSE),"")</f>
        <v>603.70478438038072</v>
      </c>
      <c r="F34" s="42">
        <f>IFERROR(VLOOKUP(A34,'Arranjos Consolidados'!$E$3:$BM$303,43,FALSE),"")</f>
        <v>359.66111096142492</v>
      </c>
      <c r="G34" s="40">
        <f>IFERROR(VLOOKUP(A34,'Arranjos Consolidados'!$E$3:$BM$303,4,FALSE),"")</f>
        <v>200</v>
      </c>
    </row>
    <row r="35" spans="1:15" ht="16.5" x14ac:dyDescent="0.35">
      <c r="A35" s="41" t="str">
        <f t="shared" si="0"/>
        <v>M1A1SA1RT4</v>
      </c>
      <c r="B35" s="41" t="s">
        <v>10325</v>
      </c>
      <c r="C35" s="39" t="s">
        <v>10446</v>
      </c>
      <c r="D35" s="43">
        <f>IFERROR(VLOOKUP(A35,'Arranjos Consolidados'!$E$3:$BM$303,5,FALSE),"")</f>
        <v>733.53921499066951</v>
      </c>
      <c r="E35" s="42">
        <f>IFERROR(VLOOKUP(A35,'Arranjos Consolidados'!$E$3:$BM$303,21,FALSE),"")</f>
        <v>1021.207820595175</v>
      </c>
      <c r="F35" s="42">
        <f>IFERROR(VLOOKUP(A35,'Arranjos Consolidados'!$E$3:$BM$303,43,FALSE),"")</f>
        <v>518.51733346235471</v>
      </c>
      <c r="G35" s="40">
        <f>IFERROR(VLOOKUP(A35,'Arranjos Consolidados'!$E$3:$BM$303,4,FALSE),"")</f>
        <v>200</v>
      </c>
    </row>
    <row r="36" spans="1:15" ht="16.5" x14ac:dyDescent="0.35">
      <c r="A36" s="41" t="str">
        <f t="shared" si="0"/>
        <v>M1A1SA1RT5</v>
      </c>
      <c r="B36" s="41" t="s">
        <v>10326</v>
      </c>
      <c r="C36" s="39" t="s">
        <v>10447</v>
      </c>
      <c r="D36" s="43">
        <f>IFERROR(VLOOKUP(A36,'Arranjos Consolidados'!$E$3:$BM$303,5,FALSE),"")</f>
        <v>682.09389261430783</v>
      </c>
      <c r="E36" s="42">
        <f>IFERROR(VLOOKUP(A36,'Arranjos Consolidados'!$E$3:$BM$303,21,FALSE),"")</f>
        <v>981.23128001995656</v>
      </c>
      <c r="F36" s="42">
        <f>IFERROR(VLOOKUP(A36,'Arranjos Consolidados'!$E$3:$BM$303,43,FALSE),"")</f>
        <v>511.3638733886076</v>
      </c>
      <c r="G36" s="40">
        <f>IFERROR(VLOOKUP(A36,'Arranjos Consolidados'!$E$3:$BM$303,4,FALSE),"")</f>
        <v>200</v>
      </c>
    </row>
    <row r="38" spans="1:15" ht="16.5" x14ac:dyDescent="0.25">
      <c r="D38" s="38" t="s">
        <v>9943</v>
      </c>
      <c r="E38" s="38" t="s">
        <v>9876</v>
      </c>
      <c r="F38" s="38" t="s">
        <v>10448</v>
      </c>
    </row>
    <row r="39" spans="1:15" ht="16.5" x14ac:dyDescent="0.35">
      <c r="B39" s="41" t="str">
        <f>_xlfn.CONCAT(D39,F39)</f>
        <v>M1A1SA1</v>
      </c>
      <c r="D39" s="40" t="s">
        <v>10457</v>
      </c>
      <c r="E39" s="40" t="s">
        <v>10454</v>
      </c>
      <c r="F39" s="40" t="s">
        <v>10562</v>
      </c>
    </row>
    <row r="41" spans="1:15" ht="33" x14ac:dyDescent="0.25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  <c r="O41" s="38" t="s">
        <v>10561</v>
      </c>
    </row>
    <row r="42" spans="1:15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5" x14ac:dyDescent="0.35">
      <c r="A43" s="41" t="str">
        <f>_xlfn.CONCAT($D$39,$F$39,B43)</f>
        <v>M1A1SA1RT1-A</v>
      </c>
      <c r="B43" s="41" t="s">
        <v>10320</v>
      </c>
      <c r="C43" s="39" t="s">
        <v>10441</v>
      </c>
      <c r="D43" s="89">
        <f>(IFERROR(VLOOKUP(A43,'Arranjos Consolidados'!$E$3:$BM$303,$D$42,FALSE),""))</f>
        <v>176.19296173915183</v>
      </c>
      <c r="E43" s="89">
        <f>(IFERROR((VLOOKUP(A43,'Arranjos Consolidados'!$E$3:$BM$303,$E$42,FALSE)),""))</f>
        <v>25.068273515032466</v>
      </c>
      <c r="F43" s="90">
        <f>(IFERROR((VLOOKUP(A43,'Arranjos Consolidados'!$E$3:$BM$303,$F$42,FALSE)),""))</f>
        <v>66.408338116291901</v>
      </c>
      <c r="G43" s="90">
        <f>(IFERROR((VLOOKUP(A43,'Arranjos Consolidados'!$E$3:$BM$303,$G$42,FALSE)),""))</f>
        <v>5.2960649647742803</v>
      </c>
      <c r="H43" s="90">
        <f>(IFERROR((VLOOKUP(A43,'Arranjos Consolidados'!$E$3:$BM$303,$H$42,FALSE)),""))</f>
        <v>11.92361710878021</v>
      </c>
      <c r="I43" s="90">
        <f>(IFERROR((VLOOKUP(A43,'Arranjos Consolidados'!$E$3:$BM$303,$I$42,FALSE)),""))</f>
        <v>25.712727445669707</v>
      </c>
      <c r="J43" s="90">
        <f>(IFERROR((VLOOKUP(A43,'Arranjos Consolidados'!$E$3:$BM$303,$J$42,FALSE)),""))</f>
        <v>11.097779618050536</v>
      </c>
      <c r="K43" s="90">
        <f>(IFERROR((VLOOKUP(A43,'Arranjos Consolidados'!$E$3:$BM$303,$K$42,FALSE)),""))</f>
        <v>25.712727445669707</v>
      </c>
      <c r="L43" s="90">
        <f>(IFERROR((VLOOKUP(A43,'Arranjos Consolidados'!$E$3:$BM$303,$L$42,FALSE)),""))</f>
        <v>12.378148979017169</v>
      </c>
      <c r="M43" s="90">
        <f>(IFERROR((VLOOKUP(A43,'Arranjos Consolidados'!$E$3:$BM$303,18,FALSE)),""))</f>
        <v>8064.3363841547753</v>
      </c>
      <c r="N43" s="90" t="s">
        <v>9688</v>
      </c>
      <c r="O43" s="90">
        <f>O44</f>
        <v>4.0728971637145328</v>
      </c>
    </row>
    <row r="44" spans="1:15" ht="16.5" x14ac:dyDescent="0.35">
      <c r="A44" s="41" t="str">
        <f t="shared" ref="A44:A49" si="1">_xlfn.CONCAT($D$39,$F$39,B44)</f>
        <v>M1A1SA1RT1-B</v>
      </c>
      <c r="B44" s="41" t="s">
        <v>10321</v>
      </c>
      <c r="C44" s="39" t="s">
        <v>10442</v>
      </c>
      <c r="D44" s="89">
        <f>(IFERROR(VLOOKUP(A44,'Arranjos Consolidados'!$E$3:$BM$303,$D$42,FALSE),""))</f>
        <v>176.19296173915183</v>
      </c>
      <c r="E44" s="89">
        <f>(IFERROR((VLOOKUP(A44,'Arranjos Consolidados'!$E$3:$BM$303,$E$42,FALSE)),""))</f>
        <v>25.068273515032466</v>
      </c>
      <c r="F44" s="90">
        <f>(IFERROR((VLOOKUP(A44,'Arranjos Consolidados'!$E$3:$BM$303,$F$42,FALSE)),""))</f>
        <v>66.408338116291901</v>
      </c>
      <c r="G44" s="90">
        <f>(IFERROR((VLOOKUP(A44,'Arranjos Consolidados'!$E$3:$BM$303,$G$42,FALSE)),""))</f>
        <v>5.2960649647742803</v>
      </c>
      <c r="H44" s="90">
        <f>(IFERROR((VLOOKUP(A44,'Arranjos Consolidados'!$E$3:$BM$303,$H$42,FALSE)),""))</f>
        <v>11.92361710878021</v>
      </c>
      <c r="I44" s="90">
        <f>(IFERROR((VLOOKUP(A44,'Arranjos Consolidados'!$E$3:$BM$303,$I$42,FALSE)),""))</f>
        <v>25.712727445669707</v>
      </c>
      <c r="J44" s="90">
        <f>(IFERROR((VLOOKUP(A44,'Arranjos Consolidados'!$E$3:$BM$303,$J$42,FALSE)),""))</f>
        <v>11.097779618050536</v>
      </c>
      <c r="K44" s="90">
        <f>(IFERROR((VLOOKUP(A44,'Arranjos Consolidados'!$E$3:$BM$303,$K$42,FALSE)),""))</f>
        <v>25.712727445669707</v>
      </c>
      <c r="L44" s="90">
        <f>(IFERROR((VLOOKUP(A44,'Arranjos Consolidados'!$E$3:$BM$303,$L$42,FALSE)),""))</f>
        <v>12.378148979017169</v>
      </c>
      <c r="M44" s="90">
        <f>(IFERROR((VLOOKUP(A44,'Arranjos Consolidados'!$E$3:$BM$303,19,FALSE)),""))</f>
        <v>2016.0840960386938</v>
      </c>
      <c r="N44" s="90">
        <f>(IFERROR((VLOOKUP(A44,'Arranjos Consolidados'!$E$3:$BM$303,20,FALSE)),""))</f>
        <v>0</v>
      </c>
      <c r="O44" s="90">
        <f>O45</f>
        <v>4.0728971637145328</v>
      </c>
    </row>
    <row r="45" spans="1:15" ht="16.5" x14ac:dyDescent="0.35">
      <c r="A45" s="41" t="str">
        <f t="shared" si="1"/>
        <v>M1A1SA1RT1-C</v>
      </c>
      <c r="B45" s="41" t="s">
        <v>10322</v>
      </c>
      <c r="C45" s="39" t="s">
        <v>10443</v>
      </c>
      <c r="D45" s="89">
        <f>(IFERROR(VLOOKUP(A45,'Arranjos Consolidados'!$E$3:$BM$303,$D$42,FALSE),""))</f>
        <v>176.19296173915183</v>
      </c>
      <c r="E45" s="89">
        <f>(IFERROR((VLOOKUP(A45,'Arranjos Consolidados'!$E$3:$BM$303,$E$42,FALSE)),""))</f>
        <v>25.068273515032466</v>
      </c>
      <c r="F45" s="90">
        <f>(IFERROR((VLOOKUP(A45,'Arranjos Consolidados'!$E$3:$BM$303,$F$42,FALSE)),""))</f>
        <v>66.408338116291901</v>
      </c>
      <c r="G45" s="90">
        <f>(IFERROR((VLOOKUP(A45,'Arranjos Consolidados'!$E$3:$BM$303,$G$42,FALSE)),""))</f>
        <v>5.2960649647742803</v>
      </c>
      <c r="H45" s="90">
        <f>(IFERROR((VLOOKUP(A45,'Arranjos Consolidados'!$E$3:$BM$303,$H$42,FALSE)),""))</f>
        <v>11.92361710878021</v>
      </c>
      <c r="I45" s="90">
        <f>(IFERROR((VLOOKUP(A45,'Arranjos Consolidados'!$E$3:$BM$303,$I$42,FALSE)),""))</f>
        <v>25.712727445669707</v>
      </c>
      <c r="J45" s="90">
        <f>(IFERROR((VLOOKUP(A45,'Arranjos Consolidados'!$E$3:$BM$303,$J$42,FALSE)),""))</f>
        <v>11.097779618050536</v>
      </c>
      <c r="K45" s="90">
        <f>(IFERROR((VLOOKUP(A45,'Arranjos Consolidados'!$E$3:$BM$303,$K$42,FALSE)),""))</f>
        <v>25.712727445669707</v>
      </c>
      <c r="L45" s="90">
        <f>(IFERROR((VLOOKUP(A45,'Arranjos Consolidados'!$E$3:$BM$303,$L$42,FALSE)),""))</f>
        <v>12.378148979017169</v>
      </c>
      <c r="M45" s="90">
        <f>(IFERROR((VLOOKUP(A45,'Arranjos Consolidados'!$E$3:$BM$303,20,FALSE))/1000000,""))</f>
        <v>2.0160840960386937</v>
      </c>
      <c r="N45" s="90" t="s">
        <v>9688</v>
      </c>
      <c r="O45" s="90">
        <f>IFERROR(M45*100/49.5,"")</f>
        <v>4.0728971637145328</v>
      </c>
    </row>
    <row r="46" spans="1:15" ht="16.5" x14ac:dyDescent="0.35">
      <c r="A46" s="41" t="str">
        <f t="shared" si="1"/>
        <v>M1A1SA1RT2</v>
      </c>
      <c r="B46" s="41" t="s">
        <v>10323</v>
      </c>
      <c r="C46" s="39" t="s">
        <v>10444</v>
      </c>
      <c r="D46" s="89">
        <f>(IFERROR(VLOOKUP(A46,'Arranjos Consolidados'!$E$3:$BM$303,$D$42,FALSE),""))</f>
        <v>129.970575682646</v>
      </c>
      <c r="E46" s="89">
        <f>(IFERROR((VLOOKUP(A46,'Arranjos Consolidados'!$E$3:$BM$303,$E$42,FALSE)),""))</f>
        <v>21.511738204032913</v>
      </c>
      <c r="F46" s="90">
        <f>(IFERROR((VLOOKUP(A46,'Arranjos Consolidados'!$E$3:$BM$303,$F$42,FALSE)),""))</f>
        <v>66.408338116291901</v>
      </c>
      <c r="G46" s="90">
        <f>(IFERROR((VLOOKUP(A46,'Arranjos Consolidados'!$E$3:$BM$303,$G$42,FALSE)),""))</f>
        <v>5.2960649647742803</v>
      </c>
      <c r="H46" s="90">
        <f>(IFERROR((VLOOKUP(A46,'Arranjos Consolidados'!$E$3:$BM$303,$H$42,FALSE)),""))</f>
        <v>11.92361710878021</v>
      </c>
      <c r="I46" s="90">
        <f>(IFERROR((VLOOKUP(A46,'Arranjos Consolidados'!$E$3:$BM$303,$I$42,FALSE)),""))</f>
        <v>26.800745055282508</v>
      </c>
      <c r="J46" s="90">
        <f>(IFERROR((VLOOKUP(A46,'Arranjos Consolidados'!$E$3:$BM$303,$J$42,FALSE)),""))</f>
        <v>13.056211315353574</v>
      </c>
      <c r="K46" s="90">
        <f>(IFERROR((VLOOKUP(A46,'Arranjos Consolidados'!$E$3:$BM$303,$K$42,FALSE)),""))</f>
        <v>26.800745055282508</v>
      </c>
      <c r="L46" s="90">
        <f>(IFERROR((VLOOKUP(A46,'Arranjos Consolidados'!$E$3:$BM$303,$L$42,FALSE)),""))</f>
        <v>9.3316996721013332</v>
      </c>
      <c r="M46" s="90">
        <f>(IFERROR((VLOOKUP(A46,'Arranjos Consolidados'!$E$3:$BM$303,15,FALSE)),""))</f>
        <v>13.056211315353574</v>
      </c>
      <c r="N46" s="90" t="s">
        <v>9688</v>
      </c>
      <c r="O46" s="90" t="s">
        <v>9688</v>
      </c>
    </row>
    <row r="47" spans="1:15" ht="16.5" x14ac:dyDescent="0.35">
      <c r="A47" s="41" t="str">
        <f t="shared" si="1"/>
        <v>M1A1SA1RT3</v>
      </c>
      <c r="B47" s="41" t="s">
        <v>10324</v>
      </c>
      <c r="C47" s="39" t="s">
        <v>10445</v>
      </c>
      <c r="D47" s="89">
        <f>(IFERROR(VLOOKUP(A47,'Arranjos Consolidados'!$E$3:$BM$303,$D$42,FALSE),""))</f>
        <v>197.17048854656832</v>
      </c>
      <c r="E47" s="89">
        <f>(IFERROR((VLOOKUP(A47,'Arranjos Consolidados'!$E$3:$BM$303,$E$42,FALSE)),""))</f>
        <v>24.366542774831903</v>
      </c>
      <c r="F47" s="90">
        <f>(IFERROR((VLOOKUP(A47,'Arranjos Consolidados'!$E$3:$BM$303,$F$42,FALSE)),""))</f>
        <v>66.408338116291901</v>
      </c>
      <c r="G47" s="90">
        <f>(IFERROR((VLOOKUP(A47,'Arranjos Consolidados'!$E$3:$BM$303,$G$42,FALSE)),""))</f>
        <v>5.2960649647742803</v>
      </c>
      <c r="H47" s="90">
        <f>(IFERROR((VLOOKUP(A47,'Arranjos Consolidados'!$E$3:$BM$303,$H$42,FALSE)),""))</f>
        <v>22.999365760660666</v>
      </c>
      <c r="I47" s="90">
        <f>(IFERROR((VLOOKUP(A47,'Arranjos Consolidados'!$E$3:$BM$303,$I$42,FALSE)),""))</f>
        <v>23.230964839841235</v>
      </c>
      <c r="J47" s="90">
        <f>(IFERROR((VLOOKUP(A47,'Arranjos Consolidados'!$E$3:$BM$303,$J$42,FALSE)),""))</f>
        <v>0</v>
      </c>
      <c r="K47" s="90">
        <f>(IFERROR((VLOOKUP(A47,'Arranjos Consolidados'!$E$3:$BM$303,$K$42,FALSE)),""))</f>
        <v>23.230964839841235</v>
      </c>
      <c r="L47" s="90">
        <f>(IFERROR((VLOOKUP(A47,'Arranjos Consolidados'!$E$3:$BM$303,$L$42,FALSE)),""))</f>
        <v>14.881942551015719</v>
      </c>
      <c r="M47" s="90" t="s">
        <v>9688</v>
      </c>
      <c r="N47" s="90" t="s">
        <v>9688</v>
      </c>
      <c r="O47" s="90" t="s">
        <v>9688</v>
      </c>
    </row>
    <row r="48" spans="1:15" ht="16.5" x14ac:dyDescent="0.35">
      <c r="A48" s="41" t="str">
        <f t="shared" si="1"/>
        <v>M1A1SA1RT4</v>
      </c>
      <c r="B48" s="41" t="s">
        <v>10325</v>
      </c>
      <c r="C48" s="39" t="s">
        <v>10446</v>
      </c>
      <c r="D48" s="89">
        <f>(IFERROR(VLOOKUP(A48,'Arranjos Consolidados'!$E$3:$BM$303,$D$42,FALSE),""))</f>
        <v>350.4476828109523</v>
      </c>
      <c r="E48" s="89">
        <f>(IFERROR((VLOOKUP(A48,'Arranjos Consolidados'!$E$3:$BM$303,$E$42,FALSE)),""))</f>
        <v>39.430678118825526</v>
      </c>
      <c r="F48" s="90">
        <f>(IFERROR((VLOOKUP(A48,'Arranjos Consolidados'!$E$3:$BM$303,$F$42,FALSE)),""))</f>
        <v>66.408338116291901</v>
      </c>
      <c r="G48" s="90">
        <f>(IFERROR((VLOOKUP(A48,'Arranjos Consolidados'!$E$3:$BM$303,$G$42,FALSE)),""))</f>
        <v>5.6546863439415143</v>
      </c>
      <c r="H48" s="90">
        <f>(IFERROR((VLOOKUP(A48,'Arranjos Consolidados'!$E$3:$BM$303,$H$42,FALSE)),""))</f>
        <v>0</v>
      </c>
      <c r="I48" s="90">
        <f>(IFERROR((VLOOKUP(A48,'Arranjos Consolidados'!$E$3:$BM$303,$I$42,FALSE)),""))</f>
        <v>12.222454630303524</v>
      </c>
      <c r="J48" s="90">
        <f>(IFERROR((VLOOKUP(A48,'Arranjos Consolidados'!$E$3:$BM$303,$J$42,FALSE)),""))</f>
        <v>0</v>
      </c>
      <c r="K48" s="90">
        <f>(IFERROR((VLOOKUP(A48,'Arranjos Consolidados'!$E$3:$BM$303,$K$42,FALSE)),""))</f>
        <v>12.222454630303524</v>
      </c>
      <c r="L48" s="90">
        <f>(IFERROR((VLOOKUP(A48,'Arranjos Consolidados'!$E$3:$BM$303,$L$42,FALSE)),""))</f>
        <v>48.53119714204685</v>
      </c>
      <c r="M48" s="90">
        <f>(IFERROR((VLOOKUP(A48,'Arranjos Consolidados'!$E$3:$BM$303,17,FALSE)),""))</f>
        <v>42107.462820524685</v>
      </c>
      <c r="N48" s="90" t="s">
        <v>9688</v>
      </c>
      <c r="O48" s="90" t="s">
        <v>9688</v>
      </c>
    </row>
    <row r="49" spans="1:16" ht="16.5" x14ac:dyDescent="0.35">
      <c r="A49" s="41" t="str">
        <f t="shared" si="1"/>
        <v>M1A1SA1RT5</v>
      </c>
      <c r="B49" s="41" t="s">
        <v>10326</v>
      </c>
      <c r="C49" s="39" t="s">
        <v>10447</v>
      </c>
      <c r="D49" s="89">
        <f>(IFERROR(VLOOKUP(A49,'Arranjos Consolidados'!$E$3:$BM$303,$D$42,FALSE),""))</f>
        <v>394.82567338246838</v>
      </c>
      <c r="E49" s="89">
        <f>(IFERROR((VLOOKUP(A49,'Arranjos Consolidados'!$E$3:$BM$303,$E$42,FALSE)),""))</f>
        <v>34.14329806828016</v>
      </c>
      <c r="F49" s="90">
        <f>(IFERROR((VLOOKUP(A49,'Arranjos Consolidados'!$E$3:$BM$303,$F$42,FALSE)),""))</f>
        <v>66.408338116291901</v>
      </c>
      <c r="G49" s="90">
        <f>(IFERROR((VLOOKUP(A49,'Arranjos Consolidados'!$E$3:$BM$303,$G$42,FALSE)),""))</f>
        <v>5.6546863439415143</v>
      </c>
      <c r="H49" s="90">
        <f>(IFERROR((VLOOKUP(A49,'Arranjos Consolidados'!$E$3:$BM$303,$H$42,FALSE)),""))</f>
        <v>0</v>
      </c>
      <c r="I49" s="90">
        <f>(IFERROR((VLOOKUP(A49,'Arranjos Consolidados'!$E$3:$BM$303,$I$42,FALSE)),""))</f>
        <v>12.222454630303524</v>
      </c>
      <c r="J49" s="90">
        <f>(IFERROR((VLOOKUP(A49,'Arranjos Consolidados'!$E$3:$BM$303,$J$42,FALSE)),""))</f>
        <v>0</v>
      </c>
      <c r="K49" s="90">
        <f>(IFERROR((VLOOKUP(A49,'Arranjos Consolidados'!$E$3:$BM$303,$K$42,FALSE)),""))</f>
        <v>12.222454630303524</v>
      </c>
      <c r="L49" s="90">
        <f>(IFERROR((VLOOKUP(A49,'Arranjos Consolidados'!$E$3:$BM$303,$L$42,FALSE)),""))</f>
        <v>48.53119714204685</v>
      </c>
      <c r="M49" s="90">
        <f>(IFERROR((VLOOKUP(A49,'Arranjos Consolidados'!$E$3:$BM$303,17,FALSE)),""))</f>
        <v>42107.462820524685</v>
      </c>
      <c r="N49" s="90" t="s">
        <v>9688</v>
      </c>
      <c r="O49" s="90" t="s">
        <v>9688</v>
      </c>
    </row>
    <row r="50" spans="1:16" ht="16.5" x14ac:dyDescent="0.35">
      <c r="A50" s="41" t="str">
        <f>_xlfn.CONCAT($D$39,$F$39)</f>
        <v>M1A1SA1</v>
      </c>
      <c r="B50" s="48" t="str">
        <f>IFERROR(VLOOKUP(A50,CHOOSE({1,2},'Arranjos Consolidados'!E:E,'Arranjos Consolidados'!D:D),2,FALSE),"")</f>
        <v>RT2</v>
      </c>
      <c r="C50" s="39" t="s">
        <v>10460</v>
      </c>
      <c r="D50" s="89">
        <f>(IFERROR(VLOOKUP(A50,'Arranjos Consolidados'!$E$3:$BM$303,$D$42,FALSE),""))</f>
        <v>129.970575682646</v>
      </c>
      <c r="E50" s="89">
        <f>(IFERROR((VLOOKUP(A50,'Arranjos Consolidados'!$E$3:$BM$303,$E$42,FALSE)),""))</f>
        <v>21.511738204032913</v>
      </c>
      <c r="F50" s="90">
        <f>(IFERROR((VLOOKUP(A50,'Arranjos Consolidados'!$E$3:$BM$303,$F$42,FALSE)),""))</f>
        <v>66.408338116291901</v>
      </c>
      <c r="G50" s="90">
        <f>(IFERROR((VLOOKUP(A50,'Arranjos Consolidados'!$E$3:$BM$303,$G$42,FALSE)),""))</f>
        <v>5.2960649647742803</v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5" x14ac:dyDescent="0.25">
      <c r="D52" s="38" t="s">
        <v>9943</v>
      </c>
      <c r="E52" s="38" t="s">
        <v>9876</v>
      </c>
      <c r="F52" s="74"/>
    </row>
    <row r="53" spans="1:16" ht="16.5" x14ac:dyDescent="0.35">
      <c r="B53" s="41" t="str">
        <f>_xlfn.CONCAT(D53,E53)</f>
        <v>M1A1</v>
      </c>
      <c r="D53" s="40" t="str">
        <f>D39</f>
        <v>M1</v>
      </c>
      <c r="E53" s="40" t="str">
        <f>E39</f>
        <v>A1</v>
      </c>
      <c r="F53" s="29"/>
    </row>
    <row r="56" spans="1:16" ht="16.5" x14ac:dyDescent="0.25">
      <c r="B56" s="86" t="s">
        <v>10537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10556</v>
      </c>
      <c r="P56" s="38" t="s">
        <v>10557</v>
      </c>
    </row>
    <row r="57" spans="1:16" x14ac:dyDescent="0.25">
      <c r="A57" s="40" t="str">
        <f>_xlfn.CONCAT(B53,"SA1")</f>
        <v>M1A1SA1</v>
      </c>
      <c r="B57" s="40" t="str">
        <f>IFERROR(VLOOKUP(A57,CHOOSE({1,2},'Arranjos Consolidados'!E:E,'Arranjos Consolidados'!D:D),2,FALSE),"")</f>
        <v>RT2</v>
      </c>
      <c r="C57" s="39"/>
      <c r="D57" s="40">
        <f>(IFERROR(ROUND(VLOOKUP($A57,'Arranjos Consolidados'!$E$3:$BM$303,21,FALSE),1),""))</f>
        <v>486.5</v>
      </c>
      <c r="E57" s="40">
        <f>(IFERROR(ROUND(VLOOKUP($A57,'Arranjos Consolidados'!$E$3:$BM$303,5,FALSE),1),""))</f>
        <v>402.5</v>
      </c>
      <c r="F57" s="88">
        <f>(IFERROR(ROUND(VLOOKUP($A57,'Arranjos Consolidados'!$E$3:$BM$303,6,FALSE)*100,1),""))</f>
        <v>32.5</v>
      </c>
      <c r="G57" s="87">
        <f>(IFERROR(ROUND(VLOOKUP($A57,'Arranjos Consolidados'!$E$3:$BM$303,D$42,FALSE),1),""))</f>
        <v>130</v>
      </c>
      <c r="H57" s="87">
        <f>(IFERROR(ROUND(VLOOKUP($A57,'Arranjos Consolidados'!$E$3:$BM$303,E$42,FALSE),1),""))</f>
        <v>21.5</v>
      </c>
      <c r="I57" s="87">
        <f>(IFERROR(ROUND(VLOOKUP($A57,'Arranjos Consolidados'!$E$3:$BM$303,F$42,FALSE),1),""))</f>
        <v>66.400000000000006</v>
      </c>
      <c r="J57" s="87">
        <f>(IFERROR(ROUND(VLOOKUP($A57,'Arranjos Consolidados'!$E$3:$BM$303,G$42,FALSE),1),""))</f>
        <v>5.3</v>
      </c>
      <c r="K57" s="87">
        <f>(IFERROR(ROUND(VLOOKUP($A57,'Arranjos Consolidados'!$E$3:$BM$303,H$42,FALSE),1),""))</f>
        <v>11.9</v>
      </c>
      <c r="L57" s="87">
        <f>(IFERROR(ROUND(VLOOKUP($A57,'Arranjos Consolidados'!$E$3:$BM$303,I$42,FALSE),1),""))</f>
        <v>26.8</v>
      </c>
      <c r="M57" s="87">
        <f>(IFERROR(ROUND(VLOOKUP($A57,'Arranjos Consolidados'!$E$3:$BM$303,J$42,FALSE),1),""))</f>
        <v>13.1</v>
      </c>
      <c r="N57" s="87">
        <f>(IFERROR(ROUND(VLOOKUP($A57,'Arranjos Consolidados'!$E$3:$BM$303,L$42,FALSE),1),""))</f>
        <v>9.3000000000000007</v>
      </c>
      <c r="O57" s="87">
        <f>(IFERROR(ROUND(VLOOKUP(A57,'Arranjos Consolidados'!$E$3:$BM$303,20,FALSE),0),""))</f>
        <v>0</v>
      </c>
      <c r="P57" s="87">
        <f>(IFERROR(ROUND(VLOOKUP(A57,'Arranjos Consolidados'!$E$3:$BM$303,18,FALSE),0),""))</f>
        <v>0</v>
      </c>
    </row>
    <row r="58" spans="1:16" x14ac:dyDescent="0.25">
      <c r="A58" s="40" t="str">
        <f>_xlfn.CONCAT(B53,"SA2")</f>
        <v>M1A1SA2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88" t="str">
        <f>(IFERROR(ROUND(VLOOKUP($A58,'Arranjos Consolidados'!$E$3:$BM$303,6,FALSE)*100,1),""))</f>
        <v/>
      </c>
      <c r="G58" s="87" t="str">
        <f>(IFERROR(ROUND(VLOOKUP($A58,'Arranjos Consolidados'!$E$3:$BM$303,D$42,FALSE),1),""))</f>
        <v/>
      </c>
      <c r="H58" s="87" t="str">
        <f>(IFERROR(ROUND(VLOOKUP($A58,'Arranjos Consolidados'!$E$3:$BM$303,E$42,FALSE),1),""))</f>
        <v/>
      </c>
      <c r="I58" s="87" t="str">
        <f>(IFERROR(ROUND(VLOOKUP($A58,'Arranjos Consolidados'!$E$3:$BM$303,F$42,FALSE),1),""))</f>
        <v/>
      </c>
      <c r="J58" s="87" t="str">
        <f>(IFERROR(ROUND(VLOOKUP($A58,'Arranjos Consolidados'!$E$3:$BM$303,G$42,FALSE),1),""))</f>
        <v/>
      </c>
      <c r="K58" s="87" t="str">
        <f>(IFERROR(ROUND(VLOOKUP($A58,'Arranjos Consolidados'!$E$3:$BM$303,H$42,FALSE),1),""))</f>
        <v/>
      </c>
      <c r="L58" s="87" t="str">
        <f>(IFERROR(ROUND(VLOOKUP($A58,'Arranjos Consolidados'!$E$3:$BM$303,I$42,FALSE),1),""))</f>
        <v/>
      </c>
      <c r="M58" s="87" t="str">
        <f>(IFERROR(ROUND(VLOOKUP($A58,'Arranjos Consolidados'!$E$3:$BM$303,J$42,FALSE),1),""))</f>
        <v/>
      </c>
      <c r="N58" s="87" t="str">
        <f>(IFERROR(ROUND(VLOOKUP($A58,'Arranjos Consolidados'!$E$3:$BM$303,L$42,FALSE),1),""))</f>
        <v/>
      </c>
      <c r="O58" s="87" t="str">
        <f>(IFERROR(ROUND(VLOOKUP(A58,'Arranjos Consolidados'!$E$3:$BM$303,20,FALSE),0),""))</f>
        <v/>
      </c>
      <c r="P58" s="87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M1A1SA3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25">
      <c r="A60" s="40" t="str">
        <f>B53</f>
        <v>M1A1</v>
      </c>
      <c r="B60" s="40" t="s">
        <v>9688</v>
      </c>
      <c r="C60" s="39"/>
      <c r="D60" s="40">
        <f>(IFERROR(ROUND(VLOOKUP($A60,'Arranjos Consolidados'!$E$3:$BM$303,21,FALSE),1),""))</f>
        <v>486.5</v>
      </c>
      <c r="E60" s="40">
        <f>(IFERROR(ROUND(VLOOKUP($A60,'Arranjos Consolidados'!$E$3:$BM$303,5,FALSE),1),""))</f>
        <v>402.5</v>
      </c>
      <c r="F60" s="88">
        <f>(IFERROR(ROUND(VLOOKUP($A60,'Arranjos Consolidados'!$E$3:$BM$303,6,FALSE)*100,1),""))</f>
        <v>32.5</v>
      </c>
      <c r="G60" s="87">
        <f>(IFERROR(ROUND(VLOOKUP($A60,'Arranjos Consolidados'!$E$3:$BM$303,D$42,FALSE),1),""))</f>
        <v>130</v>
      </c>
      <c r="H60" s="87">
        <f>(IFERROR(ROUND(VLOOKUP($A60,'Arranjos Consolidados'!$E$3:$BM$303,E$42,FALSE),1),""))</f>
        <v>21.5</v>
      </c>
      <c r="I60" s="87">
        <f>(IFERROR(ROUND(VLOOKUP($A60,'Arranjos Consolidados'!$E$3:$BM$303,F$42,FALSE),1),""))</f>
        <v>66.400000000000006</v>
      </c>
      <c r="J60" s="87">
        <f>(IFERROR(ROUND(VLOOKUP($A60,'Arranjos Consolidados'!$E$3:$BM$303,G$42,FALSE),1),""))</f>
        <v>5.3</v>
      </c>
      <c r="K60" s="87">
        <f>(IFERROR(ROUND(VLOOKUP($A60,'Arranjos Consolidados'!$E$3:$BM$303,H$42,FALSE),1),""))</f>
        <v>11.9</v>
      </c>
      <c r="L60" s="87">
        <f>(IFERROR(ROUND(VLOOKUP($A60,'Arranjos Consolidados'!$E$3:$BM$303,I$42,FALSE),1),""))</f>
        <v>26.8</v>
      </c>
      <c r="M60" s="87">
        <f>(IFERROR(ROUND(VLOOKUP($A60,'Arranjos Consolidados'!$E$3:$BM$303,J$42,FALSE),1),""))</f>
        <v>13.1</v>
      </c>
      <c r="N60" s="87">
        <f>(IFERROR(ROUND(VLOOKUP($A60,'Arranjos Consolidados'!$E$3:$BM$303,L$42,FALSE),1),""))</f>
        <v>9.3000000000000007</v>
      </c>
      <c r="O60" s="87">
        <f>(IFERROR(ROUND(VLOOKUP(A60,'Arranjos Consolidados'!$E$3:$BM$303,20,FALSE),0),""))</f>
        <v>0</v>
      </c>
      <c r="P60" s="87">
        <f>(IFERROR(ROUND(VLOOKUP(A60,'Arranjos Consolidados'!$E$3:$BM$303,18,FALSE),0),""))</f>
        <v>0</v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topLeftCell="A86" zoomScale="80" zoomScaleNormal="80" workbookViewId="0">
      <selection activeCell="BR88" sqref="BR8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4" width="14.42578125" customWidth="1"/>
    <col min="25" max="25" width="83.85546875" bestFit="1" customWidth="1"/>
    <col min="26" max="27" width="14.42578125" customWidth="1"/>
  </cols>
  <sheetData>
    <row r="1" spans="1:27" ht="16.5" customHeight="1" x14ac:dyDescent="0.25">
      <c r="A1" s="121" t="s">
        <v>9943</v>
      </c>
      <c r="B1" s="121"/>
      <c r="C1" s="121"/>
      <c r="D1" s="125" t="s">
        <v>10524</v>
      </c>
      <c r="E1" s="126"/>
      <c r="F1" s="126"/>
      <c r="G1" s="126"/>
      <c r="H1" s="126"/>
      <c r="I1" s="126"/>
      <c r="J1" s="126"/>
      <c r="K1" s="126"/>
      <c r="L1" s="127"/>
      <c r="M1" s="65"/>
      <c r="N1" s="125" t="s">
        <v>10523</v>
      </c>
      <c r="O1" s="126"/>
      <c r="P1" s="126"/>
      <c r="Q1" s="126"/>
      <c r="R1" s="127"/>
      <c r="S1" s="125" t="s">
        <v>10528</v>
      </c>
      <c r="T1" s="126"/>
      <c r="U1" s="126"/>
      <c r="V1" s="126"/>
      <c r="W1" s="127"/>
      <c r="X1" s="121" t="s">
        <v>10531</v>
      </c>
      <c r="Y1" s="121" t="s">
        <v>10532</v>
      </c>
      <c r="Z1" s="121" t="s">
        <v>10533</v>
      </c>
      <c r="AA1" s="121" t="s">
        <v>10534</v>
      </c>
    </row>
    <row r="2" spans="1:27" ht="60" x14ac:dyDescent="0.25">
      <c r="A2" s="122" t="s">
        <v>10457</v>
      </c>
      <c r="B2" s="123"/>
      <c r="C2" s="124"/>
      <c r="D2" s="64" t="s">
        <v>10530</v>
      </c>
      <c r="E2" s="63" t="s">
        <v>10510</v>
      </c>
      <c r="F2" s="63" t="s">
        <v>10511</v>
      </c>
      <c r="G2" s="63" t="s">
        <v>10512</v>
      </c>
      <c r="H2" s="63" t="s">
        <v>10513</v>
      </c>
      <c r="I2" s="63" t="s">
        <v>10514</v>
      </c>
      <c r="J2" s="63" t="s">
        <v>10515</v>
      </c>
      <c r="K2" s="63" t="s">
        <v>10516</v>
      </c>
      <c r="L2" s="63" t="s">
        <v>10517</v>
      </c>
      <c r="M2" s="64" t="s">
        <v>10535</v>
      </c>
      <c r="N2" s="64" t="s">
        <v>10530</v>
      </c>
      <c r="O2" s="63" t="s">
        <v>10520</v>
      </c>
      <c r="P2" s="63" t="s">
        <v>10521</v>
      </c>
      <c r="Q2" s="63" t="s">
        <v>10522</v>
      </c>
      <c r="R2" s="63" t="s">
        <v>10523</v>
      </c>
      <c r="S2" s="64" t="s">
        <v>10530</v>
      </c>
      <c r="T2" s="63" t="s">
        <v>10525</v>
      </c>
      <c r="U2" s="63" t="s">
        <v>10526</v>
      </c>
      <c r="V2" s="63" t="s">
        <v>10527</v>
      </c>
      <c r="W2" s="63" t="s">
        <v>10529</v>
      </c>
      <c r="X2" s="121"/>
      <c r="Y2" s="121"/>
      <c r="Z2" s="121"/>
      <c r="AA2" s="121"/>
    </row>
    <row r="3" spans="1:27" x14ac:dyDescent="0.25">
      <c r="A3" s="67" t="s">
        <v>10454</v>
      </c>
      <c r="B3" s="67" t="str">
        <f>_xlfn.CONCAT($A$2,A3)</f>
        <v>M1A1</v>
      </c>
      <c r="C3" s="67" t="s">
        <v>10518</v>
      </c>
      <c r="D3" s="67" t="str">
        <f>_xlfn.CONCAT($D$1, " - ",B3)</f>
        <v>Esforço - M1A1</v>
      </c>
      <c r="E3" s="67">
        <f>(IFERROR(ROUND(VLOOKUP(B3,'Arranjos Consolidados'!$E$3:$BM$303,25,FALSE),0),""))</f>
        <v>486</v>
      </c>
      <c r="F3" s="67">
        <f>(IFERROR(ROUND(VLOOKUP(B3,'Arranjos Consolidados'!$E$3:$BM$303,23,FALSE),0),""))+(IFERROR(ROUND(VLOOKUP(B3,'Arranjos Consolidados'!$E$3:$BM$303,24,FALSE),0),""))</f>
        <v>0</v>
      </c>
      <c r="G3" s="67">
        <f>E3+F3</f>
        <v>486</v>
      </c>
      <c r="H3" s="67">
        <f>(IFERROR(ROUND(VLOOKUP(B3,'Arranjos Consolidados'!$E$3:$BM$303,27,FALSE),0),""))</f>
        <v>-17</v>
      </c>
      <c r="I3" s="67">
        <f>(IFERROR(ROUND(VLOOKUP(B3,'Arranjos Consolidados'!$E$3:$BM$303,30,FALSE),0),""))</f>
        <v>0</v>
      </c>
      <c r="J3" s="67">
        <f>(IFERROR(ROUND(VLOOKUP(B3,'Arranjos Consolidados'!$E$3:$BM$303,32,FALSE),0),""))</f>
        <v>0</v>
      </c>
      <c r="K3" s="67">
        <f>(IFERROR(ROUND(VLOOKUP(B3,'Arranjos Consolidados'!$E$3:$BM$303,31,FALSE),0),""))</f>
        <v>101</v>
      </c>
      <c r="L3" s="67">
        <f>G3-H3-I3-J3-K3</f>
        <v>402</v>
      </c>
      <c r="M3" s="67">
        <f>G3-L3</f>
        <v>84</v>
      </c>
      <c r="N3" s="67" t="str">
        <f>_xlfn.CONCAT($N$1," - ",B3)</f>
        <v>Ganhos Indiretos - M1A1</v>
      </c>
      <c r="O3" s="67">
        <f>(IFERROR(ROUND(VLOOKUP(B3,'Arranjos Consolidados'!$E$3:$BM$303,44,FALSE),0),""))</f>
        <v>82</v>
      </c>
      <c r="P3" s="67">
        <f>(IFERROR(ROUND(VLOOKUP(B3,'Arranjos Consolidados'!$E$3:$BM$303,48,FALSE),0),""))</f>
        <v>174</v>
      </c>
      <c r="Q3" s="67">
        <f>(IFERROR(ROUND(VLOOKUP(B3,'Arranjos Consolidados'!$E$3:$BM$303,53,FALSE),0),""))</f>
        <v>78</v>
      </c>
      <c r="R3" s="67">
        <f>O3+P3+Q3</f>
        <v>334</v>
      </c>
      <c r="S3" s="67" t="str">
        <f>_xlfn.CONCAT($S$1," - ",B3)</f>
        <v>Desoneração Gestão Pública - M1A1</v>
      </c>
      <c r="T3" s="66">
        <f>(IFERROR(ROUND(VLOOKUP(B3,'Arranjos Consolidados'!$E$3:$BM$303,4,FALSE),0),""))</f>
        <v>200</v>
      </c>
      <c r="U3" s="66">
        <f>(IFERROR(ROUND(VLOOKUP(B3,'Arranjos Consolidados'!$E$3:$BM$303,27,FALSE),0),""))+(IFERROR(ROUND(VLOOKUP(B3,'Arranjos Consolidados'!$E$3:$BM$303,28,FALSE),0),""))</f>
        <v>-17</v>
      </c>
      <c r="V3" s="66">
        <f>(IFERROR(ROUND(VLOOKUP(B3,'Arranjos Consolidados'!$E$3:$BM$303,29,FALSE),0),""))+(IFERROR(ROUND(VLOOKUP(B3,'Arranjos Consolidados'!$E$3:$BM$303,30,FALSE),0),""))</f>
        <v>0</v>
      </c>
      <c r="W3" s="66">
        <f>T3+U3+V3</f>
        <v>183</v>
      </c>
      <c r="X3" s="68">
        <f>ROUND((M3+R3+W3-E3-F3)/L3*100,0)</f>
        <v>29</v>
      </c>
      <c r="Y3" s="67" t="str">
        <f>_xlfn.CONCAT("Modicidade Tarifaria (",M3,") + Ganhos Indiretos (",R3,") + Desoneração (",W3,") - Tar. Bruta (",E3,")"," - Custo Mov. (",F3,")")</f>
        <v>Modicidade Tarifaria (84) + Ganhos Indiretos (334) + Desoneração (183) - Tar. Bruta (486) - Custo Mov. (0)</v>
      </c>
      <c r="Z3" s="67" t="str">
        <f>_xlfn.CONCAT("TARIFA LÍQUIDA (",L3,")")</f>
        <v>TARIFA LÍQUIDA (402)</v>
      </c>
      <c r="AA3" s="67" t="str">
        <f>_xlfn.CONCAT("EFICIÊNCIA VALORIZAÇÃO = ",X3,"%")</f>
        <v>EFICIÊNCIA VALORIZAÇÃO = 29%</v>
      </c>
    </row>
    <row r="4" spans="1:27" x14ac:dyDescent="0.25">
      <c r="A4" s="67" t="str">
        <f>A3</f>
        <v>A1</v>
      </c>
      <c r="B4" s="67" t="str">
        <f t="shared" ref="B4:B10" si="0">_xlfn.CONCAT($A$2,A4)</f>
        <v>M1A1</v>
      </c>
      <c r="C4" s="67" t="s">
        <v>10519</v>
      </c>
      <c r="D4" s="67" t="str">
        <f t="shared" ref="D4:D10" si="1">_xlfn.CONCAT($D$1, " - ",B4)</f>
        <v>Esforço - M1A1</v>
      </c>
      <c r="E4" s="67">
        <v>0</v>
      </c>
      <c r="F4" s="67">
        <f>E3</f>
        <v>486</v>
      </c>
      <c r="G4" s="67">
        <v>0</v>
      </c>
      <c r="H4" s="67">
        <f>G3-H3</f>
        <v>503</v>
      </c>
      <c r="I4" s="67">
        <f>H4-I3</f>
        <v>503</v>
      </c>
      <c r="J4" s="67">
        <f>I4-J3</f>
        <v>503</v>
      </c>
      <c r="K4" s="67">
        <f>J4-K3</f>
        <v>402</v>
      </c>
      <c r="L4" s="67">
        <v>0</v>
      </c>
      <c r="M4" s="67" t="s">
        <v>9688</v>
      </c>
      <c r="N4" s="67" t="str">
        <f t="shared" ref="N4:N10" si="2">_xlfn.CONCAT($N$1," - ",B4)</f>
        <v>Ganhos Indiretos - M1A1</v>
      </c>
      <c r="O4" s="67">
        <v>0</v>
      </c>
      <c r="P4" s="67">
        <f>O3+O4</f>
        <v>82</v>
      </c>
      <c r="Q4" s="67">
        <f>P3+P4</f>
        <v>256</v>
      </c>
      <c r="R4" s="67">
        <v>0</v>
      </c>
      <c r="S4" s="67" t="str">
        <f t="shared" ref="S4:S10" si="3">_xlfn.CONCAT($S$1," - ",B4)</f>
        <v>Desoneração Gestão Pública - M1A1</v>
      </c>
      <c r="T4" s="66">
        <v>0</v>
      </c>
      <c r="U4" s="66">
        <f>T3+T4</f>
        <v>200</v>
      </c>
      <c r="V4" s="66">
        <f>U3+U4</f>
        <v>183</v>
      </c>
      <c r="W4" s="66">
        <v>0</v>
      </c>
      <c r="X4" s="68" t="s">
        <v>9688</v>
      </c>
      <c r="Y4" s="67" t="s">
        <v>9688</v>
      </c>
      <c r="Z4" s="67" t="s">
        <v>9688</v>
      </c>
      <c r="AA4" s="67" t="s">
        <v>9688</v>
      </c>
    </row>
    <row r="5" spans="1:27" x14ac:dyDescent="0.25">
      <c r="A5" s="67" t="s">
        <v>10455</v>
      </c>
      <c r="B5" s="67" t="str">
        <f t="shared" si="0"/>
        <v>M1A3</v>
      </c>
      <c r="C5" s="67" t="s">
        <v>10518</v>
      </c>
      <c r="D5" s="67" t="str">
        <f t="shared" si="1"/>
        <v>Esforço - M1A3</v>
      </c>
      <c r="E5" s="67">
        <f>(IFERROR(ROUND(VLOOKUP(B5,'Arranjos Consolidados'!$E$3:$BM$303,25,FALSE),0),""))</f>
        <v>610</v>
      </c>
      <c r="F5" s="67">
        <f>(IFERROR(ROUND(VLOOKUP(B5,'Arranjos Consolidados'!$E$3:$BM$303,23,FALSE),0),""))+(IFERROR(ROUND(VLOOKUP(B5,'Arranjos Consolidados'!$E$3:$BM$303,24,FALSE),0),""))</f>
        <v>0</v>
      </c>
      <c r="G5" s="67">
        <f>E5+F5</f>
        <v>610</v>
      </c>
      <c r="H5" s="67">
        <f>(IFERROR(ROUND(VLOOKUP(B5,'Arranjos Consolidados'!$E$3:$BM$303,27,FALSE),0),""))</f>
        <v>-17</v>
      </c>
      <c r="I5" s="67">
        <f>(IFERROR(ROUND(VLOOKUP(B5,'Arranjos Consolidados'!$E$3:$BM$303,30,FALSE),0),""))</f>
        <v>0</v>
      </c>
      <c r="J5" s="67">
        <f>(IFERROR(ROUND(VLOOKUP(B5,'Arranjos Consolidados'!$E$3:$BM$303,32,FALSE),0),""))</f>
        <v>0</v>
      </c>
      <c r="K5" s="67">
        <f>(IFERROR(ROUND(VLOOKUP(B5,'Arranjos Consolidados'!$E$3:$BM$303,31,FALSE),0),""))</f>
        <v>101</v>
      </c>
      <c r="L5" s="67">
        <f>G5-H5-I5-J5-K5</f>
        <v>526</v>
      </c>
      <c r="M5" s="67">
        <f>G5-L5</f>
        <v>84</v>
      </c>
      <c r="N5" s="67" t="str">
        <f t="shared" si="2"/>
        <v>Ganhos Indiretos - M1A3</v>
      </c>
      <c r="O5" s="67">
        <f>(IFERROR(ROUND(VLOOKUP(B5,'Arranjos Consolidados'!$E$3:$BM$303,44,FALSE),0),""))</f>
        <v>82</v>
      </c>
      <c r="P5" s="67">
        <f>(IFERROR(ROUND(VLOOKUP(B5,'Arranjos Consolidados'!$E$3:$BM$303,48,FALSE),0),""))</f>
        <v>185</v>
      </c>
      <c r="Q5" s="67">
        <f>(IFERROR(ROUND(VLOOKUP(B5,'Arranjos Consolidados'!$E$3:$BM$303,53,FALSE),0),""))</f>
        <v>103</v>
      </c>
      <c r="R5" s="67">
        <f>O5+P5+Q5</f>
        <v>370</v>
      </c>
      <c r="S5" s="67" t="str">
        <f t="shared" si="3"/>
        <v>Desoneração Gestão Pública - M1A3</v>
      </c>
      <c r="T5" s="66">
        <f>(IFERROR(ROUND(VLOOKUP(B5,'Arranjos Consolidados'!$E$3:$BM$303,4,FALSE),0),""))</f>
        <v>200</v>
      </c>
      <c r="U5" s="66">
        <f>(IFERROR(ROUND(VLOOKUP(B5,'Arranjos Consolidados'!$E$3:$BM$303,27,FALSE),0),""))+(IFERROR(ROUND(VLOOKUP(B5,'Arranjos Consolidados'!$E$3:$BM$303,28,FALSE),0),""))</f>
        <v>-17</v>
      </c>
      <c r="V5" s="66">
        <f>(IFERROR(ROUND(VLOOKUP(B5,'Arranjos Consolidados'!$E$3:$BM$303,29,FALSE),0),""))+(IFERROR(ROUND(VLOOKUP(B5,'Arranjos Consolidados'!$E$3:$BM$303,30,FALSE),0),""))</f>
        <v>0</v>
      </c>
      <c r="W5" s="66">
        <f>T5+U5+V5</f>
        <v>183</v>
      </c>
      <c r="X5" s="68">
        <f t="shared" ref="X5:X9" si="4">ROUND((M5+R5+W5-E5-F5)/L5*100,0)</f>
        <v>5</v>
      </c>
      <c r="Y5" s="67" t="str">
        <f t="shared" ref="Y5:Y9" si="5">_xlfn.CONCAT("Modicidade Tarifaria (",M5,") + Ganhos Indiretos (",R5,") + Desoneração (",W5,") - Tar. Bruta (",E5,")"," - Custo Mov. (",F5,")")</f>
        <v>Modicidade Tarifaria (84) + Ganhos Indiretos (370) + Desoneração (183) - Tar. Bruta (610) - Custo Mov. (0)</v>
      </c>
      <c r="Z5" s="67" t="str">
        <f>_xlfn.CONCAT("TARIFA LÍQUIDA (",L5,")")</f>
        <v>TARIFA LÍQUIDA (526)</v>
      </c>
      <c r="AA5" s="67" t="str">
        <f>_xlfn.CONCAT("EFICIÊNCIA VALORIZAÇÃO = ",X5,"%")</f>
        <v>EFICIÊNCIA VALORIZAÇÃO = 5%</v>
      </c>
    </row>
    <row r="6" spans="1:27" x14ac:dyDescent="0.25">
      <c r="A6" s="67" t="str">
        <f>A5</f>
        <v>A3</v>
      </c>
      <c r="B6" s="67" t="str">
        <f t="shared" si="0"/>
        <v>M1A3</v>
      </c>
      <c r="C6" s="67" t="s">
        <v>10519</v>
      </c>
      <c r="D6" s="67" t="str">
        <f t="shared" si="1"/>
        <v>Esforço - M1A3</v>
      </c>
      <c r="E6" s="67">
        <v>0</v>
      </c>
      <c r="F6" s="67">
        <f>E5</f>
        <v>610</v>
      </c>
      <c r="G6" s="67">
        <v>0</v>
      </c>
      <c r="H6" s="67">
        <f>G5-H5</f>
        <v>627</v>
      </c>
      <c r="I6" s="67">
        <f>H6-I5</f>
        <v>627</v>
      </c>
      <c r="J6" s="67">
        <f>I6-J5</f>
        <v>627</v>
      </c>
      <c r="K6" s="67">
        <f>J6-K5</f>
        <v>526</v>
      </c>
      <c r="L6" s="67">
        <v>0</v>
      </c>
      <c r="M6" s="67" t="s">
        <v>9688</v>
      </c>
      <c r="N6" s="67" t="str">
        <f t="shared" si="2"/>
        <v>Ganhos Indiretos - M1A3</v>
      </c>
      <c r="O6" s="67">
        <v>0</v>
      </c>
      <c r="P6" s="67">
        <f>O5+O6</f>
        <v>82</v>
      </c>
      <c r="Q6" s="67">
        <f>P5+P6</f>
        <v>267</v>
      </c>
      <c r="R6" s="67">
        <v>0</v>
      </c>
      <c r="S6" s="67" t="str">
        <f t="shared" si="3"/>
        <v>Desoneração Gestão Pública - M1A3</v>
      </c>
      <c r="T6" s="66">
        <v>0</v>
      </c>
      <c r="U6" s="66">
        <f>T5+T6</f>
        <v>200</v>
      </c>
      <c r="V6" s="66">
        <f>U5+U6</f>
        <v>183</v>
      </c>
      <c r="W6" s="66">
        <v>0</v>
      </c>
      <c r="X6" s="68" t="s">
        <v>9688</v>
      </c>
      <c r="Y6" s="67" t="s">
        <v>9688</v>
      </c>
      <c r="Z6" s="67" t="s">
        <v>9688</v>
      </c>
      <c r="AA6" s="67" t="s">
        <v>9688</v>
      </c>
    </row>
    <row r="7" spans="1:27" x14ac:dyDescent="0.25">
      <c r="A7" s="67" t="s">
        <v>10319</v>
      </c>
      <c r="B7" s="67" t="str">
        <f t="shared" si="0"/>
        <v>M1A4</v>
      </c>
      <c r="C7" s="67" t="s">
        <v>10518</v>
      </c>
      <c r="D7" s="67" t="str">
        <f t="shared" si="1"/>
        <v>Esforço - M1A4</v>
      </c>
      <c r="E7" s="67">
        <f>(IFERROR(ROUND(VLOOKUP(B7,'Arranjos Consolidados'!$E$3:$BM$303,25,FALSE),0),""))</f>
        <v>790</v>
      </c>
      <c r="F7" s="67">
        <f>(IFERROR(ROUND(VLOOKUP(B7,'Arranjos Consolidados'!$E$3:$BM$303,23,FALSE),0),""))+(IFERROR(ROUND(VLOOKUP(B7,'Arranjos Consolidados'!$E$3:$BM$303,24,FALSE),0),""))</f>
        <v>0</v>
      </c>
      <c r="G7" s="67">
        <f>E7+F7</f>
        <v>790</v>
      </c>
      <c r="H7" s="67">
        <f>(IFERROR(ROUND(VLOOKUP(B7,'Arranjos Consolidados'!$E$3:$BM$303,27,FALSE),0),""))</f>
        <v>-17</v>
      </c>
      <c r="I7" s="67">
        <f>(IFERROR(ROUND(VLOOKUP(B7,'Arranjos Consolidados'!$E$3:$BM$303,30,FALSE),0),""))</f>
        <v>0</v>
      </c>
      <c r="J7" s="67">
        <f>(IFERROR(ROUND(VLOOKUP(B7,'Arranjos Consolidados'!$E$3:$BM$303,32,FALSE),0),""))</f>
        <v>0</v>
      </c>
      <c r="K7" s="67">
        <f>(IFERROR(ROUND(VLOOKUP(B7,'Arranjos Consolidados'!$E$3:$BM$303,31,FALSE),0),""))</f>
        <v>101</v>
      </c>
      <c r="L7" s="67">
        <f>G7-H7-I7-J7-K7</f>
        <v>706</v>
      </c>
      <c r="M7" s="67">
        <f>G7-L7</f>
        <v>84</v>
      </c>
      <c r="N7" s="67" t="str">
        <f t="shared" si="2"/>
        <v>Ganhos Indiretos - M1A4</v>
      </c>
      <c r="O7" s="67">
        <f>(IFERROR(ROUND(VLOOKUP(B7,'Arranjos Consolidados'!$E$3:$BM$303,44,FALSE),0),""))</f>
        <v>88</v>
      </c>
      <c r="P7" s="67">
        <f>(IFERROR(ROUND(VLOOKUP(B7,'Arranjos Consolidados'!$E$3:$BM$303,48,FALSE),0),""))</f>
        <v>261</v>
      </c>
      <c r="Q7" s="67">
        <f>(IFERROR(ROUND(VLOOKUP(B7,'Arranjos Consolidados'!$E$3:$BM$303,53,FALSE),0),""))</f>
        <v>128</v>
      </c>
      <c r="R7" s="67">
        <f>O7+P7+Q7</f>
        <v>477</v>
      </c>
      <c r="S7" s="67" t="str">
        <f t="shared" si="3"/>
        <v>Desoneração Gestão Pública - M1A4</v>
      </c>
      <c r="T7" s="66">
        <f>(IFERROR(ROUND(VLOOKUP(B7,'Arranjos Consolidados'!$E$3:$BM$303,4,FALSE),0),""))</f>
        <v>200</v>
      </c>
      <c r="U7" s="66">
        <f>(IFERROR(ROUND(VLOOKUP(B7,'Arranjos Consolidados'!$E$3:$BM$303,27,FALSE),0),""))+(IFERROR(ROUND(VLOOKUP(B7,'Arranjos Consolidados'!$E$3:$BM$303,28,FALSE),0),""))</f>
        <v>-17</v>
      </c>
      <c r="V7" s="66">
        <f>(IFERROR(ROUND(VLOOKUP(B7,'Arranjos Consolidados'!$E$3:$BM$303,29,FALSE),0),""))+(IFERROR(ROUND(VLOOKUP(B7,'Arranjos Consolidados'!$E$3:$BM$303,30,FALSE),0),""))</f>
        <v>0</v>
      </c>
      <c r="W7" s="66">
        <f>T7+U7+V7</f>
        <v>183</v>
      </c>
      <c r="X7" s="68">
        <f t="shared" si="4"/>
        <v>-7</v>
      </c>
      <c r="Y7" s="67" t="str">
        <f t="shared" si="5"/>
        <v>Modicidade Tarifaria (84) + Ganhos Indiretos (477) + Desoneração (183) - Tar. Bruta (790) - Custo Mov. (0)</v>
      </c>
      <c r="Z7" s="67" t="str">
        <f>_xlfn.CONCAT("TARIFA LÍQUIDA (",L7,")")</f>
        <v>TARIFA LÍQUIDA (706)</v>
      </c>
      <c r="AA7" s="67" t="str">
        <f>_xlfn.CONCAT("EFICIÊNCIA VALORIZAÇÃO = ",X7,"%")</f>
        <v>EFICIÊNCIA VALORIZAÇÃO = -7%</v>
      </c>
    </row>
    <row r="8" spans="1:27" x14ac:dyDescent="0.25">
      <c r="A8" s="67" t="str">
        <f>A7</f>
        <v>A4</v>
      </c>
      <c r="B8" s="67" t="str">
        <f t="shared" si="0"/>
        <v>M1A4</v>
      </c>
      <c r="C8" s="67" t="s">
        <v>10519</v>
      </c>
      <c r="D8" s="67" t="str">
        <f t="shared" si="1"/>
        <v>Esforço - M1A4</v>
      </c>
      <c r="E8" s="67">
        <v>0</v>
      </c>
      <c r="F8" s="67">
        <f>E7</f>
        <v>790</v>
      </c>
      <c r="G8" s="67">
        <v>0</v>
      </c>
      <c r="H8" s="67">
        <f>G7-H7</f>
        <v>807</v>
      </c>
      <c r="I8" s="67">
        <f>H8-I7</f>
        <v>807</v>
      </c>
      <c r="J8" s="67">
        <f>I8-J7</f>
        <v>807</v>
      </c>
      <c r="K8" s="67">
        <f>J8-K7</f>
        <v>706</v>
      </c>
      <c r="L8" s="67">
        <v>0</v>
      </c>
      <c r="M8" s="67" t="s">
        <v>9688</v>
      </c>
      <c r="N8" s="67" t="str">
        <f t="shared" si="2"/>
        <v>Ganhos Indiretos - M1A4</v>
      </c>
      <c r="O8" s="67">
        <v>0</v>
      </c>
      <c r="P8" s="67">
        <f>O7+O8</f>
        <v>88</v>
      </c>
      <c r="Q8" s="67">
        <f>P7+P8</f>
        <v>349</v>
      </c>
      <c r="R8" s="67">
        <v>0</v>
      </c>
      <c r="S8" s="67" t="str">
        <f t="shared" si="3"/>
        <v>Desoneração Gestão Pública - M1A4</v>
      </c>
      <c r="T8" s="66">
        <v>0</v>
      </c>
      <c r="U8" s="66">
        <f>T7+T8</f>
        <v>200</v>
      </c>
      <c r="V8" s="66">
        <f>U7+U8</f>
        <v>183</v>
      </c>
      <c r="W8" s="66">
        <v>0</v>
      </c>
      <c r="X8" s="68" t="s">
        <v>9688</v>
      </c>
      <c r="Y8" s="67" t="s">
        <v>9688</v>
      </c>
      <c r="Z8" s="67" t="s">
        <v>9688</v>
      </c>
      <c r="AA8" s="67" t="s">
        <v>9688</v>
      </c>
    </row>
    <row r="9" spans="1:27" x14ac:dyDescent="0.25">
      <c r="A9" s="67" t="s">
        <v>10566</v>
      </c>
      <c r="B9" s="67" t="str">
        <f t="shared" si="0"/>
        <v>M1A5</v>
      </c>
      <c r="C9" s="67" t="s">
        <v>10518</v>
      </c>
      <c r="D9" s="67" t="str">
        <f t="shared" si="1"/>
        <v>Esforço - M1A5</v>
      </c>
      <c r="E9" s="67">
        <f>(IFERROR(ROUND(VLOOKUP(B9,'Arranjos Consolidados'!$E$3:$BM$303,25,FALSE),0),""))</f>
        <v>790</v>
      </c>
      <c r="F9" s="67">
        <f>(IFERROR(ROUND(VLOOKUP(B9,'Arranjos Consolidados'!$E$3:$BM$303,23,FALSE),0),""))+(IFERROR(ROUND(VLOOKUP(B9,'Arranjos Consolidados'!$E$3:$BM$303,24,FALSE),0),""))</f>
        <v>0</v>
      </c>
      <c r="G9" s="67">
        <f>E9+F9</f>
        <v>790</v>
      </c>
      <c r="H9" s="67">
        <f>(IFERROR(ROUND(VLOOKUP(B9,'Arranjos Consolidados'!$E$3:$BM$303,27,FALSE),0),""))</f>
        <v>-17</v>
      </c>
      <c r="I9" s="67">
        <f>(IFERROR(ROUND(VLOOKUP(B9,'Arranjos Consolidados'!$E$3:$BM$303,30,FALSE),0),""))</f>
        <v>0</v>
      </c>
      <c r="J9" s="67">
        <f>(IFERROR(ROUND(VLOOKUP(B9,'Arranjos Consolidados'!$E$3:$BM$303,32,FALSE),0),""))</f>
        <v>0</v>
      </c>
      <c r="K9" s="67">
        <f>(IFERROR(ROUND(VLOOKUP(B9,'Arranjos Consolidados'!$E$3:$BM$303,31,FALSE),0),""))</f>
        <v>101</v>
      </c>
      <c r="L9" s="67">
        <f>G9-H9-I9-J9-K9</f>
        <v>706</v>
      </c>
      <c r="M9" s="67">
        <f>G9-L9</f>
        <v>84</v>
      </c>
      <c r="N9" s="67" t="str">
        <f t="shared" si="2"/>
        <v>Ganhos Indiretos - M1A5</v>
      </c>
      <c r="O9" s="67">
        <f>(IFERROR(ROUND(VLOOKUP(B9,'Arranjos Consolidados'!$E$3:$BM$303,44,FALSE),0),""))</f>
        <v>88</v>
      </c>
      <c r="P9" s="67">
        <f>(IFERROR(ROUND(VLOOKUP(B9,'Arranjos Consolidados'!$E$3:$BM$303,48,FALSE),0),""))</f>
        <v>261</v>
      </c>
      <c r="Q9" s="67">
        <f>(IFERROR(ROUND(VLOOKUP(B9,'Arranjos Consolidados'!$E$3:$BM$303,53,FALSE),0),""))</f>
        <v>128</v>
      </c>
      <c r="R9" s="67">
        <f>O9+P9+Q9</f>
        <v>477</v>
      </c>
      <c r="S9" s="67" t="str">
        <f t="shared" si="3"/>
        <v>Desoneração Gestão Pública - M1A5</v>
      </c>
      <c r="T9" s="66">
        <f>(IFERROR(ROUND(VLOOKUP(B9,'Arranjos Consolidados'!$E$3:$BM$303,4,FALSE),0),""))</f>
        <v>200</v>
      </c>
      <c r="U9" s="66">
        <f>(IFERROR(ROUND(VLOOKUP(B9,'Arranjos Consolidados'!$E$3:$BM$303,27,FALSE),0),""))+(IFERROR(ROUND(VLOOKUP(B9,'Arranjos Consolidados'!$E$3:$BM$303,28,FALSE),0),""))</f>
        <v>-17</v>
      </c>
      <c r="V9" s="66">
        <f>(IFERROR(ROUND(VLOOKUP(B9,'Arranjos Consolidados'!$E$3:$BM$303,29,FALSE),0),""))+(IFERROR(ROUND(VLOOKUP(B9,'Arranjos Consolidados'!$E$3:$BM$303,30,FALSE),0),""))</f>
        <v>0</v>
      </c>
      <c r="W9" s="66">
        <f>T9+U9+V9</f>
        <v>183</v>
      </c>
      <c r="X9" s="68">
        <f t="shared" si="4"/>
        <v>-7</v>
      </c>
      <c r="Y9" s="67" t="str">
        <f t="shared" si="5"/>
        <v>Modicidade Tarifaria (84) + Ganhos Indiretos (477) + Desoneração (183) - Tar. Bruta (790) - Custo Mov. (0)</v>
      </c>
      <c r="Z9" s="67" t="str">
        <f>_xlfn.CONCAT("TARIFA LÍQUIDA (",L9,")")</f>
        <v>TARIFA LÍQUIDA (706)</v>
      </c>
      <c r="AA9" s="67" t="str">
        <f>_xlfn.CONCAT("EFICIÊNCIA VALORIZAÇÃO = ",X9,"%")</f>
        <v>EFICIÊNCIA VALORIZAÇÃO = -7%</v>
      </c>
    </row>
    <row r="10" spans="1:27" x14ac:dyDescent="0.25">
      <c r="A10" s="67" t="str">
        <f>A9</f>
        <v>A5</v>
      </c>
      <c r="B10" s="67" t="str">
        <f t="shared" si="0"/>
        <v>M1A5</v>
      </c>
      <c r="C10" s="67" t="s">
        <v>10519</v>
      </c>
      <c r="D10" s="67" t="str">
        <f t="shared" si="1"/>
        <v>Esforço - M1A5</v>
      </c>
      <c r="E10" s="67">
        <v>0</v>
      </c>
      <c r="F10" s="67">
        <f>E9</f>
        <v>790</v>
      </c>
      <c r="G10" s="67">
        <v>0</v>
      </c>
      <c r="H10" s="67">
        <f>G9-H9</f>
        <v>807</v>
      </c>
      <c r="I10" s="67">
        <f>H10-I9</f>
        <v>807</v>
      </c>
      <c r="J10" s="67">
        <f>I10-J9</f>
        <v>807</v>
      </c>
      <c r="K10" s="67">
        <f>J10-K9</f>
        <v>706</v>
      </c>
      <c r="L10" s="67">
        <v>0</v>
      </c>
      <c r="M10" s="67" t="s">
        <v>9688</v>
      </c>
      <c r="N10" s="67" t="str">
        <f t="shared" si="2"/>
        <v>Ganhos Indiretos - M1A5</v>
      </c>
      <c r="O10" s="67">
        <v>0</v>
      </c>
      <c r="P10" s="67">
        <f>O9+O10</f>
        <v>88</v>
      </c>
      <c r="Q10" s="67">
        <f>P9+P10</f>
        <v>349</v>
      </c>
      <c r="R10" s="67">
        <v>0</v>
      </c>
      <c r="S10" s="67" t="str">
        <f t="shared" si="3"/>
        <v>Desoneração Gestão Pública - M1A5</v>
      </c>
      <c r="T10" s="66">
        <v>0</v>
      </c>
      <c r="U10" s="66">
        <f>T9+T10</f>
        <v>200</v>
      </c>
      <c r="V10" s="66">
        <f>U9+U10</f>
        <v>183</v>
      </c>
      <c r="W10" s="66">
        <v>0</v>
      </c>
      <c r="X10" s="68" t="s">
        <v>9688</v>
      </c>
      <c r="Y10" s="67" t="s">
        <v>9688</v>
      </c>
      <c r="Z10" s="66" t="s">
        <v>9688</v>
      </c>
      <c r="AA10" s="66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/>
  </sheetViews>
  <sheetFormatPr defaultRowHeight="15" x14ac:dyDescent="0.25"/>
  <cols>
    <col min="1" max="21" width="9.140625" customWidth="1"/>
  </cols>
  <sheetData>
    <row r="11" spans="6:21" x14ac:dyDescent="0.25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75" x14ac:dyDescent="0.25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25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25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75" x14ac:dyDescent="0.25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25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25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75" x14ac:dyDescent="0.25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25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25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75" x14ac:dyDescent="0.25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25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25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25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25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25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75" x14ac:dyDescent="0.25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3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6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2023-04-07T17:22:24Z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