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DC58C702-756F-40EA-AFDC-4E90141842B9}" xr6:coauthVersionLast="47" xr6:coauthVersionMax="47" xr10:uidLastSave="{00000000-0000-0000-0000-000000000000}"/>
  <bookViews>
    <workbookView xWindow="28680" yWindow="-120" windowWidth="29040" windowHeight="157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230" i="10" l="1"/>
  <c r="BL230" i="10"/>
  <c r="BK230" i="10"/>
  <c r="BJ230" i="10"/>
  <c r="BI230" i="10"/>
  <c r="BH230" i="10"/>
  <c r="BG230" i="10"/>
  <c r="BF230" i="10"/>
  <c r="BE230" i="10"/>
  <c r="BD230" i="10"/>
  <c r="BC230" i="10"/>
  <c r="BB230" i="10"/>
  <c r="BA230" i="10"/>
  <c r="AZ230" i="10"/>
  <c r="AY230" i="10"/>
  <c r="AX230" i="10"/>
  <c r="AW230" i="10"/>
  <c r="AV230" i="10"/>
  <c r="AU230" i="10"/>
  <c r="AT230" i="10"/>
  <c r="AS230" i="10"/>
  <c r="AR230" i="10"/>
  <c r="AQ230" i="10"/>
  <c r="AP230" i="10"/>
  <c r="AO230" i="10"/>
  <c r="AN230" i="10"/>
  <c r="AM230" i="10"/>
  <c r="AL230" i="10"/>
  <c r="AK230" i="10"/>
  <c r="AJ230" i="10"/>
  <c r="AI230" i="10"/>
  <c r="AH230" i="10"/>
  <c r="AG230" i="10"/>
  <c r="AF230" i="10"/>
  <c r="AE230" i="10"/>
  <c r="AD230" i="10"/>
  <c r="AC230" i="10"/>
  <c r="AB230" i="10"/>
  <c r="AA230" i="10"/>
  <c r="Z230" i="10"/>
  <c r="Y230" i="10"/>
  <c r="X230" i="10"/>
  <c r="W230" i="10"/>
  <c r="V230" i="10"/>
  <c r="U230" i="10"/>
  <c r="T230" i="10"/>
  <c r="S230" i="10"/>
  <c r="R230" i="10"/>
  <c r="Q230" i="10"/>
  <c r="P230" i="10"/>
  <c r="O230" i="10"/>
  <c r="N230" i="10"/>
  <c r="M230" i="10"/>
  <c r="L230" i="10"/>
  <c r="K230" i="10"/>
  <c r="I230" i="10"/>
  <c r="H230" i="10"/>
  <c r="J230" i="10" s="1"/>
  <c r="G230" i="10"/>
  <c r="F230" i="10"/>
  <c r="BM213" i="10" l="1"/>
  <c r="BL213" i="10"/>
  <c r="BK213" i="10"/>
  <c r="BJ213" i="10"/>
  <c r="BI213" i="10"/>
  <c r="BH213" i="10"/>
  <c r="BG213" i="10"/>
  <c r="BF213" i="10"/>
  <c r="BE213" i="10"/>
  <c r="BD213" i="10"/>
  <c r="BC213" i="10"/>
  <c r="BB213" i="10"/>
  <c r="BA213" i="10"/>
  <c r="AZ213" i="10"/>
  <c r="AY213" i="10"/>
  <c r="AX213" i="10"/>
  <c r="AW213" i="10"/>
  <c r="AV213" i="10"/>
  <c r="AU213" i="10"/>
  <c r="AT213" i="10"/>
  <c r="AS213" i="10"/>
  <c r="AR213" i="10"/>
  <c r="AQ213" i="10"/>
  <c r="AP213" i="10"/>
  <c r="AO213" i="10"/>
  <c r="AN213" i="10"/>
  <c r="AM213" i="10"/>
  <c r="AL213" i="10"/>
  <c r="AK213" i="10"/>
  <c r="AJ213" i="10"/>
  <c r="AI213" i="10"/>
  <c r="AH213" i="10"/>
  <c r="AG213" i="10"/>
  <c r="AF213" i="10"/>
  <c r="AE213" i="10"/>
  <c r="AD213" i="10"/>
  <c r="AC213" i="10"/>
  <c r="AB213" i="10"/>
  <c r="AA213" i="10"/>
  <c r="Z213" i="10"/>
  <c r="Y213" i="10"/>
  <c r="X213" i="10"/>
  <c r="W213" i="10"/>
  <c r="V213" i="10"/>
  <c r="U213" i="10"/>
  <c r="T213" i="10"/>
  <c r="S213" i="10"/>
  <c r="R213" i="10"/>
  <c r="Q213" i="10"/>
  <c r="P213" i="10"/>
  <c r="O213" i="10"/>
  <c r="N213" i="10"/>
  <c r="M213" i="10"/>
  <c r="L213" i="10"/>
  <c r="K213" i="10"/>
  <c r="I213" i="10"/>
  <c r="H213" i="10"/>
  <c r="J213" i="10" s="1"/>
  <c r="G213" i="10"/>
  <c r="F213" i="10"/>
  <c r="BM196" i="10" l="1"/>
  <c r="BL196" i="10"/>
  <c r="BK196" i="10"/>
  <c r="BJ196" i="10"/>
  <c r="BI196" i="10"/>
  <c r="BH196" i="10"/>
  <c r="BG196" i="10"/>
  <c r="BF196" i="10"/>
  <c r="BE196" i="10"/>
  <c r="BD196" i="10"/>
  <c r="BC196" i="10"/>
  <c r="BB196" i="10"/>
  <c r="BA196" i="10"/>
  <c r="AZ196" i="10"/>
  <c r="AY196" i="10"/>
  <c r="AX196" i="10"/>
  <c r="AW196" i="10"/>
  <c r="AV196" i="10"/>
  <c r="AU196" i="10"/>
  <c r="AT196" i="10"/>
  <c r="AS196" i="10"/>
  <c r="AR196" i="10"/>
  <c r="AQ196" i="10"/>
  <c r="AP196" i="10"/>
  <c r="AO196" i="10"/>
  <c r="AN196" i="10"/>
  <c r="AM196" i="10"/>
  <c r="AL196" i="10"/>
  <c r="AK196" i="10"/>
  <c r="AJ196" i="10"/>
  <c r="AI196" i="10"/>
  <c r="AH196" i="10"/>
  <c r="AG196" i="10"/>
  <c r="AF196" i="10"/>
  <c r="AE196" i="10"/>
  <c r="AD196" i="10"/>
  <c r="AC196" i="10"/>
  <c r="AB196" i="10"/>
  <c r="AA196" i="10"/>
  <c r="Z196" i="10"/>
  <c r="Y196" i="10"/>
  <c r="X196" i="10"/>
  <c r="W196" i="10"/>
  <c r="V196" i="10"/>
  <c r="U196" i="10"/>
  <c r="T196" i="10"/>
  <c r="S196" i="10"/>
  <c r="R196" i="10"/>
  <c r="Q196" i="10"/>
  <c r="P196" i="10"/>
  <c r="O196" i="10"/>
  <c r="N196" i="10"/>
  <c r="M196" i="10"/>
  <c r="L196" i="10"/>
  <c r="K196" i="10"/>
  <c r="I196" i="10"/>
  <c r="H196" i="10"/>
  <c r="J196" i="10" s="1"/>
  <c r="G196" i="10"/>
  <c r="F196" i="10"/>
  <c r="BM179" i="10" l="1"/>
  <c r="BL179" i="10"/>
  <c r="BK179" i="10"/>
  <c r="BJ179" i="10"/>
  <c r="BI179" i="10"/>
  <c r="BH179" i="10"/>
  <c r="BG179" i="10"/>
  <c r="BF179" i="10"/>
  <c r="BE179" i="10"/>
  <c r="BD179" i="10"/>
  <c r="BC179" i="10"/>
  <c r="BB179" i="10"/>
  <c r="BA179" i="10"/>
  <c r="AZ179" i="10"/>
  <c r="AY179" i="10"/>
  <c r="AX179" i="10"/>
  <c r="AW179" i="10"/>
  <c r="AV179" i="10"/>
  <c r="AU179" i="10"/>
  <c r="AT179" i="10"/>
  <c r="AS179" i="10"/>
  <c r="AR179" i="10"/>
  <c r="AQ179" i="10"/>
  <c r="AP179" i="10"/>
  <c r="AO179" i="10"/>
  <c r="AN179" i="10"/>
  <c r="AM179" i="10"/>
  <c r="AL179" i="10"/>
  <c r="AK179" i="10"/>
  <c r="AJ179" i="10"/>
  <c r="AI179" i="10"/>
  <c r="AH179" i="10"/>
  <c r="AG179" i="10"/>
  <c r="AF179" i="10"/>
  <c r="AE179" i="10"/>
  <c r="AD179" i="10"/>
  <c r="AC179" i="10"/>
  <c r="AB179" i="10"/>
  <c r="AA179" i="10"/>
  <c r="Z179" i="10"/>
  <c r="Y179" i="10"/>
  <c r="X179" i="10"/>
  <c r="W179" i="10"/>
  <c r="V179" i="10"/>
  <c r="U179" i="10"/>
  <c r="T179" i="10"/>
  <c r="S179" i="10"/>
  <c r="R179" i="10"/>
  <c r="Q179" i="10"/>
  <c r="P179" i="10"/>
  <c r="O179" i="10"/>
  <c r="N179" i="10"/>
  <c r="M179" i="10"/>
  <c r="L179" i="10"/>
  <c r="K179" i="10"/>
  <c r="I179" i="10"/>
  <c r="H179" i="10"/>
  <c r="J179" i="10" s="1"/>
  <c r="G179" i="10"/>
  <c r="F179" i="10"/>
  <c r="BM154" i="10" l="1"/>
  <c r="BL154" i="10"/>
  <c r="BK154" i="10"/>
  <c r="BJ154" i="10"/>
  <c r="BI154" i="10"/>
  <c r="BH154" i="10"/>
  <c r="BG154" i="10"/>
  <c r="BF154" i="10"/>
  <c r="BE154" i="10"/>
  <c r="BD154" i="10"/>
  <c r="BC154" i="10"/>
  <c r="BB154" i="10"/>
  <c r="BA154" i="10"/>
  <c r="AZ154" i="10"/>
  <c r="AY154" i="10"/>
  <c r="AX154" i="10"/>
  <c r="AW154" i="10"/>
  <c r="AV154" i="10"/>
  <c r="AU154" i="10"/>
  <c r="AT154" i="10"/>
  <c r="AS154" i="10"/>
  <c r="AR154" i="10"/>
  <c r="AQ154" i="10"/>
  <c r="AP154" i="10"/>
  <c r="AO154" i="10"/>
  <c r="AN154" i="10"/>
  <c r="AM154" i="10"/>
  <c r="AL154" i="10"/>
  <c r="AK154" i="10"/>
  <c r="AJ154" i="10"/>
  <c r="AI154" i="10"/>
  <c r="AH154" i="10"/>
  <c r="AG154" i="10"/>
  <c r="AF154" i="10"/>
  <c r="AE154" i="10"/>
  <c r="AD154" i="10"/>
  <c r="AC154" i="10"/>
  <c r="AB154" i="10"/>
  <c r="AA154" i="10"/>
  <c r="Z154" i="10"/>
  <c r="Y154" i="10"/>
  <c r="X154" i="10"/>
  <c r="W154" i="10"/>
  <c r="V154" i="10"/>
  <c r="U154" i="10"/>
  <c r="T154" i="10"/>
  <c r="S154" i="10"/>
  <c r="R154" i="10"/>
  <c r="Q154" i="10"/>
  <c r="P154" i="10"/>
  <c r="O154" i="10"/>
  <c r="N154" i="10"/>
  <c r="M154" i="10"/>
  <c r="L154" i="10"/>
  <c r="K154" i="10"/>
  <c r="I154" i="10"/>
  <c r="H154" i="10"/>
  <c r="J154" i="10" s="1"/>
  <c r="G154" i="10"/>
  <c r="F154" i="10"/>
  <c r="BM129" i="10" l="1"/>
  <c r="BL129" i="10"/>
  <c r="BK129" i="10"/>
  <c r="BJ129" i="10"/>
  <c r="BI129" i="10"/>
  <c r="BH129" i="10"/>
  <c r="BG129" i="10"/>
  <c r="BF129" i="10"/>
  <c r="BE129" i="10"/>
  <c r="BD129" i="10"/>
  <c r="BC129" i="10"/>
  <c r="BB129" i="10"/>
  <c r="BA129" i="10"/>
  <c r="AZ129" i="10"/>
  <c r="AY129" i="10"/>
  <c r="AX129" i="10"/>
  <c r="AW129" i="10"/>
  <c r="AV129" i="10"/>
  <c r="AU129" i="10"/>
  <c r="AT129" i="10"/>
  <c r="AS129" i="10"/>
  <c r="AR129" i="10"/>
  <c r="AQ129" i="10"/>
  <c r="AP129" i="10"/>
  <c r="AO129" i="10"/>
  <c r="AN129" i="10"/>
  <c r="AM129" i="10"/>
  <c r="AL129" i="10"/>
  <c r="AK129" i="10"/>
  <c r="AJ129" i="10"/>
  <c r="AI129" i="10"/>
  <c r="AH129" i="10"/>
  <c r="AG129" i="10"/>
  <c r="AF129" i="10"/>
  <c r="AE129" i="10"/>
  <c r="AD129" i="10"/>
  <c r="AC129" i="10"/>
  <c r="AB129" i="10"/>
  <c r="AA129" i="10"/>
  <c r="Z129" i="10"/>
  <c r="Y129" i="10"/>
  <c r="X129" i="10"/>
  <c r="W129" i="10"/>
  <c r="V129" i="10"/>
  <c r="U129" i="10"/>
  <c r="T129" i="10"/>
  <c r="S129" i="10"/>
  <c r="R129" i="10"/>
  <c r="Q129" i="10"/>
  <c r="P129" i="10"/>
  <c r="O129" i="10"/>
  <c r="N129" i="10"/>
  <c r="M129" i="10"/>
  <c r="L129" i="10"/>
  <c r="K129" i="10"/>
  <c r="I129" i="10"/>
  <c r="H129" i="10"/>
  <c r="J129" i="10" s="1"/>
  <c r="G129" i="10"/>
  <c r="F129" i="10"/>
  <c r="BM104" i="10" l="1"/>
  <c r="BL104" i="10"/>
  <c r="BK104" i="10"/>
  <c r="BJ104" i="10"/>
  <c r="BI104" i="10"/>
  <c r="BH104" i="10"/>
  <c r="BG104" i="10"/>
  <c r="BF104" i="10"/>
  <c r="BE104" i="10"/>
  <c r="BD104" i="10"/>
  <c r="BC104" i="10"/>
  <c r="BB104" i="10"/>
  <c r="BA104" i="10"/>
  <c r="AZ104" i="10"/>
  <c r="AY104" i="10"/>
  <c r="AX104" i="10"/>
  <c r="AW104" i="10"/>
  <c r="AV104" i="10"/>
  <c r="AU104" i="10"/>
  <c r="AT104" i="10"/>
  <c r="AS104" i="10"/>
  <c r="AR104" i="10"/>
  <c r="AQ104" i="10"/>
  <c r="AP104" i="10"/>
  <c r="AO104" i="10"/>
  <c r="AN104" i="10"/>
  <c r="AM104" i="10"/>
  <c r="AL104" i="10"/>
  <c r="AK104" i="10"/>
  <c r="AJ104" i="10"/>
  <c r="AI104" i="10"/>
  <c r="AH104" i="10"/>
  <c r="AG104" i="10"/>
  <c r="AF104" i="10"/>
  <c r="AE104" i="10"/>
  <c r="AD104" i="10"/>
  <c r="AC104" i="10"/>
  <c r="AB104" i="10"/>
  <c r="AA104" i="10"/>
  <c r="Z104" i="10"/>
  <c r="Y104" i="10"/>
  <c r="X104" i="10"/>
  <c r="W104" i="10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I104" i="10"/>
  <c r="H104" i="10"/>
  <c r="J104" i="10" s="1"/>
  <c r="G104" i="10"/>
  <c r="F104" i="10"/>
  <c r="BM79" i="10" l="1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W79" i="10"/>
  <c r="V79" i="10"/>
  <c r="U79" i="10"/>
  <c r="T79" i="10"/>
  <c r="S79" i="10"/>
  <c r="R79" i="10"/>
  <c r="Q79" i="10"/>
  <c r="P79" i="10"/>
  <c r="O79" i="10"/>
  <c r="N79" i="10"/>
  <c r="M79" i="10"/>
  <c r="L79" i="10"/>
  <c r="K79" i="10"/>
  <c r="I79" i="10"/>
  <c r="H79" i="10"/>
  <c r="J79" i="10" s="1"/>
  <c r="G79" i="10"/>
  <c r="F79" i="10"/>
  <c r="BM54" i="10" l="1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W54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I54" i="10"/>
  <c r="H54" i="10"/>
  <c r="J54" i="10" s="1"/>
  <c r="G54" i="10"/>
  <c r="F54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I29" i="10"/>
  <c r="H29" i="10"/>
  <c r="J29" i="10" s="1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I20" i="10"/>
  <c r="H20" i="10"/>
  <c r="J20" i="10" s="1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I11" i="10"/>
  <c r="H11" i="10"/>
  <c r="J11" i="10" s="1"/>
  <c r="G11" i="10"/>
  <c r="F11" i="10"/>
  <c r="N232" i="3" l="1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22" i="3"/>
  <c r="N121" i="3"/>
  <c r="N120" i="3"/>
  <c r="N119" i="3"/>
  <c r="N118" i="3"/>
  <c r="N117" i="3"/>
  <c r="N116" i="3"/>
  <c r="N115" i="3"/>
  <c r="N114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J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C3" i="5" l="1"/>
  <c r="D3" i="5"/>
  <c r="E3" i="5"/>
  <c r="C4" i="5"/>
  <c r="D4" i="5"/>
  <c r="E4" i="5"/>
  <c r="C5" i="5"/>
  <c r="D5" i="5"/>
  <c r="E5" i="5"/>
  <c r="C6" i="5"/>
  <c r="D6" i="5"/>
  <c r="E6" i="5"/>
  <c r="C7" i="5"/>
  <c r="D7" i="5"/>
  <c r="E7" i="5"/>
  <c r="C8" i="5"/>
  <c r="D8" i="5"/>
  <c r="E8" i="5"/>
  <c r="C9" i="5"/>
  <c r="D9" i="5"/>
  <c r="E9" i="5"/>
  <c r="C10" i="5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C32" i="5"/>
  <c r="D32" i="5"/>
  <c r="E32" i="5"/>
  <c r="C33" i="5"/>
  <c r="D33" i="5"/>
  <c r="E33" i="5"/>
  <c r="C34" i="5"/>
  <c r="D34" i="5"/>
  <c r="E34" i="5"/>
  <c r="C35" i="5"/>
  <c r="D35" i="5"/>
  <c r="E35" i="5"/>
  <c r="C36" i="5"/>
  <c r="D36" i="5"/>
  <c r="E36" i="5"/>
  <c r="C37" i="5"/>
  <c r="D37" i="5"/>
  <c r="E37" i="5"/>
  <c r="C38" i="5"/>
  <c r="D38" i="5"/>
  <c r="E38" i="5"/>
  <c r="C39" i="5"/>
  <c r="D39" i="5"/>
  <c r="E39" i="5"/>
  <c r="C40" i="5"/>
  <c r="D40" i="5"/>
  <c r="E40" i="5"/>
  <c r="C41" i="5"/>
  <c r="D41" i="5"/>
  <c r="E41" i="5"/>
  <c r="C42" i="5"/>
  <c r="D42" i="5"/>
  <c r="E42" i="5"/>
  <c r="C43" i="5"/>
  <c r="D43" i="5"/>
  <c r="E43" i="5"/>
  <c r="C44" i="5"/>
  <c r="D44" i="5"/>
  <c r="E44" i="5"/>
  <c r="C45" i="5"/>
  <c r="D45" i="5"/>
  <c r="E45" i="5"/>
  <c r="C46" i="5"/>
  <c r="D46" i="5"/>
  <c r="E46" i="5"/>
  <c r="C47" i="5"/>
  <c r="D47" i="5"/>
  <c r="E47" i="5"/>
  <c r="C48" i="5"/>
  <c r="D48" i="5"/>
  <c r="E48" i="5"/>
  <c r="C49" i="5"/>
  <c r="D49" i="5"/>
  <c r="E49" i="5"/>
  <c r="C50" i="5"/>
  <c r="D50" i="5"/>
  <c r="E50" i="5"/>
  <c r="C51" i="5"/>
  <c r="D51" i="5"/>
  <c r="E51" i="5"/>
  <c r="C52" i="5"/>
  <c r="D52" i="5"/>
  <c r="E52" i="5"/>
  <c r="C53" i="5"/>
  <c r="D53" i="5"/>
  <c r="E53" i="5"/>
  <c r="C54" i="5"/>
  <c r="D54" i="5"/>
  <c r="E54" i="5"/>
  <c r="C55" i="5"/>
  <c r="D55" i="5"/>
  <c r="E55" i="5"/>
  <c r="C56" i="5"/>
  <c r="D56" i="5"/>
  <c r="E56" i="5"/>
  <c r="C57" i="5"/>
  <c r="D57" i="5"/>
  <c r="E57" i="5"/>
  <c r="C58" i="5"/>
  <c r="D58" i="5"/>
  <c r="E58" i="5"/>
  <c r="C59" i="5"/>
  <c r="D59" i="5"/>
  <c r="E59" i="5"/>
  <c r="C60" i="5"/>
  <c r="D60" i="5"/>
  <c r="E60" i="5"/>
  <c r="C61" i="5"/>
  <c r="D61" i="5"/>
  <c r="E61" i="5"/>
  <c r="C62" i="5"/>
  <c r="D62" i="5"/>
  <c r="E62" i="5"/>
  <c r="C63" i="5"/>
  <c r="D63" i="5"/>
  <c r="E63" i="5"/>
  <c r="C64" i="5"/>
  <c r="D64" i="5"/>
  <c r="E64" i="5"/>
  <c r="C65" i="5"/>
  <c r="D65" i="5"/>
  <c r="E65" i="5"/>
  <c r="C66" i="5"/>
  <c r="D66" i="5"/>
  <c r="E66" i="5"/>
  <c r="C67" i="5"/>
  <c r="D67" i="5"/>
  <c r="E67" i="5"/>
  <c r="C68" i="5"/>
  <c r="D68" i="5"/>
  <c r="E68" i="5"/>
  <c r="C69" i="5"/>
  <c r="D69" i="5"/>
  <c r="E69" i="5"/>
  <c r="C70" i="5"/>
  <c r="D70" i="5"/>
  <c r="E70" i="5"/>
  <c r="C71" i="5"/>
  <c r="D71" i="5"/>
  <c r="E71" i="5"/>
  <c r="C72" i="5"/>
  <c r="D72" i="5"/>
  <c r="E72" i="5"/>
  <c r="C73" i="5"/>
  <c r="D73" i="5"/>
  <c r="E73" i="5"/>
  <c r="C74" i="5"/>
  <c r="D74" i="5"/>
  <c r="E74" i="5"/>
  <c r="C75" i="5"/>
  <c r="D75" i="5"/>
  <c r="E75" i="5"/>
  <c r="C76" i="5"/>
  <c r="D76" i="5"/>
  <c r="E76" i="5"/>
  <c r="C77" i="5"/>
  <c r="D77" i="5"/>
  <c r="E77" i="5"/>
  <c r="C78" i="5"/>
  <c r="D78" i="5"/>
  <c r="E78" i="5"/>
  <c r="C79" i="5"/>
  <c r="D79" i="5"/>
  <c r="E79" i="5"/>
  <c r="C80" i="5"/>
  <c r="D80" i="5"/>
  <c r="E80" i="5"/>
  <c r="C81" i="5"/>
  <c r="D81" i="5"/>
  <c r="E81" i="5"/>
  <c r="C82" i="5"/>
  <c r="D82" i="5"/>
  <c r="E82" i="5"/>
  <c r="C83" i="5"/>
  <c r="D83" i="5"/>
  <c r="E83" i="5"/>
  <c r="C84" i="5"/>
  <c r="D84" i="5"/>
  <c r="E84" i="5"/>
  <c r="C85" i="5"/>
  <c r="D85" i="5"/>
  <c r="E85" i="5"/>
  <c r="C86" i="5"/>
  <c r="D86" i="5"/>
  <c r="E86" i="5"/>
  <c r="C87" i="5"/>
  <c r="D87" i="5"/>
  <c r="E87" i="5"/>
  <c r="C88" i="5"/>
  <c r="D88" i="5"/>
  <c r="E88" i="5"/>
  <c r="C89" i="5"/>
  <c r="D89" i="5"/>
  <c r="E89" i="5"/>
  <c r="C90" i="5"/>
  <c r="D90" i="5"/>
  <c r="E90" i="5"/>
  <c r="C91" i="5"/>
  <c r="D91" i="5"/>
  <c r="E91" i="5"/>
  <c r="C92" i="5"/>
  <c r="D92" i="5"/>
  <c r="E92" i="5"/>
  <c r="C93" i="5"/>
  <c r="D93" i="5"/>
  <c r="E93" i="5"/>
  <c r="C94" i="5"/>
  <c r="D94" i="5"/>
  <c r="E94" i="5"/>
  <c r="C95" i="5"/>
  <c r="D95" i="5"/>
  <c r="E95" i="5"/>
  <c r="C96" i="5"/>
  <c r="D96" i="5"/>
  <c r="E96" i="5"/>
  <c r="C97" i="5"/>
  <c r="D97" i="5"/>
  <c r="E97" i="5"/>
  <c r="C98" i="5"/>
  <c r="D98" i="5"/>
  <c r="E98" i="5"/>
  <c r="C99" i="5"/>
  <c r="D99" i="5"/>
  <c r="E99" i="5"/>
  <c r="C100" i="5"/>
  <c r="D100" i="5"/>
  <c r="E100" i="5"/>
  <c r="E2" i="5"/>
  <c r="D2" i="5"/>
  <c r="C2" i="5"/>
  <c r="I130" i="3" l="1"/>
  <c r="N130" i="3" s="1"/>
  <c r="I129" i="3"/>
  <c r="N129" i="3" s="1"/>
  <c r="I128" i="3"/>
  <c r="N128" i="3" s="1"/>
  <c r="I127" i="3"/>
  <c r="N127" i="3" s="1"/>
  <c r="I126" i="3"/>
  <c r="N126" i="3" s="1"/>
  <c r="I125" i="3"/>
  <c r="N125" i="3" s="1"/>
  <c r="I124" i="3"/>
  <c r="N124" i="3" s="1"/>
  <c r="I123" i="3"/>
  <c r="N123" i="3" s="1"/>
  <c r="I113" i="3"/>
  <c r="N113" i="3" s="1"/>
  <c r="I112" i="3"/>
  <c r="N112" i="3" s="1"/>
  <c r="I111" i="3"/>
  <c r="N111" i="3" s="1"/>
  <c r="I110" i="3"/>
  <c r="N110" i="3" s="1"/>
  <c r="I109" i="3"/>
  <c r="N109" i="3" s="1"/>
  <c r="I108" i="3"/>
  <c r="N108" i="3" s="1"/>
  <c r="I107" i="3"/>
  <c r="N107" i="3" s="1"/>
  <c r="I106" i="3"/>
  <c r="N106" i="3" s="1"/>
  <c r="F10" i="5" l="1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8" i="5"/>
  <c r="F9" i="5"/>
  <c r="F3" i="5"/>
  <c r="F4" i="5"/>
  <c r="F5" i="5"/>
  <c r="F6" i="5"/>
  <c r="F7" i="5"/>
  <c r="A10" i="19" l="1"/>
  <c r="B10" i="19" s="1"/>
  <c r="B9" i="19"/>
  <c r="A8" i="19"/>
  <c r="B8" i="19" s="1"/>
  <c r="B7" i="19"/>
  <c r="A6" i="19"/>
  <c r="B6" i="19" s="1"/>
  <c r="T6" i="19" s="1"/>
  <c r="B5" i="19"/>
  <c r="A4" i="19"/>
  <c r="B4" i="19" s="1"/>
  <c r="B3" i="19"/>
  <c r="E53" i="16"/>
  <c r="D53" i="16"/>
  <c r="A50" i="16"/>
  <c r="A49" i="16"/>
  <c r="A48" i="16"/>
  <c r="A47" i="16"/>
  <c r="A46" i="16"/>
  <c r="A45" i="16"/>
  <c r="A44" i="16"/>
  <c r="A43" i="16"/>
  <c r="B39" i="16"/>
  <c r="A36" i="16"/>
  <c r="A35" i="16"/>
  <c r="A34" i="16"/>
  <c r="A33" i="16"/>
  <c r="A32" i="16"/>
  <c r="A31" i="16"/>
  <c r="A30" i="16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F2" i="5"/>
  <c r="C13" i="16"/>
  <c r="K9" i="19" l="1"/>
  <c r="J9" i="19"/>
  <c r="I9" i="19"/>
  <c r="H9" i="19"/>
  <c r="R7" i="19"/>
  <c r="J7" i="19"/>
  <c r="I7" i="19"/>
  <c r="H7" i="19"/>
  <c r="V5" i="19"/>
  <c r="H5" i="19"/>
  <c r="J5" i="19"/>
  <c r="I5" i="19"/>
  <c r="H3" i="19"/>
  <c r="J3" i="19"/>
  <c r="I3" i="19"/>
  <c r="G30" i="16"/>
  <c r="H30" i="16"/>
  <c r="F31" i="16"/>
  <c r="H31" i="16"/>
  <c r="G32" i="16"/>
  <c r="H32" i="16"/>
  <c r="G33" i="16"/>
  <c r="H33" i="16"/>
  <c r="G34" i="16"/>
  <c r="H34" i="16"/>
  <c r="D35" i="16"/>
  <c r="H35" i="16"/>
  <c r="G36" i="16"/>
  <c r="H36" i="16"/>
  <c r="G31" i="16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K3" i="19"/>
  <c r="L3" i="19"/>
  <c r="O3" i="19"/>
  <c r="P3" i="19"/>
  <c r="Q4" i="19" s="1"/>
  <c r="Q3" i="19"/>
  <c r="O9" i="19"/>
  <c r="W5" i="19"/>
  <c r="L9" i="19"/>
  <c r="P9" i="19"/>
  <c r="Q10" i="19" s="1"/>
  <c r="Q9" i="19"/>
  <c r="R9" i="19"/>
  <c r="T9" i="19"/>
  <c r="T7" i="19"/>
  <c r="D5" i="19"/>
  <c r="E5" i="19"/>
  <c r="F6" i="19" s="1"/>
  <c r="F5" i="19"/>
  <c r="K5" i="19"/>
  <c r="L5" i="19"/>
  <c r="O5" i="19"/>
  <c r="T10" i="19"/>
  <c r="O10" i="19"/>
  <c r="D10" i="19"/>
  <c r="U9" i="19"/>
  <c r="V10" i="19" s="1"/>
  <c r="V9" i="19"/>
  <c r="W9" i="19"/>
  <c r="D9" i="19"/>
  <c r="E9" i="19"/>
  <c r="F10" i="19" s="1"/>
  <c r="F9" i="19"/>
  <c r="T8" i="19"/>
  <c r="O8" i="19"/>
  <c r="D8" i="19"/>
  <c r="V7" i="19"/>
  <c r="U7" i="19"/>
  <c r="W7" i="19"/>
  <c r="D7" i="19"/>
  <c r="E7" i="19"/>
  <c r="F7" i="19"/>
  <c r="K7" i="19"/>
  <c r="L7" i="19"/>
  <c r="O7" i="19"/>
  <c r="P7" i="19"/>
  <c r="Q7" i="19"/>
  <c r="D6" i="19"/>
  <c r="O6" i="19"/>
  <c r="P5" i="19"/>
  <c r="Q6" i="19" s="1"/>
  <c r="Q5" i="19"/>
  <c r="R5" i="19"/>
  <c r="T5" i="19"/>
  <c r="U5" i="19"/>
  <c r="V6" i="19" s="1"/>
  <c r="T4" i="19"/>
  <c r="O4" i="19"/>
  <c r="D4" i="19"/>
  <c r="R3" i="19"/>
  <c r="T3" i="19"/>
  <c r="U3" i="19"/>
  <c r="V4" i="19" s="1"/>
  <c r="V3" i="19"/>
  <c r="W3" i="19"/>
  <c r="D3" i="19"/>
  <c r="E3" i="19"/>
  <c r="F4" i="19" s="1"/>
  <c r="F3" i="19"/>
  <c r="C4" i="16"/>
  <c r="C12" i="16"/>
  <c r="C11" i="16"/>
  <c r="C10" i="16"/>
  <c r="C9" i="16"/>
  <c r="C8" i="16"/>
  <c r="C16" i="16"/>
  <c r="C7" i="16"/>
  <c r="C15" i="16"/>
  <c r="C6" i="16"/>
  <c r="C14" i="16"/>
  <c r="C5" i="16"/>
  <c r="W6" i="19" l="1"/>
  <c r="W10" i="19"/>
  <c r="R10" i="19"/>
  <c r="W4" i="19"/>
  <c r="S3" i="19"/>
  <c r="A59" i="16"/>
  <c r="H59" i="16" s="1"/>
  <c r="A58" i="16"/>
  <c r="F58" i="16" s="1"/>
  <c r="A60" i="16"/>
  <c r="I60" i="16" s="1"/>
  <c r="R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S9" i="19"/>
  <c r="S7" i="19"/>
  <c r="G7" i="19"/>
  <c r="X7" i="19"/>
  <c r="R6" i="19"/>
  <c r="G9" i="19"/>
  <c r="X9" i="19"/>
  <c r="Q8" i="19"/>
  <c r="R8" i="19" s="1"/>
  <c r="V8" i="19"/>
  <c r="W8" i="19" s="1"/>
  <c r="F8" i="19"/>
  <c r="S5" i="19"/>
  <c r="X5" i="19"/>
  <c r="G3" i="19"/>
  <c r="X3" i="19"/>
  <c r="H10" i="19" l="1"/>
  <c r="I10" i="19" s="1"/>
  <c r="M9" i="19"/>
  <c r="AA9" i="19" s="1"/>
  <c r="M7" i="19"/>
  <c r="AA7" i="19" s="1"/>
  <c r="H6" i="19"/>
  <c r="I6" i="19" s="1"/>
  <c r="M5" i="19"/>
  <c r="AA5" i="19" s="1"/>
  <c r="M3" i="19"/>
  <c r="AA3" i="19" s="1"/>
  <c r="I58" i="16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H4" i="19"/>
  <c r="H8" i="19"/>
  <c r="I8" i="19" s="1"/>
  <c r="N7" i="19" l="1"/>
  <c r="Y7" i="19" s="1"/>
  <c r="AB7" i="19" s="1"/>
  <c r="N3" i="19"/>
  <c r="Y3" i="19" s="1"/>
  <c r="AB3" i="19" s="1"/>
  <c r="K6" i="19"/>
  <c r="L6" i="19" s="1"/>
  <c r="J6" i="19"/>
  <c r="K8" i="19"/>
  <c r="L8" i="19" s="1"/>
  <c r="J8" i="19"/>
  <c r="I4" i="19"/>
  <c r="J4" i="19" s="1"/>
  <c r="K10" i="19"/>
  <c r="L10" i="19" s="1"/>
  <c r="J10" i="19"/>
  <c r="N5" i="19"/>
  <c r="N9" i="19"/>
  <c r="Z7" i="19" l="1"/>
  <c r="Z3" i="19"/>
  <c r="K4" i="19"/>
  <c r="L4" i="19" s="1"/>
  <c r="Y9" i="19"/>
  <c r="AB9" i="19" s="1"/>
  <c r="Z9" i="19"/>
  <c r="Y5" i="19"/>
  <c r="AB5" i="19" s="1"/>
  <c r="Z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<sst xmlns="http://schemas.openxmlformats.org/spreadsheetml/2006/main" count="21171" uniqueCount="10915">
  <si>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</si>
  <si>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</si>
  <si>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</si>
  <si>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</si>
  <si>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</si>
  <si>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</si>
  <si>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</si>
  <si>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</si>
  <si>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</si>
  <si>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</si>
  <si>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</si>
  <si>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</si>
  <si>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</si>
  <si>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</si>
  <si>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</si>
  <si>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</si>
  <si>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</si>
  <si>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</si>
  <si>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</si>
  <si>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</si>
  <si>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</si>
  <si>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</si>
  <si>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</si>
  <si>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</si>
  <si>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</si>
  <si>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</si>
  <si>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</si>
  <si>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</si>
  <si>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</si>
  <si>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</si>
  <si>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</si>
  <si>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</si>
  <si>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</si>
  <si>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</si>
  <si>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</si>
  <si>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</si>
  <si>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</si>
  <si>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</si>
  <si>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</si>
  <si>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</si>
  <si>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</si>
  <si>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</si>
  <si>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</si>
  <si>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</si>
  <si>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</si>
  <si>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</si>
  <si>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</si>
  <si>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</si>
  <si>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</si>
  <si>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</si>
  <si>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</si>
  <si>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</si>
  <si>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</si>
  <si>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</si>
  <si>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</si>
  <si>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</si>
  <si>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</si>
  <si>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</si>
  <si>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</si>
  <si>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</si>
  <si>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</si>
  <si>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</si>
  <si>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</si>
  <si>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</si>
  <si>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</si>
  <si>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</si>
  <si>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</si>
  <si>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</si>
  <si>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</si>
  <si>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</si>
  <si>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</si>
  <si>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</si>
  <si>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</si>
  <si>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</si>
  <si>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</si>
  <si>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</si>
  <si>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</si>
  <si>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</si>
  <si>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</si>
  <si>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</si>
  <si>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</si>
  <si>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</si>
  <si>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</si>
  <si>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</si>
  <si>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</si>
  <si>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</si>
  <si>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</si>
  <si>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</si>
  <si>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</si>
  <si>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</si>
  <si>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</si>
  <si>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</si>
  <si>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</si>
  <si>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</si>
  <si>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</si>
  <si>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</si>
  <si>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</si>
  <si>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</si>
  <si>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</si>
  <si>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</si>
  <si>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</si>
  <si>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</si>
  <si>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</si>
  <si>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</si>
  <si>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</si>
  <si>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</si>
  <si>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</si>
  <si>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</si>
  <si>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</si>
  <si>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</si>
  <si>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</si>
  <si>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</si>
  <si>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</si>
  <si>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</si>
  <si>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</si>
  <si>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</si>
  <si>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</si>
  <si>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</si>
  <si>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</si>
  <si>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</si>
  <si>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</si>
  <si>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</si>
  <si>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</si>
  <si>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</si>
  <si>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</si>
  <si>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</si>
  <si>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</si>
  <si>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</si>
  <si>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</si>
  <si>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</si>
  <si>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</si>
  <si>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</si>
  <si>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</si>
  <si>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</si>
  <si>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</si>
  <si>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</si>
  <si>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</si>
  <si>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</si>
  <si>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</si>
  <si>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</si>
  <si>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</si>
  <si>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</si>
  <si>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</si>
  <si>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</si>
  <si>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</si>
  <si>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</si>
  <si>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</si>
  <si>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</si>
  <si>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</si>
  <si>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</si>
  <si>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</si>
  <si>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</si>
  <si>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</si>
  <si>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</si>
  <si>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</si>
  <si>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</si>
  <si>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</si>
  <si>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</si>
  <si>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</si>
  <si>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</si>
  <si>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</si>
  <si>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</si>
  <si>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</si>
  <si>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</si>
  <si>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</si>
  <si>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</si>
  <si>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</si>
  <si>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</si>
  <si>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</si>
  <si>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</si>
  <si>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</si>
  <si>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</si>
  <si>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</si>
  <si>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</si>
  <si>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</si>
  <si>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</si>
  <si>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</si>
  <si>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</si>
  <si>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</si>
  <si>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</si>
  <si>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</si>
  <si>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</si>
  <si>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</si>
  <si>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</si>
  <si>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</si>
  <si>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</si>
  <si>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</si>
  <si>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</si>
  <si>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</si>
  <si>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</si>
  <si>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</si>
  <si>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</si>
  <si>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</si>
  <si>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</si>
  <si>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</si>
  <si>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</si>
  <si>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</si>
  <si>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</si>
  <si>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</si>
  <si>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</si>
  <si>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</si>
  <si>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</si>
  <si>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</si>
  <si>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</si>
  <si>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</si>
  <si>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</si>
  <si>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</si>
  <si>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</si>
  <si>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</si>
  <si>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</si>
  <si>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</si>
  <si>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</si>
  <si>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</si>
  <si>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</si>
  <si>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</si>
  <si>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</si>
  <si>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</si>
  <si>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</si>
  <si>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</si>
  <si>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</si>
  <si>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</si>
  <si>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</si>
  <si>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</si>
  <si>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</si>
  <si>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</si>
  <si>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</si>
  <si>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</si>
  <si>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</si>
  <si>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</si>
  <si>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</si>
  <si>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</si>
  <si>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</si>
  <si>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</si>
  <si>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</si>
  <si>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</si>
  <si>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</si>
  <si>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</si>
  <si>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</si>
  <si>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</si>
  <si>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</si>
  <si>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</si>
  <si>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</si>
  <si>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</si>
  <si>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</si>
  <si>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</si>
  <si>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</si>
  <si>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</si>
  <si>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</si>
  <si>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</si>
  <si>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</si>
  <si>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</si>
  <si>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</si>
  <si>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</si>
  <si>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</si>
  <si>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</si>
  <si>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</si>
  <si>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</si>
  <si>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</si>
  <si>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</si>
  <si>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</si>
  <si>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</si>
  <si>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</si>
  <si>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</si>
  <si>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</si>
  <si>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</si>
  <si>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</si>
  <si>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</si>
  <si>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</si>
  <si>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</si>
  <si>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</si>
  <si>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</si>
  <si>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</si>
  <si>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</si>
  <si>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</si>
  <si>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</si>
  <si>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</si>
  <si>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</si>
  <si>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</si>
  <si>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</si>
  <si>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</si>
  <si>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</si>
  <si>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</si>
  <si>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</si>
  <si>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</si>
  <si>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</si>
  <si>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</si>
  <si>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</si>
  <si>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</si>
  <si>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</si>
  <si>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</si>
  <si>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</si>
  <si>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</si>
  <si>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</si>
  <si>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</si>
  <si>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</si>
  <si>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</si>
  <si>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</si>
  <si>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</si>
  <si>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</si>
  <si>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</si>
  <si>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</si>
  <si>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</si>
  <si>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</si>
  <si>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</si>
  <si>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</si>
  <si>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</si>
  <si>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</si>
  <si>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</si>
  <si>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</si>
  <si>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</si>
  <si>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</si>
  <si>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</si>
  <si>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</si>
  <si>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</si>
  <si>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</si>
  <si>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</si>
  <si>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</si>
  <si>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</si>
  <si>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</si>
  <si>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</si>
  <si>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</si>
  <si>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</si>
  <si>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</si>
  <si>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</si>
  <si>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</si>
  <si>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</si>
  <si>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</si>
  <si>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</si>
  <si>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</si>
  <si>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</si>
  <si>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</si>
  <si>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</si>
  <si>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</si>
  <si>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</si>
  <si>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</si>
  <si>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</si>
  <si>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</si>
  <si>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</si>
  <si>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</si>
  <si>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</si>
  <si>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</si>
  <si>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</si>
  <si>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</si>
  <si>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</si>
  <si>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</si>
  <si>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</si>
  <si>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</si>
  <si>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</si>
  <si>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</si>
  <si>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</si>
  <si>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</si>
  <si>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</si>
  <si>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</si>
  <si>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</si>
  <si>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</si>
  <si>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</si>
  <si>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</si>
  <si>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</si>
  <si>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</si>
  <si>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</si>
  <si>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</si>
  <si>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</si>
  <si>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</si>
  <si>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</si>
  <si>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</si>
  <si>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</si>
  <si>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</si>
  <si>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</si>
  <si>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</si>
  <si>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</si>
  <si>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</si>
  <si>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</si>
  <si>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</si>
  <si>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</si>
  <si>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</si>
  <si>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</si>
  <si>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</si>
  <si>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</si>
  <si>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</si>
  <si>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</si>
  <si>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</si>
  <si>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</si>
  <si>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</si>
  <si>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</si>
  <si>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</si>
  <si>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</si>
  <si>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</si>
  <si>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</si>
  <si>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</si>
  <si>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</si>
  <si>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</si>
  <si>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</si>
  <si>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</si>
  <si>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</si>
  <si>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</si>
  <si>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</si>
  <si>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</si>
  <si>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</si>
  <si>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</si>
  <si>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</si>
  <si>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</si>
  <si>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</si>
  <si>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</si>
  <si>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</si>
  <si>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</si>
  <si>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</si>
  <si>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</si>
  <si>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</si>
  <si>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</si>
  <si>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</si>
  <si>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</si>
  <si>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</si>
  <si>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</si>
  <si>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</si>
  <si>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</si>
  <si>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</si>
  <si>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</si>
  <si>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</si>
  <si>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</si>
  <si>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</si>
  <si>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</si>
  <si>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</si>
  <si>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</si>
  <si>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</si>
  <si>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</si>
  <si>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</si>
  <si>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</si>
  <si>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</si>
  <si>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</si>
  <si>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</si>
  <si>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</si>
  <si>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</si>
  <si>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</si>
  <si>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</si>
  <si>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</si>
  <si>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</si>
  <si>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</si>
  <si>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</si>
  <si>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</si>
  <si>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</si>
  <si>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</si>
  <si>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</si>
  <si>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</si>
  <si>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</si>
  <si>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</si>
  <si>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</si>
  <si>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</si>
  <si>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</si>
  <si>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</si>
  <si>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</si>
  <si>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</si>
  <si>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</si>
  <si>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</si>
  <si>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</si>
  <si>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</si>
  <si>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</si>
  <si>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</si>
  <si>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</si>
  <si>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</si>
  <si>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</si>
  <si>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</si>
  <si>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</si>
  <si>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</si>
  <si>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</si>
  <si>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</si>
  <si>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</si>
  <si>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</si>
  <si>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</si>
  <si>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</si>
  <si>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</si>
  <si>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</si>
  <si>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</si>
  <si>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</si>
  <si>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</si>
  <si>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</si>
  <si>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</si>
  <si>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</si>
  <si>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</si>
  <si>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</si>
  <si>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</si>
  <si>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</si>
  <si>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</si>
  <si>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</si>
  <si>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</si>
  <si>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</si>
  <si>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</si>
  <si>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</si>
  <si>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</si>
  <si>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</si>
  <si>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</si>
  <si>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</si>
  <si>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</si>
  <si>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</si>
  <si>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</si>
  <si>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</si>
  <si>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</si>
  <si>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</si>
  <si>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</si>
  <si>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</si>
  <si>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</si>
  <si>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</si>
  <si>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</si>
  <si>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</si>
  <si>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</si>
  <si>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</si>
  <si>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</si>
  <si>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</si>
  <si>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</si>
  <si>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</si>
  <si>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</si>
  <si>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</si>
  <si>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</si>
  <si>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</si>
  <si>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</si>
  <si>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</si>
  <si>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</si>
  <si>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</si>
  <si>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</si>
  <si>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</si>
  <si>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</si>
  <si>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</si>
  <si>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</si>
  <si>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</si>
  <si>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</si>
  <si>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</si>
  <si>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</si>
  <si>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</si>
  <si>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</si>
  <si>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</si>
  <si>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</si>
  <si>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</si>
  <si>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</si>
  <si>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</si>
  <si>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</si>
  <si>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</si>
  <si>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</si>
  <si>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</si>
  <si>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</si>
  <si>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</si>
  <si>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</si>
  <si>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</si>
  <si>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</si>
  <si>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</si>
  <si>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</si>
  <si>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</si>
  <si>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</si>
  <si>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</si>
  <si>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</si>
  <si>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</si>
  <si>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</si>
  <si>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</si>
  <si>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</si>
  <si>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</si>
  <si>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</si>
  <si>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</si>
  <si>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</si>
  <si>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</si>
  <si>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</si>
  <si>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</si>
  <si>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</si>
  <si>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</si>
  <si>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</si>
  <si>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</si>
  <si>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</si>
  <si>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</si>
  <si>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</si>
  <si>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</si>
  <si>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</si>
  <si>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</si>
  <si>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</si>
  <si>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</si>
  <si>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</si>
  <si>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</si>
  <si>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</si>
  <si>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</si>
  <si>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</si>
  <si>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</si>
  <si>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</si>
  <si>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</si>
  <si>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</si>
  <si>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</si>
  <si>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</si>
  <si>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</si>
  <si>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</si>
  <si>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</si>
  <si>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</si>
  <si>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</si>
  <si>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</si>
  <si>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</si>
  <si>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</si>
  <si>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</si>
  <si>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</si>
  <si>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</si>
  <si>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</si>
  <si>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</si>
  <si>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</si>
  <si>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</si>
  <si>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</si>
  <si>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</si>
  <si>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</si>
  <si>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</si>
  <si>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</si>
  <si>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</si>
  <si>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</si>
  <si>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</si>
  <si>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</si>
  <si>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</si>
  <si>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</si>
  <si>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</si>
  <si>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</si>
  <si>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</si>
  <si>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</si>
  <si>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</si>
  <si>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</si>
  <si>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</si>
  <si>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</si>
  <si>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</si>
  <si>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</si>
  <si>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</si>
  <si>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</si>
  <si>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</si>
  <si>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</si>
  <si>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</si>
  <si>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</si>
  <si>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</si>
  <si>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</si>
  <si>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</si>
  <si>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</si>
  <si>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</si>
  <si>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</si>
  <si>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</si>
  <si>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</si>
  <si>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</si>
  <si>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</si>
  <si>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</si>
  <si>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</si>
  <si>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</si>
  <si>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</si>
  <si>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</si>
  <si>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</si>
  <si>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</si>
  <si>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</si>
  <si>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</si>
  <si>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</si>
  <si>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</si>
  <si>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</si>
  <si>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</si>
  <si>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</si>
  <si>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</si>
  <si>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</si>
  <si>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</si>
  <si>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</si>
  <si>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</si>
  <si>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</si>
  <si>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</si>
  <si>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</si>
  <si>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</si>
  <si>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</si>
  <si>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</si>
  <si>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</si>
  <si>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</si>
  <si>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</si>
  <si>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</si>
  <si>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</si>
  <si>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</si>
  <si>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</si>
  <si>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</si>
  <si>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</si>
  <si>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</si>
  <si>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</si>
  <si>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</si>
  <si>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</si>
  <si>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</si>
  <si>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</si>
  <si>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</si>
  <si>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</si>
  <si>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</si>
  <si>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</si>
  <si>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</si>
  <si>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</si>
  <si>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</si>
  <si>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</si>
  <si>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</si>
  <si>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</si>
  <si>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</si>
  <si>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</si>
  <si>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</si>
  <si>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</si>
  <si>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</si>
  <si>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</si>
  <si>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</si>
  <si>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</si>
  <si>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</si>
  <si>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</si>
  <si>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</si>
  <si>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</si>
  <si>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</si>
  <si>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</si>
  <si>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</si>
  <si>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</si>
  <si>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</si>
  <si>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</si>
  <si>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</si>
  <si>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</si>
  <si>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</si>
  <si>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</si>
  <si>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</si>
  <si>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</si>
  <si>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</si>
  <si>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</si>
  <si>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</si>
  <si>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</si>
  <si>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</si>
  <si>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</si>
  <si>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</si>
  <si>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</si>
  <si>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</si>
  <si>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</si>
  <si>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</si>
  <si>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</si>
  <si>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</si>
  <si>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</si>
  <si>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</si>
  <si>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</si>
  <si>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</si>
  <si>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</si>
  <si>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</si>
  <si>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</si>
  <si>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</si>
  <si>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</si>
  <si>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</si>
  <si>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</si>
  <si>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</si>
  <si>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</si>
  <si>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</si>
  <si>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</si>
  <si>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</si>
  <si>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</si>
  <si>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</si>
  <si>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</si>
  <si>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</si>
  <si>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</si>
  <si>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</si>
  <si>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</si>
  <si>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</si>
  <si>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</si>
  <si>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</si>
  <si>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</si>
  <si>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</si>
  <si>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</si>
  <si>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</si>
  <si>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</si>
  <si>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</si>
  <si>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</si>
  <si>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</si>
  <si>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</si>
  <si>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</si>
  <si>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</si>
  <si>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</si>
  <si>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</si>
  <si>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</si>
  <si>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</si>
  <si>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</si>
  <si>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</si>
  <si>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</si>
  <si>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</si>
  <si>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</si>
  <si>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</si>
  <si>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</si>
  <si>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</si>
  <si>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</si>
  <si>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</si>
  <si>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</si>
  <si>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</si>
  <si>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</si>
  <si>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</si>
  <si>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</si>
  <si>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</si>
  <si>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</si>
  <si>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</si>
  <si>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</si>
  <si>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</si>
  <si>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</si>
  <si>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</si>
  <si>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</si>
  <si>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</si>
  <si>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</si>
  <si>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</si>
  <si>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</si>
  <si>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</si>
  <si>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</si>
  <si>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</si>
  <si>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</si>
  <si>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</si>
  <si>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</si>
  <si>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</si>
  <si>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</si>
  <si>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</si>
  <si>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</si>
  <si>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</si>
  <si>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</si>
  <si>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</si>
  <si>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</si>
  <si>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</si>
  <si>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</si>
  <si>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</si>
  <si>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</si>
  <si>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</si>
  <si>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</si>
  <si>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</si>
  <si>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</si>
  <si>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</si>
  <si>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</si>
  <si>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</si>
  <si>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</si>
  <si>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</si>
  <si>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</si>
  <si>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</si>
  <si>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</si>
  <si>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</si>
  <si>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</si>
  <si>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</si>
  <si>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</si>
  <si>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</si>
  <si>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</si>
  <si>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</si>
  <si>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</si>
  <si>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</si>
  <si>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</si>
  <si>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</si>
  <si>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</si>
  <si>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</si>
  <si>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</si>
  <si>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</si>
  <si>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</si>
  <si>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</si>
  <si>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</si>
  <si>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</si>
  <si>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</si>
  <si>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</si>
  <si>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</si>
  <si>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</si>
  <si>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</si>
  <si>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</si>
  <si>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</si>
  <si>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</si>
  <si>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</si>
  <si>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</si>
  <si>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</si>
  <si>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</si>
  <si>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</si>
  <si>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</si>
  <si>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</si>
  <si>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</si>
  <si>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</si>
  <si>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</si>
  <si>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</si>
  <si>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</si>
  <si>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</si>
  <si>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</si>
  <si>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</si>
  <si>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</si>
  <si>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</si>
  <si>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</si>
  <si>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</si>
  <si>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</si>
  <si>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</si>
  <si>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</si>
  <si>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</si>
  <si>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</si>
  <si>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</si>
  <si>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</si>
  <si>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</si>
  <si>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</si>
  <si>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</si>
  <si>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</si>
  <si>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</si>
  <si>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</si>
  <si>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</si>
  <si>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</si>
  <si>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</si>
  <si>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</si>
  <si>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</si>
  <si>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</si>
  <si>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</si>
  <si>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</si>
  <si>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</si>
  <si>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</si>
  <si>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</si>
  <si>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</si>
  <si>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</si>
  <si>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</si>
  <si>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</si>
  <si>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</si>
  <si>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</si>
  <si>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</si>
  <si>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</si>
  <si>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</si>
  <si>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</si>
  <si>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</si>
  <si>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</si>
  <si>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</si>
  <si>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</si>
  <si>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</si>
  <si>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</si>
  <si>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</si>
  <si>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</si>
  <si>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</si>
  <si>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</si>
  <si>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</si>
  <si>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</si>
  <si>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</si>
  <si>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</si>
  <si>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</si>
  <si>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</si>
  <si>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</si>
  <si>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</si>
  <si>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</si>
  <si>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</si>
  <si>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</si>
  <si>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</si>
  <si>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</si>
  <si>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</si>
  <si>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</si>
  <si>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</si>
  <si>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</si>
  <si>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</si>
  <si>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</si>
  <si>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</si>
  <si>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</si>
  <si>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</si>
  <si>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</si>
  <si>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</si>
  <si>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</si>
  <si>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</si>
  <si>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</si>
  <si>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</si>
  <si>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</si>
  <si>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</si>
  <si>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</si>
  <si>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</si>
  <si>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</si>
  <si>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</si>
  <si>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</si>
  <si>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</si>
  <si>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</si>
  <si>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</si>
  <si>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</si>
  <si>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</si>
  <si>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</si>
  <si>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</si>
  <si>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</si>
  <si>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</si>
  <si>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</si>
  <si>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</si>
  <si>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</si>
  <si>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</si>
  <si>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</si>
  <si>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</si>
  <si>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</si>
  <si>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</si>
  <si>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</si>
  <si>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</si>
  <si>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</si>
  <si>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</si>
  <si>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</si>
  <si>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</si>
  <si>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</si>
  <si>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</si>
  <si>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</si>
  <si>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</si>
  <si>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</si>
  <si>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</si>
  <si>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</si>
  <si>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</si>
  <si>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</si>
  <si>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</si>
  <si>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</si>
  <si>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</si>
  <si>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</si>
  <si>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</si>
  <si>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</si>
  <si>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</si>
  <si>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</si>
  <si>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</si>
  <si>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</si>
  <si>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</si>
  <si>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</si>
  <si>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</si>
  <si>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</si>
  <si>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</si>
  <si>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</si>
  <si>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</si>
  <si>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</si>
  <si>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</si>
  <si>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</si>
  <si>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</si>
  <si>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</si>
  <si>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</si>
  <si>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</si>
  <si>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</si>
  <si>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</si>
  <si>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</si>
  <si>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</si>
  <si>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</si>
  <si>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</si>
  <si>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</si>
  <si>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</si>
  <si>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</si>
  <si>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</si>
  <si>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</si>
  <si>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</si>
  <si>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</si>
  <si>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</si>
  <si>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</si>
  <si>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</si>
  <si>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</si>
  <si>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</si>
  <si>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</si>
  <si>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</si>
  <si>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</si>
  <si>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</si>
  <si>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</si>
  <si>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</si>
  <si>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</si>
  <si>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</si>
  <si>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</si>
  <si>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</si>
  <si>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</si>
  <si>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</si>
  <si>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</si>
  <si>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</si>
  <si>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</si>
  <si>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</si>
  <si>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</si>
  <si>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</si>
  <si>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</si>
  <si>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</si>
  <si>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</si>
  <si>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</si>
  <si>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</si>
  <si>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</si>
  <si>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</si>
  <si>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</si>
  <si>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</si>
  <si>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</si>
  <si>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</si>
  <si>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</si>
  <si>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</si>
  <si>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</si>
  <si>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</si>
  <si>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</si>
  <si>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</si>
  <si>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</si>
  <si>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</si>
  <si>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</si>
  <si>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</si>
  <si>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</si>
  <si>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</si>
  <si>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</si>
  <si>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</si>
  <si>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</si>
  <si>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</si>
  <si>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</si>
  <si>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</si>
  <si>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</si>
  <si>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</si>
  <si>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</si>
  <si>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</si>
  <si>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</si>
  <si>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</si>
  <si>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</si>
  <si>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</si>
  <si>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</si>
  <si>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</si>
  <si>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</si>
  <si>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</si>
  <si>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</si>
  <si>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</si>
  <si>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</si>
  <si>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</si>
  <si>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</si>
  <si>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</si>
  <si>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</si>
  <si>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</si>
  <si>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</si>
  <si>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</si>
  <si>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</si>
  <si>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</si>
  <si>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</si>
  <si>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</si>
  <si>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</si>
  <si>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</si>
  <si>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</si>
  <si>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</si>
  <si>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</si>
  <si>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</si>
  <si>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</si>
  <si>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</si>
  <si>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</si>
  <si>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</si>
  <si>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</si>
  <si>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</si>
  <si>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</si>
  <si>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</si>
  <si>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</si>
  <si>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</si>
  <si>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</si>
  <si>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</si>
  <si>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</si>
  <si>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</si>
  <si>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</si>
  <si>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</si>
  <si>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</si>
  <si>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</si>
  <si>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</si>
  <si>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</si>
  <si>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</si>
  <si>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</si>
  <si>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</si>
  <si>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</si>
  <si>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</si>
  <si>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</si>
  <si>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</si>
  <si>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</si>
  <si>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</si>
  <si>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</si>
  <si>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</si>
  <si>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</si>
  <si>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</si>
  <si>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</si>
  <si>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</si>
  <si>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</si>
  <si>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</si>
  <si>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</si>
  <si>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</si>
  <si>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</si>
  <si>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</si>
  <si>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</si>
  <si>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</si>
  <si>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</si>
  <si>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</si>
  <si>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</si>
  <si>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</si>
  <si>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</si>
  <si>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</si>
  <si>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</si>
  <si>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</si>
  <si>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</si>
  <si>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</si>
  <si>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</si>
  <si>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</si>
  <si>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</si>
  <si>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</si>
  <si>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</si>
  <si>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</si>
  <si>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</si>
  <si>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</si>
  <si>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</si>
  <si>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</si>
  <si>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</si>
  <si>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</si>
  <si>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</si>
  <si>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</si>
  <si>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</si>
  <si>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</si>
  <si>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</si>
  <si>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</si>
  <si>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</si>
  <si>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</si>
  <si>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</si>
  <si>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</si>
  <si>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</si>
  <si>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</si>
  <si>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</si>
  <si>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</si>
  <si>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</si>
  <si>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</si>
  <si>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</si>
  <si>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</si>
  <si>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</si>
  <si>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</si>
  <si>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</si>
  <si>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</si>
  <si>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</si>
  <si>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</si>
  <si>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</si>
  <si>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</si>
  <si>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</si>
  <si>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</si>
  <si>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</si>
  <si>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</si>
  <si>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</si>
  <si>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</si>
  <si>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</si>
  <si>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</si>
  <si>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</si>
  <si>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</si>
  <si>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</si>
  <si>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</si>
  <si>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</si>
  <si>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</si>
  <si>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</si>
  <si>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</si>
  <si>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</si>
  <si>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</si>
  <si>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</si>
  <si>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</si>
  <si>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</si>
  <si>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</si>
  <si>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</si>
  <si>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</si>
  <si>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</si>
  <si>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</si>
  <si>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</si>
  <si>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</si>
  <si>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</si>
  <si>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</si>
  <si>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</si>
  <si>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</si>
  <si>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</si>
  <si>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</si>
  <si>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</si>
  <si>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</si>
  <si>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</si>
  <si>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</si>
  <si>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</si>
  <si>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</si>
  <si>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</si>
  <si>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</si>
  <si>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</si>
  <si>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</si>
  <si>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</si>
  <si>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</si>
  <si>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</si>
  <si>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</si>
  <si>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</si>
  <si>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</si>
  <si>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</si>
  <si>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</si>
  <si>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</si>
  <si>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</si>
  <si>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</si>
  <si>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</si>
  <si>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</si>
  <si>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</si>
  <si>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</si>
  <si>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</si>
  <si>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</si>
  <si>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</si>
  <si>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</si>
  <si>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</si>
  <si>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</si>
  <si>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</si>
  <si>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</si>
  <si>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</si>
  <si>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</si>
  <si>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</si>
  <si>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</si>
  <si>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</si>
  <si>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</si>
  <si>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</si>
  <si>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</si>
  <si>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</si>
  <si>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</si>
  <si>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</si>
  <si>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</si>
  <si>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</si>
  <si>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</si>
  <si>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</si>
  <si>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</si>
  <si>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</si>
  <si>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</si>
  <si>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</si>
  <si>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</si>
  <si>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</si>
  <si>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</si>
  <si>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</si>
  <si>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</si>
  <si>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</si>
  <si>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</si>
  <si>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</si>
  <si>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</si>
  <si>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</si>
  <si>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</si>
  <si>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</si>
  <si>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</si>
  <si>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</si>
  <si>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</si>
  <si>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</si>
  <si>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</si>
  <si>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</si>
  <si>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</si>
  <si>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</si>
  <si>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</si>
  <si>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</si>
  <si>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</si>
  <si>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</si>
  <si>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</si>
  <si>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</si>
  <si>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</si>
  <si>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</si>
  <si>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</si>
  <si>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</si>
  <si>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</si>
  <si>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</si>
  <si>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</si>
  <si>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</si>
  <si>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</si>
  <si>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</si>
  <si>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</si>
  <si>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</si>
  <si>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</si>
  <si>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</si>
  <si>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</si>
  <si>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</si>
  <si>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</si>
  <si>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</si>
  <si>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</si>
  <si>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</si>
  <si>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</si>
  <si>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</si>
  <si>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</si>
  <si>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</si>
  <si>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</si>
  <si>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</si>
  <si>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</si>
  <si>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</si>
  <si>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</si>
  <si>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</si>
  <si>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</si>
  <si>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</si>
  <si>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</si>
  <si>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</si>
  <si>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</si>
  <si>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</si>
  <si>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</si>
  <si>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</si>
  <si>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</si>
  <si>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</si>
  <si>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</si>
  <si>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</si>
  <si>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</si>
  <si>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</si>
  <si>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</si>
  <si>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</si>
  <si>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</si>
  <si>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</si>
  <si>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</si>
  <si>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</si>
  <si>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</si>
  <si>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</si>
  <si>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</si>
  <si>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</si>
  <si>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</si>
  <si>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</si>
  <si>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</si>
  <si>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</si>
  <si>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</si>
  <si>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</si>
  <si>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</si>
  <si>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</si>
  <si>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</si>
  <si>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</si>
  <si>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</si>
  <si>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</si>
  <si>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</si>
  <si>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</si>
  <si>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</si>
  <si>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</si>
  <si>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</si>
  <si>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</si>
  <si>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</si>
  <si>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</si>
  <si>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</si>
  <si>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</si>
  <si>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</si>
  <si>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</si>
  <si>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</si>
  <si>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</si>
  <si>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</si>
  <si>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</si>
  <si>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</si>
  <si>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</si>
  <si>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</si>
  <si>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</si>
  <si>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</si>
  <si>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</si>
  <si>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</si>
  <si>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</si>
  <si>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</si>
  <si>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</si>
  <si>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</si>
  <si>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</si>
  <si>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</si>
  <si>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</si>
  <si>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</si>
  <si>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</si>
  <si>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</si>
  <si>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</si>
  <si>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</si>
  <si>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</si>
  <si>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</si>
  <si>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</si>
  <si>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</si>
  <si>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</si>
  <si>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</si>
  <si>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</si>
  <si>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</si>
  <si>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</si>
  <si>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</si>
  <si>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</si>
  <si>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</si>
  <si>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</si>
  <si>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</si>
  <si>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</si>
  <si>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</si>
  <si>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</si>
  <si>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</si>
  <si>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</si>
  <si>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</si>
  <si>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</si>
  <si>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</si>
  <si>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</si>
  <si>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</si>
  <si>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</si>
  <si>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</si>
  <si>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</si>
  <si>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</si>
  <si>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</si>
  <si>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</si>
  <si>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</si>
  <si>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</si>
  <si>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</si>
  <si>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</si>
  <si>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</si>
  <si>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</si>
  <si>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</si>
  <si>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</si>
  <si>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</si>
  <si>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</si>
  <si>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</si>
  <si>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</si>
  <si>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</si>
  <si>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</si>
  <si>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</si>
  <si>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</si>
  <si>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</si>
  <si>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</si>
  <si>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</si>
  <si>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</si>
  <si>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</si>
  <si>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</si>
  <si>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</si>
  <si>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</si>
  <si>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</si>
  <si>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</si>
  <si>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</si>
  <si>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</si>
  <si>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</si>
  <si>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</si>
  <si>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</si>
  <si>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</si>
  <si>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</si>
  <si>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</si>
  <si>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</si>
  <si>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</si>
  <si>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</si>
  <si>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</si>
  <si>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</si>
  <si>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</si>
  <si>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</si>
  <si>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</si>
  <si>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</si>
  <si>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</si>
  <si>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</si>
  <si>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</si>
  <si>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</si>
  <si>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</si>
  <si>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</si>
  <si>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</si>
  <si>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</si>
  <si>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</si>
  <si>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</si>
  <si>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</si>
  <si>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</si>
  <si>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</si>
  <si>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</si>
  <si>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</si>
  <si>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</si>
  <si>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</si>
  <si>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</si>
  <si>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</si>
  <si>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</si>
  <si>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</si>
  <si>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</si>
  <si>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</si>
  <si>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</si>
  <si>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</si>
  <si>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</si>
  <si>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</si>
  <si>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</si>
  <si>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</si>
  <si>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</si>
  <si>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</si>
  <si>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</si>
  <si>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</si>
  <si>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</si>
  <si>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</si>
  <si>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</si>
  <si>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</si>
  <si>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</si>
  <si>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</si>
  <si>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</si>
  <si>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</si>
  <si>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</si>
  <si>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</si>
  <si>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</si>
  <si>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</si>
  <si>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</si>
  <si>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</si>
  <si>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</si>
  <si>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</si>
  <si>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</si>
  <si>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</si>
  <si>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</si>
  <si>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</si>
  <si>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</si>
  <si>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</si>
  <si>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</si>
  <si>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</si>
  <si>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</si>
  <si>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</si>
  <si>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</si>
  <si>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</si>
  <si>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</si>
  <si>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</si>
  <si>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</si>
  <si>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</si>
  <si>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</si>
  <si>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</si>
  <si>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</si>
  <si>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</si>
  <si>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</si>
  <si>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</si>
  <si>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</si>
  <si>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</si>
  <si>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</si>
  <si>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</si>
  <si>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</si>
  <si>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</si>
  <si>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</si>
  <si>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</si>
  <si>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</si>
  <si>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</si>
  <si>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</si>
  <si>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</si>
  <si>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</si>
  <si>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</si>
  <si>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</si>
  <si>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</si>
  <si>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</si>
  <si>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</si>
  <si>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</si>
  <si>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</si>
  <si>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</si>
  <si>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</si>
  <si>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</si>
  <si>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</si>
  <si>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</si>
  <si>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</si>
  <si>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</si>
  <si>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</si>
  <si>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</si>
  <si>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</si>
  <si>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</si>
  <si>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</si>
  <si>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</si>
  <si>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</si>
  <si>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</si>
  <si>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</si>
  <si>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</si>
  <si>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</si>
  <si>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</si>
  <si>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</si>
  <si>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</si>
  <si>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</si>
  <si>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</si>
  <si>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</si>
  <si>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</si>
  <si>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</si>
  <si>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</si>
  <si>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</si>
  <si>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</si>
  <si>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</si>
  <si>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</si>
  <si>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</si>
  <si>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</si>
  <si>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</si>
  <si>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</si>
  <si>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</si>
  <si>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</si>
  <si>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</si>
  <si>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</si>
  <si>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</si>
  <si>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</si>
  <si>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</si>
  <si>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</si>
  <si>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</si>
  <si>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</si>
  <si>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</si>
  <si>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</si>
  <si>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</si>
  <si>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</si>
  <si>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</si>
  <si>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</si>
  <si>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</si>
  <si>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</si>
  <si>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</si>
  <si>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</si>
  <si>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</si>
  <si>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</si>
  <si>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</si>
  <si>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</si>
  <si>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</si>
  <si>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</si>
  <si>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</si>
  <si>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</si>
  <si>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</si>
  <si>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</si>
  <si>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</si>
  <si>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</si>
  <si>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</si>
  <si>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</si>
  <si>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</si>
  <si>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</si>
  <si>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</si>
  <si>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</si>
  <si>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</si>
  <si>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</si>
  <si>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</si>
  <si>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</si>
  <si>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</si>
  <si>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</si>
  <si>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</si>
  <si>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</si>
  <si>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</si>
  <si>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</si>
  <si>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</si>
  <si>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</si>
  <si>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</si>
  <si>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</si>
  <si>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</si>
  <si>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</si>
  <si>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</si>
  <si>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</si>
  <si>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</si>
  <si>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</si>
  <si>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</si>
  <si>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</si>
  <si>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</si>
  <si>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</si>
  <si>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</si>
  <si>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</si>
  <si>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</si>
  <si>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</si>
  <si>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</si>
  <si>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</si>
  <si>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</si>
  <si>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</si>
  <si>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</si>
  <si>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</si>
  <si>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</si>
  <si>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</si>
  <si>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</si>
  <si>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</si>
  <si>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</si>
  <si>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</si>
  <si>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</si>
  <si>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</si>
  <si>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</si>
  <si>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</si>
  <si>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</si>
  <si>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</si>
  <si>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</si>
  <si>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</si>
  <si>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</si>
  <si>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</si>
  <si>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</si>
  <si>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</si>
  <si>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</si>
  <si>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</si>
  <si>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</si>
  <si>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</si>
  <si>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</si>
  <si>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</si>
  <si>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</si>
  <si>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</si>
  <si>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</si>
  <si>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</si>
  <si>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</si>
  <si>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</si>
  <si>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</si>
  <si>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</si>
  <si>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</si>
  <si>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</si>
  <si>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</si>
  <si>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</si>
  <si>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</si>
  <si>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</si>
  <si>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</si>
  <si>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</si>
  <si>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</si>
  <si>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</si>
  <si>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</si>
  <si>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</si>
  <si>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</si>
  <si>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</si>
  <si>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</si>
  <si>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</si>
  <si>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</si>
  <si>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</si>
  <si>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</si>
  <si>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</si>
  <si>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</si>
  <si>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</si>
  <si>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</si>
  <si>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</si>
  <si>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</si>
  <si>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</si>
  <si>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</si>
  <si>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</si>
  <si>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</si>
  <si>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</si>
  <si>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</si>
  <si>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</si>
  <si>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</si>
  <si>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</si>
  <si>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</si>
  <si>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</si>
  <si>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</si>
  <si>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</si>
  <si>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</si>
  <si>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</si>
  <si>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</si>
  <si>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</si>
  <si>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</si>
  <si>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</si>
  <si>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</si>
  <si>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</si>
  <si>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</si>
  <si>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</si>
  <si>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</si>
  <si>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</si>
  <si>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</si>
  <si>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</si>
  <si>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</si>
  <si>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</si>
  <si>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</si>
  <si>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</si>
  <si>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</si>
  <si>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</si>
  <si>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</si>
  <si>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</si>
  <si>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</si>
  <si>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</si>
  <si>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</si>
  <si>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</si>
  <si>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</si>
  <si>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</si>
  <si>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</si>
  <si>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</si>
  <si>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</si>
  <si>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</si>
  <si>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</si>
  <si>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</si>
  <si>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</si>
  <si>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</si>
  <si>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</si>
  <si>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</si>
  <si>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</si>
  <si>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</si>
  <si>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</si>
  <si>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</si>
  <si>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</si>
  <si>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</si>
  <si>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</si>
  <si>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</si>
  <si>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</si>
  <si>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</si>
  <si>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</si>
  <si>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</si>
  <si>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</si>
  <si>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</si>
  <si>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</si>
  <si>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</si>
  <si>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</si>
  <si>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</si>
  <si>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</si>
  <si>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</si>
  <si>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</si>
  <si>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</si>
  <si>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</si>
  <si>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</si>
  <si>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</si>
  <si>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</si>
  <si>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</si>
  <si>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</si>
  <si>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</si>
  <si>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</si>
  <si>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</si>
  <si>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</si>
  <si>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</si>
  <si>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</si>
  <si>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</si>
  <si>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</si>
  <si>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</si>
  <si>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</si>
  <si>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</si>
  <si>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</si>
  <si>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</si>
  <si>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</si>
  <si>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</si>
  <si>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</si>
  <si>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</si>
  <si>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</si>
  <si>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</si>
  <si>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</si>
  <si>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</si>
  <si>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</si>
  <si>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</si>
  <si>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</si>
  <si>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</si>
  <si>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</si>
  <si>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</si>
  <si>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</si>
  <si>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</si>
  <si>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</si>
  <si>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</si>
  <si>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</si>
  <si>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</si>
  <si>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</si>
  <si>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</si>
  <si>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</si>
  <si>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</si>
  <si>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</si>
  <si>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</si>
  <si>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</si>
  <si>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</si>
  <si>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</si>
  <si>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</si>
  <si>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</si>
  <si>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</si>
  <si>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</si>
  <si>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</si>
  <si>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</si>
  <si>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</si>
  <si>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</si>
  <si>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</si>
  <si>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</si>
  <si>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</si>
  <si>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</si>
  <si>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</si>
  <si>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</si>
  <si>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</si>
  <si>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</si>
  <si>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</si>
  <si>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</si>
  <si>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</si>
  <si>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</si>
  <si>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</si>
  <si>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</si>
  <si>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</si>
  <si>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</si>
  <si>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</si>
  <si>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</si>
  <si>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</si>
  <si>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</si>
  <si>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</si>
  <si>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</si>
  <si>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</si>
  <si>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</si>
  <si>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</si>
  <si>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</si>
  <si>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</si>
  <si>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</si>
  <si>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</si>
  <si>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</si>
  <si>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</si>
  <si>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</si>
  <si>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</si>
  <si>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</si>
  <si>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</si>
  <si>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</si>
  <si>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</si>
  <si>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</si>
  <si>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</si>
  <si>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</si>
  <si>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</si>
  <si>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</si>
  <si>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</si>
  <si>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</si>
  <si>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</si>
  <si>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</si>
  <si>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</si>
  <si>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</si>
  <si>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</si>
  <si>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</si>
  <si>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</si>
  <si>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</si>
  <si>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</si>
  <si>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</si>
  <si>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</si>
  <si>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</si>
  <si>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</si>
  <si>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</si>
  <si>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</si>
  <si>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</si>
  <si>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</si>
  <si>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</si>
  <si>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</si>
  <si>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</si>
  <si>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</si>
  <si>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</si>
  <si>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</si>
  <si>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</si>
  <si>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</si>
  <si>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</si>
  <si>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</si>
  <si>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</si>
  <si>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</si>
  <si>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</si>
  <si>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</si>
  <si>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</si>
  <si>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</si>
  <si>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</si>
  <si>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</si>
  <si>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</si>
  <si>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</si>
  <si>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</si>
  <si>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</si>
  <si>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</si>
  <si>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</si>
  <si>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</si>
  <si>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</si>
  <si>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</si>
  <si>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</si>
  <si>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</si>
  <si>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</si>
  <si>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</si>
  <si>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</si>
  <si>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</si>
  <si>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</si>
  <si>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</si>
  <si>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</si>
  <si>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</si>
  <si>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</si>
  <si>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</si>
  <si>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</si>
  <si>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</si>
  <si>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</si>
  <si>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</si>
  <si>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</si>
  <si>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</si>
  <si>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</si>
  <si>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</si>
  <si>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</si>
  <si>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</si>
  <si>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</si>
  <si>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</si>
  <si>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</si>
  <si>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</si>
  <si>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</si>
  <si>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</si>
  <si>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</si>
  <si>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</si>
  <si>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</si>
  <si>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</si>
  <si>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</si>
  <si>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</si>
  <si>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</si>
  <si>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</si>
  <si>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</si>
  <si>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</si>
  <si>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</si>
  <si>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</si>
  <si>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</si>
  <si>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</si>
  <si>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</si>
  <si>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</si>
  <si>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</si>
  <si>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</si>
  <si>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</si>
  <si>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</si>
  <si>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</si>
  <si>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</si>
  <si>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</si>
  <si>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</si>
  <si>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</si>
  <si>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</si>
  <si>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</si>
  <si>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</si>
  <si>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</si>
  <si>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</si>
  <si>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</si>
  <si>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</si>
  <si>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</si>
  <si>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</si>
  <si>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</si>
  <si>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</si>
  <si>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</si>
  <si>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</si>
  <si>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</si>
  <si>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</si>
  <si>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</si>
  <si>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</si>
  <si>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</si>
  <si>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</si>
  <si>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</si>
  <si>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</si>
  <si>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</si>
  <si>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</si>
  <si>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</si>
  <si>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</si>
  <si>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</si>
  <si>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</si>
  <si>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</si>
  <si>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</si>
  <si>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</si>
  <si>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</si>
  <si>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</si>
  <si>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</si>
  <si>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</si>
  <si>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</si>
  <si>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</si>
  <si>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</si>
  <si>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</si>
  <si>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</si>
  <si>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</si>
  <si>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</si>
  <si>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</si>
  <si>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</si>
  <si>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</si>
  <si>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</si>
  <si>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</si>
  <si>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</si>
  <si>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</si>
  <si>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</si>
  <si>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</si>
  <si>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</si>
  <si>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</si>
  <si>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</si>
  <si>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</si>
  <si>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</si>
  <si>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</si>
  <si>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</si>
  <si>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</si>
  <si>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</si>
  <si>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</si>
  <si>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</si>
  <si>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</si>
  <si>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</si>
  <si>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</si>
  <si>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</si>
  <si>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</si>
  <si>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</si>
  <si>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</si>
  <si>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</si>
  <si>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</si>
  <si>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</si>
  <si>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</si>
  <si>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</si>
  <si>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</si>
  <si>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</si>
  <si>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</si>
  <si>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</si>
  <si>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</si>
  <si>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</si>
  <si>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</si>
  <si>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</si>
  <si>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</si>
  <si>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</si>
  <si>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</si>
  <si>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</si>
  <si>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</si>
  <si>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</si>
  <si>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</si>
  <si>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</si>
  <si>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</si>
  <si>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</si>
  <si>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</si>
  <si>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</si>
  <si>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</si>
  <si>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</si>
  <si>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</si>
  <si>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</si>
  <si>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</si>
  <si>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</si>
  <si>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</si>
  <si>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</si>
  <si>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</si>
  <si>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</si>
  <si>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</si>
  <si>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</si>
  <si>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</si>
  <si>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</si>
  <si>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</si>
  <si>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</si>
  <si>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</si>
  <si>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</si>
  <si>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</si>
  <si>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</si>
  <si>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</si>
  <si>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</si>
  <si>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</si>
  <si>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</si>
  <si>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</si>
  <si>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</si>
  <si>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</si>
  <si>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</si>
  <si>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</si>
  <si>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</si>
  <si>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</si>
  <si>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</si>
  <si>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</si>
  <si>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</si>
  <si>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</si>
  <si>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</si>
  <si>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</si>
  <si>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</si>
  <si>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</si>
  <si>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</si>
  <si>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</si>
  <si>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</si>
  <si>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</si>
  <si>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</si>
  <si>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</si>
  <si>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</si>
  <si>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</si>
  <si>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</si>
  <si>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</si>
  <si>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</si>
  <si>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</si>
  <si>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</si>
  <si>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</si>
  <si>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</si>
  <si>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</si>
  <si>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</si>
  <si>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</si>
  <si>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</si>
  <si>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</si>
  <si>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</si>
  <si>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</si>
  <si>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</si>
  <si>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</si>
  <si>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</si>
  <si>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</si>
  <si>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</si>
  <si>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</si>
  <si>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</si>
  <si>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</si>
  <si>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</si>
  <si>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</si>
  <si>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</si>
  <si>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</si>
  <si>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</si>
  <si>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</si>
  <si>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</si>
  <si>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</si>
  <si>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</si>
  <si>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</si>
  <si>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</si>
  <si>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</si>
  <si>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</si>
  <si>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</si>
  <si>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</si>
  <si>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</si>
  <si>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</si>
  <si>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</si>
  <si>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</si>
  <si>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</si>
  <si>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</si>
  <si>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</si>
  <si>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</si>
  <si>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</si>
  <si>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</si>
  <si>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</si>
  <si>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</si>
  <si>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</si>
  <si>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</si>
  <si>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</si>
  <si>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</si>
  <si>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</si>
  <si>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</si>
  <si>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</si>
  <si>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</si>
  <si>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</si>
  <si>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</si>
  <si>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</si>
  <si>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</si>
  <si>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</si>
  <si>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</si>
  <si>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</si>
  <si>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</si>
  <si>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</si>
  <si>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</si>
  <si>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</si>
  <si>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</si>
  <si>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</si>
  <si>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</si>
  <si>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</si>
  <si>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</si>
  <si>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</si>
  <si>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</si>
  <si>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</si>
  <si>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</si>
  <si>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</si>
  <si>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</si>
  <si>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</si>
  <si>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</si>
  <si>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</si>
  <si>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</si>
  <si>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</si>
  <si>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</si>
  <si>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</si>
  <si>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</si>
  <si>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</si>
  <si>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</si>
  <si>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</si>
  <si>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</si>
  <si>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</si>
  <si>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</si>
  <si>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</si>
  <si>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</si>
  <si>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</si>
  <si>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</si>
  <si>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</si>
  <si>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</si>
  <si>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</si>
  <si>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</si>
  <si>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</si>
  <si>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</si>
  <si>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</si>
  <si>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</si>
  <si>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</si>
  <si>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</si>
  <si>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</si>
  <si>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</si>
  <si>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</si>
  <si>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</si>
  <si>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</si>
  <si>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</si>
  <si>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</si>
  <si>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</si>
  <si>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</si>
  <si>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</si>
  <si>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</si>
  <si>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</si>
  <si>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</si>
  <si>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</si>
  <si>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</si>
  <si>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</si>
  <si>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</si>
  <si>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</si>
  <si>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</si>
  <si>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</si>
  <si>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</si>
  <si>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</si>
  <si>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</si>
  <si>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</si>
  <si>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</si>
  <si>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</si>
  <si>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</si>
  <si>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</si>
  <si>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</si>
  <si>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</si>
  <si>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</si>
  <si>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</si>
  <si>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</si>
  <si>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</si>
  <si>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</si>
  <si>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</si>
  <si>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</si>
  <si>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</si>
  <si>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</si>
  <si>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</si>
  <si>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</si>
  <si>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</si>
  <si>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</si>
  <si>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</si>
  <si>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</si>
  <si>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</si>
  <si>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</si>
  <si>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</si>
  <si>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</si>
  <si>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</si>
  <si>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</si>
  <si>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</si>
  <si>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</si>
  <si>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</si>
  <si>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</si>
  <si>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</si>
  <si>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</si>
  <si>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</si>
  <si>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</si>
  <si>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</si>
  <si>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</si>
  <si>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</si>
  <si>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</si>
  <si>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</si>
  <si>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</si>
  <si>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</si>
  <si>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</si>
  <si>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</si>
  <si>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</si>
  <si>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</si>
  <si>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</si>
  <si>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</si>
  <si>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</si>
  <si>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</si>
  <si>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</si>
  <si>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</si>
  <si>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</si>
  <si>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</si>
  <si>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</si>
  <si>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</si>
  <si>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</si>
  <si>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</si>
  <si>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</si>
  <si>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</si>
  <si>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</si>
  <si>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</si>
  <si>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</si>
  <si>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</si>
  <si>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</si>
  <si>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</si>
  <si>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</si>
  <si>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</si>
  <si>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</si>
  <si>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</si>
  <si>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</si>
  <si>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</si>
  <si>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</si>
  <si>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</si>
  <si>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</si>
  <si>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</si>
  <si>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</si>
  <si>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</si>
  <si>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</si>
  <si>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</si>
  <si>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</si>
  <si>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</si>
  <si>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</si>
  <si>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</si>
  <si>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</si>
  <si>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</si>
  <si>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</si>
  <si>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</si>
  <si>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</si>
  <si>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</si>
  <si>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</si>
  <si>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</si>
  <si>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</si>
  <si>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</si>
  <si>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</si>
  <si>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</si>
  <si>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</si>
  <si>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</si>
  <si>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</si>
  <si>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</si>
  <si>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</si>
  <si>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</si>
  <si>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</si>
  <si>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</si>
  <si>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</si>
  <si>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</si>
  <si>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</si>
  <si>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</si>
  <si>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</si>
  <si>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</si>
  <si>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</si>
  <si>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</si>
  <si>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</si>
  <si>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</si>
  <si>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</si>
  <si>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</si>
  <si>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</si>
  <si>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</si>
  <si>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</si>
  <si>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</si>
  <si>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</si>
  <si>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</si>
  <si>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</si>
  <si>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</si>
  <si>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</si>
  <si>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</si>
  <si>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</si>
  <si>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</si>
  <si>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</si>
  <si>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</si>
  <si>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</si>
  <si>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</si>
  <si>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</si>
  <si>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</si>
  <si>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</si>
  <si>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</si>
  <si>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</si>
  <si>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</si>
  <si>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</si>
  <si>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</si>
  <si>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</si>
  <si>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</si>
  <si>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</si>
  <si>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</si>
  <si>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</si>
  <si>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</si>
  <si>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</si>
  <si>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</si>
  <si>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</si>
  <si>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</si>
  <si>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</si>
  <si>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</si>
  <si>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</si>
  <si>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</si>
  <si>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</si>
  <si>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</si>
  <si>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</si>
  <si>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</si>
  <si>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</si>
  <si>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</si>
  <si>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</si>
  <si>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</si>
  <si>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</si>
  <si>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</si>
  <si>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</si>
  <si>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</si>
  <si>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</si>
  <si>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</si>
  <si>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</si>
  <si>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</si>
  <si>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</si>
  <si>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</si>
  <si>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</si>
  <si>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</si>
  <si>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</si>
  <si>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</si>
  <si>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</si>
  <si>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</si>
  <si>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</si>
  <si>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</si>
  <si>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</si>
  <si>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</si>
  <si>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</si>
  <si>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</si>
  <si>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</si>
  <si>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</si>
  <si>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</si>
  <si>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</si>
  <si>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</si>
  <si>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</si>
  <si>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</si>
  <si>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</si>
  <si>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</si>
  <si>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</si>
  <si>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</si>
  <si>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</si>
  <si>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</si>
  <si>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</si>
  <si>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</si>
  <si>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</si>
  <si>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</si>
  <si>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</si>
  <si>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</si>
  <si>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</si>
  <si>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</si>
  <si>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</si>
  <si>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</si>
  <si>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</si>
  <si>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</si>
  <si>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</si>
  <si>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</si>
  <si>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</si>
  <si>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</si>
  <si>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</si>
  <si>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</si>
  <si>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</si>
  <si>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</si>
  <si>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</si>
  <si>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</si>
  <si>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</si>
  <si>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</si>
  <si>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</si>
  <si>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</si>
  <si>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</si>
  <si>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</si>
  <si>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</si>
  <si>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</si>
  <si>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</si>
  <si>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</si>
  <si>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</si>
  <si>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</si>
  <si>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</si>
  <si>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</si>
  <si>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</si>
  <si>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</si>
  <si>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</si>
  <si>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</si>
  <si>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</si>
  <si>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</si>
  <si>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</si>
  <si>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</si>
  <si>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</si>
  <si>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</si>
  <si>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</si>
  <si>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</si>
  <si>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</si>
  <si>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</si>
  <si>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</si>
  <si>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</si>
  <si>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</si>
  <si>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</si>
  <si>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</si>
  <si>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</si>
  <si>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</si>
  <si>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</si>
  <si>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</si>
  <si>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</si>
  <si>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</si>
  <si>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</si>
  <si>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</si>
  <si>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</si>
  <si>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</si>
  <si>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</si>
  <si>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</si>
  <si>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</si>
  <si>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</si>
  <si>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</si>
  <si>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</si>
  <si>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</si>
  <si>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</si>
  <si>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</si>
  <si>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</si>
  <si>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</si>
  <si>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</si>
  <si>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</si>
  <si>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</si>
  <si>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</si>
  <si>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</si>
  <si>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</si>
  <si>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</si>
  <si>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</si>
  <si>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</si>
  <si>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</si>
  <si>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</si>
  <si>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</si>
  <si>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</si>
  <si>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</si>
  <si>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</si>
  <si>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</si>
  <si>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</si>
  <si>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</si>
  <si>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</si>
  <si>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</si>
  <si>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</si>
  <si>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</si>
  <si>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</si>
  <si>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</si>
  <si>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</si>
  <si>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</si>
  <si>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</si>
  <si>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</si>
  <si>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</si>
  <si>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</si>
  <si>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</si>
  <si>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</si>
  <si>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</si>
  <si>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</si>
  <si>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</si>
  <si>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</si>
  <si>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</si>
  <si>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</si>
  <si>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</si>
  <si>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</si>
  <si>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</si>
  <si>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</si>
  <si>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</si>
  <si>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</si>
  <si>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</si>
  <si>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</si>
  <si>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</si>
  <si>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</si>
  <si>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</si>
  <si>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</si>
  <si>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</si>
  <si>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</si>
  <si>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</si>
  <si>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</si>
  <si>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</si>
  <si>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</si>
  <si>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</si>
  <si>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</si>
  <si>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</si>
  <si>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</si>
  <si>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</si>
  <si>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</si>
  <si>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</si>
  <si>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</si>
  <si>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</si>
  <si>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</si>
  <si>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</si>
  <si>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</si>
  <si>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</si>
  <si>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</si>
  <si>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</si>
  <si>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</si>
  <si>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</si>
  <si>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</si>
  <si>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</si>
  <si>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</si>
  <si>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</si>
  <si>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</si>
  <si>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</si>
  <si>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</si>
  <si>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</si>
  <si>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</si>
  <si>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</si>
  <si>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</si>
  <si>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</si>
  <si>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</si>
  <si>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</si>
  <si>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</si>
  <si>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</si>
  <si>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</si>
  <si>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</si>
  <si>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</si>
  <si>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</si>
  <si>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</si>
  <si>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</si>
  <si>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</si>
  <si>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</si>
  <si>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</si>
  <si>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</si>
  <si>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</si>
  <si>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</si>
  <si>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</si>
  <si>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</si>
  <si>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</si>
  <si>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</si>
  <si>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</si>
  <si>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</si>
  <si>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</si>
  <si>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</si>
  <si>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</si>
  <si>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</si>
  <si>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</si>
  <si>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</si>
  <si>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</si>
  <si>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</si>
  <si>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</si>
  <si>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</si>
  <si>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</si>
  <si>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</si>
  <si>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</si>
  <si>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</si>
  <si>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</si>
  <si>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</si>
  <si>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</si>
  <si>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</si>
  <si>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</si>
  <si>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</si>
  <si>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</si>
  <si>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</si>
  <si>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</si>
  <si>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</si>
  <si>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</si>
  <si>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</si>
  <si>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</si>
  <si>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</si>
  <si>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</si>
  <si>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</si>
  <si>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</si>
  <si>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</si>
  <si>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</si>
  <si>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</si>
  <si>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</si>
  <si>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</si>
  <si>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</si>
  <si>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</si>
  <si>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</si>
  <si>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</si>
  <si>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</si>
  <si>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</si>
  <si>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</si>
  <si>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</si>
  <si>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</si>
  <si>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</si>
  <si>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</si>
  <si>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</si>
  <si>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</si>
  <si>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</si>
  <si>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</si>
  <si>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</si>
  <si>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</si>
  <si>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</si>
  <si>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</si>
  <si>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</si>
  <si>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</si>
  <si>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</si>
  <si>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</si>
  <si>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</si>
  <si>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</si>
  <si>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</si>
  <si>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</si>
  <si>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</si>
  <si>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</si>
  <si>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</si>
  <si>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</si>
  <si>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</si>
  <si>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</si>
  <si>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</si>
  <si>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</si>
  <si>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</si>
  <si>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</si>
  <si>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</si>
  <si>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</si>
  <si>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</si>
  <si>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</si>
  <si>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</si>
  <si>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</si>
  <si>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</si>
  <si>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</si>
  <si>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</si>
  <si>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</si>
  <si>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</si>
  <si>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</si>
  <si>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</si>
  <si>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</si>
  <si>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</si>
  <si>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</si>
  <si>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</si>
  <si>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</si>
  <si>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</si>
  <si>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</si>
  <si>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</si>
  <si>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</si>
  <si>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</si>
  <si>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</si>
  <si>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</si>
  <si>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</si>
  <si>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</si>
  <si>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</si>
  <si>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</si>
  <si>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</si>
  <si>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</si>
  <si>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</si>
  <si>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</si>
  <si>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</si>
  <si>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</si>
  <si>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</si>
  <si>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</si>
  <si>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</si>
  <si>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</si>
  <si>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</si>
  <si>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</si>
  <si>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</si>
  <si>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</si>
  <si>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</si>
  <si>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</si>
  <si>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</si>
  <si>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</si>
  <si>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</si>
  <si>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</si>
  <si>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</si>
  <si>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</si>
  <si>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</si>
  <si>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</si>
  <si>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</si>
  <si>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</si>
  <si>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</si>
  <si>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</si>
  <si>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</si>
  <si>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</si>
  <si>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</si>
  <si>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</si>
  <si>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</si>
  <si>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</si>
  <si>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</si>
  <si>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</si>
  <si>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</si>
  <si>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</si>
  <si>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</si>
  <si>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</si>
  <si>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</si>
  <si>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</si>
  <si>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</si>
  <si>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</si>
  <si>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</si>
  <si>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</si>
  <si>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</si>
  <si>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</si>
  <si>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</si>
  <si>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</si>
  <si>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</si>
  <si>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</si>
  <si>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</si>
  <si>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</si>
  <si>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</si>
  <si>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</si>
  <si>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</si>
  <si>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</si>
  <si>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</si>
  <si>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</si>
  <si>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</si>
  <si>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</si>
  <si>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</si>
  <si>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</si>
  <si>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</si>
  <si>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</si>
  <si>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</si>
  <si>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</si>
  <si>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</si>
  <si>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</si>
  <si>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</si>
  <si>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</si>
  <si>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</si>
  <si>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</si>
  <si>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</si>
  <si>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</si>
  <si>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</si>
  <si>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</si>
  <si>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</si>
  <si>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</si>
  <si>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</si>
  <si>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</si>
  <si>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</si>
  <si>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</si>
  <si>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</si>
  <si>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</si>
  <si>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</si>
  <si>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</si>
  <si>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</si>
  <si>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</si>
  <si>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</si>
  <si>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</si>
  <si>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</si>
  <si>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</si>
  <si>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</si>
  <si>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</si>
  <si>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</si>
  <si>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</si>
  <si>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</si>
  <si>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</si>
  <si>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</si>
  <si>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</si>
  <si>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</si>
  <si>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</si>
  <si>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</si>
  <si>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</si>
  <si>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</si>
  <si>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</si>
  <si>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</si>
  <si>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</si>
  <si>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</si>
  <si>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</si>
  <si>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</si>
  <si>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</si>
  <si>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</si>
  <si>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</si>
  <si>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</si>
  <si>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</si>
  <si>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</si>
  <si>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</si>
  <si>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</si>
  <si>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</si>
  <si>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</si>
  <si>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</si>
  <si>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</si>
  <si>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</si>
  <si>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</si>
  <si>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</si>
  <si>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</si>
  <si>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</si>
  <si>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</si>
  <si>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</si>
  <si>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</si>
  <si>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</si>
  <si>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</si>
  <si>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</si>
  <si>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</si>
  <si>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</si>
  <si>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</si>
  <si>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</si>
  <si>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</si>
  <si>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</si>
  <si>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</si>
  <si>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</si>
  <si>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</si>
  <si>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</si>
  <si>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</si>
  <si>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</si>
  <si>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</si>
  <si>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</si>
  <si>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</si>
  <si>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</si>
  <si>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</si>
  <si>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</si>
  <si>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</si>
  <si>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</si>
  <si>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</si>
  <si>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</si>
  <si>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</si>
  <si>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</si>
  <si>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</si>
  <si>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</si>
  <si>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</si>
  <si>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</si>
  <si>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</si>
  <si>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</si>
  <si>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</si>
  <si>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</si>
  <si>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</si>
  <si>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</si>
  <si>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</si>
  <si>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</si>
  <si>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</si>
  <si>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</si>
  <si>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</si>
  <si>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</si>
  <si>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</si>
  <si>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</si>
  <si>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</si>
  <si>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</si>
  <si>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</si>
  <si>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</si>
  <si>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</si>
  <si>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</si>
  <si>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</si>
  <si>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</si>
  <si>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</si>
  <si>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</si>
  <si>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</si>
  <si>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</si>
  <si>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</si>
  <si>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</si>
  <si>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</si>
  <si>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</si>
  <si>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</si>
  <si>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</si>
  <si>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</si>
  <si>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</si>
  <si>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</si>
  <si>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</si>
  <si>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</si>
  <si>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</si>
  <si>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</si>
  <si>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</si>
  <si>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</si>
  <si>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</si>
  <si>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</si>
  <si>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</si>
  <si>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</si>
  <si>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</si>
  <si>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</si>
  <si>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</si>
  <si>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</si>
  <si>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</si>
  <si>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</si>
  <si>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</si>
  <si>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</si>
  <si>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</si>
  <si>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</si>
  <si>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</si>
  <si>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</si>
  <si>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</si>
  <si>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</si>
  <si>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</si>
  <si>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</si>
  <si>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</si>
  <si>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</si>
  <si>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</si>
  <si>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</si>
  <si>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</si>
  <si>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</si>
  <si>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</si>
  <si>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</si>
  <si>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</si>
  <si>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</si>
  <si>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</si>
  <si>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</si>
  <si>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</si>
  <si>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</si>
  <si>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</si>
  <si>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</si>
  <si>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</si>
  <si>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</si>
  <si>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</si>
  <si>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</si>
  <si>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</si>
  <si>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</si>
  <si>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</si>
  <si>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</si>
  <si>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</si>
  <si>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</si>
  <si>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</si>
  <si>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</si>
  <si>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</si>
  <si>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</si>
  <si>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</si>
  <si>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</si>
  <si>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</si>
  <si>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</si>
  <si>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</si>
  <si>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</si>
  <si>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</si>
  <si>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</si>
  <si>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</si>
  <si>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</si>
  <si>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</si>
  <si>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</si>
  <si>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</si>
  <si>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</si>
  <si>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</si>
  <si>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</si>
  <si>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</si>
  <si>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</si>
  <si>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</si>
  <si>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</si>
  <si>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</si>
  <si>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</si>
  <si>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</si>
  <si>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</si>
  <si>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</si>
  <si>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</si>
  <si>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</si>
  <si>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</si>
  <si>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</si>
  <si>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</si>
  <si>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</si>
  <si>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</si>
  <si>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</si>
  <si>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</si>
  <si>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</si>
  <si>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</si>
  <si>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</si>
  <si>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</si>
  <si>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</si>
  <si>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</si>
  <si>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</si>
  <si>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</si>
  <si>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</si>
  <si>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</si>
  <si>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</si>
  <si>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</si>
  <si>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</si>
  <si>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</si>
  <si>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</si>
  <si>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</si>
  <si>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</si>
  <si>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</si>
  <si>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</si>
  <si>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</si>
  <si>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</si>
  <si>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</si>
  <si>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</si>
  <si>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</si>
  <si>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</si>
  <si>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</si>
  <si>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</si>
  <si>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</si>
  <si>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</si>
  <si>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</si>
  <si>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</si>
  <si>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</si>
  <si>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</si>
  <si>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</si>
  <si>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</si>
  <si>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</si>
  <si>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</si>
  <si>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</si>
  <si>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</si>
  <si>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</si>
  <si>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</si>
  <si>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</si>
  <si>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</si>
  <si>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</si>
  <si>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</si>
  <si>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</si>
  <si>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</si>
  <si>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</si>
  <si>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</si>
  <si>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</si>
  <si>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</si>
  <si>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</si>
  <si>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</si>
  <si>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</si>
  <si>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</si>
  <si>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</si>
  <si>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</si>
  <si>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</si>
  <si>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</si>
  <si>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</si>
  <si>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</si>
  <si>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</si>
  <si>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</si>
  <si>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</si>
  <si>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</si>
  <si>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</si>
  <si>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</si>
  <si>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</si>
  <si>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</si>
  <si>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</si>
  <si>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</si>
  <si>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</si>
  <si>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</si>
  <si>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</si>
  <si>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</si>
  <si>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</si>
  <si>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</si>
  <si>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</si>
  <si>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</si>
  <si>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</si>
  <si>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</si>
  <si>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</si>
  <si>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</si>
  <si>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</si>
  <si>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</si>
  <si>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</si>
  <si>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</si>
  <si>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</si>
  <si>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</si>
  <si>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</si>
  <si>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</si>
  <si>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</si>
  <si>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</si>
  <si>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</si>
  <si>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</si>
  <si>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</si>
  <si>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</si>
  <si>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</si>
  <si>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</si>
  <si>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</si>
  <si>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</si>
  <si>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</si>
  <si>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</si>
  <si>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</si>
  <si>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</si>
  <si>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</si>
  <si>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</si>
  <si>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</si>
  <si>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</si>
  <si>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</si>
  <si>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</si>
  <si>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</si>
  <si>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</si>
  <si>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</si>
  <si>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</si>
  <si>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</si>
  <si>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</si>
  <si>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</si>
  <si>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</si>
  <si>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</si>
  <si>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</si>
  <si>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</si>
  <si>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</si>
  <si>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</si>
  <si>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</si>
  <si>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</si>
  <si>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</si>
  <si>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</si>
  <si>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</si>
  <si>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</si>
  <si>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</si>
  <si>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</si>
  <si>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</si>
  <si>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</si>
  <si>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</si>
  <si>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</si>
  <si>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</si>
  <si>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</si>
  <si>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</si>
  <si>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</si>
  <si>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</si>
  <si>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</si>
  <si>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</si>
  <si>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</si>
  <si>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</si>
  <si>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</si>
  <si>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</si>
  <si>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</si>
  <si>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</si>
  <si>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</si>
  <si>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</si>
  <si>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</si>
  <si>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</si>
  <si>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</si>
  <si>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</si>
  <si>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</si>
  <si>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</si>
  <si>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</si>
  <si>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</si>
  <si>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</si>
  <si>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</si>
  <si>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</si>
  <si>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</si>
  <si>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</si>
  <si>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</si>
  <si>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</si>
  <si>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</si>
  <si>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</si>
  <si>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</si>
  <si>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</si>
  <si>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</si>
  <si>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</si>
  <si>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</si>
  <si>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</si>
  <si>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</si>
  <si>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</si>
  <si>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</si>
  <si>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</si>
  <si>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</si>
  <si>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</si>
  <si>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</si>
  <si>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</si>
  <si>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</si>
  <si>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</si>
  <si>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</si>
  <si>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</si>
  <si>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</si>
  <si>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</si>
  <si>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</si>
  <si>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</si>
  <si>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</si>
  <si>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</si>
  <si>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</si>
  <si>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</si>
  <si>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</si>
  <si>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</si>
  <si>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</si>
  <si>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</si>
  <si>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</si>
  <si>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</si>
  <si>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</si>
  <si>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</si>
  <si>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</si>
  <si>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</si>
  <si>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</si>
  <si>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</si>
  <si>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</si>
  <si>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</si>
  <si>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</si>
  <si>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</si>
  <si>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</si>
  <si>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</si>
  <si>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</si>
  <si>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</si>
  <si>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</si>
  <si>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</si>
  <si>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</si>
  <si>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</si>
  <si>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</si>
  <si>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</si>
  <si>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</si>
  <si>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</si>
  <si>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</si>
  <si>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</si>
  <si>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</si>
  <si>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</si>
  <si>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</si>
  <si>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</si>
  <si>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</si>
  <si>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</si>
  <si>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</si>
  <si>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</si>
  <si>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</si>
  <si>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</si>
  <si>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</si>
  <si>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</si>
  <si>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</si>
  <si>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</si>
  <si>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</si>
  <si>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</si>
  <si>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</si>
  <si>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</si>
  <si>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</si>
  <si>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</si>
  <si>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</si>
  <si>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</si>
  <si>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</si>
  <si>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</si>
  <si>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</si>
  <si>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</si>
  <si>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</si>
  <si>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</si>
  <si>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</si>
  <si>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</si>
  <si>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</si>
  <si>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</si>
  <si>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</si>
  <si>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</si>
  <si>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</si>
  <si>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</si>
  <si>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</si>
  <si>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</si>
  <si>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</si>
  <si>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</si>
  <si>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</si>
  <si>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</si>
  <si>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</si>
  <si>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</si>
  <si>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</si>
  <si>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</si>
  <si>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</si>
  <si>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</si>
  <si>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</si>
  <si>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</si>
  <si>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</si>
  <si>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</si>
  <si>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</si>
  <si>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</si>
  <si>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</si>
  <si>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</si>
  <si>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</si>
  <si>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</si>
  <si>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</si>
  <si>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</si>
  <si>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</si>
  <si>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</si>
  <si>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</si>
  <si>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</si>
  <si>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</si>
  <si>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</si>
  <si>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</si>
  <si>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</si>
  <si>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</si>
  <si>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</si>
  <si>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</si>
  <si>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</si>
  <si>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</si>
  <si>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</si>
  <si>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</si>
  <si>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</si>
  <si>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</si>
  <si>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</si>
  <si>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</si>
  <si>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</si>
  <si>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</si>
  <si>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</si>
  <si>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</si>
  <si>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</si>
  <si>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</si>
  <si>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</si>
  <si>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</si>
  <si>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</si>
  <si>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</si>
  <si>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</si>
  <si>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</si>
  <si>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</si>
  <si>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</si>
  <si>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</si>
  <si>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</si>
  <si>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</si>
  <si>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</si>
  <si>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</si>
  <si>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</si>
  <si>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</si>
  <si>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</si>
  <si>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</si>
  <si>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</si>
  <si>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</si>
  <si>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</si>
  <si>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</si>
  <si>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</si>
  <si>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</si>
  <si>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</si>
  <si>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</si>
  <si>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</si>
  <si>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</si>
  <si>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</si>
  <si>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</si>
  <si>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</si>
  <si>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</si>
  <si>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</si>
  <si>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</si>
  <si>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</si>
  <si>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</si>
  <si>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</si>
  <si>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</si>
  <si>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</si>
  <si>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</si>
  <si>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</si>
  <si>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</si>
  <si>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</si>
  <si>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</si>
  <si>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</si>
  <si>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</si>
  <si>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</si>
  <si>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</si>
  <si>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</si>
  <si>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</si>
  <si>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</si>
  <si>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</si>
  <si>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</si>
  <si>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</si>
  <si>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</si>
  <si>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</si>
  <si>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</si>
  <si>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</si>
  <si>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</si>
  <si>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</si>
  <si>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</si>
  <si>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</si>
  <si>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</si>
  <si>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</si>
  <si>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</si>
  <si>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</si>
  <si>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</si>
  <si>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</si>
  <si>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</si>
  <si>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</si>
  <si>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</si>
  <si>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</si>
  <si>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</si>
  <si>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</si>
  <si>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</si>
  <si>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</si>
  <si>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</si>
  <si>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</si>
  <si>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</si>
  <si>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</si>
  <si>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</si>
  <si>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</si>
  <si>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</si>
  <si>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</si>
  <si>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</si>
  <si>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</si>
  <si>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</si>
  <si>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</si>
  <si>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</si>
  <si>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</si>
  <si>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</si>
  <si>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</si>
  <si>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</si>
  <si>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</si>
  <si>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</si>
  <si>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</si>
  <si>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</si>
  <si>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</si>
  <si>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</si>
  <si>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</si>
  <si>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</si>
  <si>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</si>
  <si>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</si>
  <si>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</si>
  <si>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</si>
  <si>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</si>
  <si>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</si>
  <si>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</si>
  <si>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</si>
  <si>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</si>
  <si>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</si>
  <si>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</si>
  <si>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</si>
  <si>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</si>
  <si>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</si>
  <si>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</si>
  <si>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</si>
  <si>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</si>
  <si>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</si>
  <si>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</si>
  <si>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</si>
  <si>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</si>
  <si>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</si>
  <si>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</si>
  <si>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</si>
  <si>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</si>
  <si>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</si>
  <si>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</si>
  <si>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</si>
  <si>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</si>
  <si>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</si>
  <si>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</si>
  <si>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</si>
  <si>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</si>
  <si>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</si>
  <si>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</si>
  <si>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</si>
  <si>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</si>
  <si>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</si>
  <si>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</si>
  <si>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</si>
  <si>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</si>
  <si>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</si>
  <si>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</si>
  <si>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</si>
  <si>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</si>
  <si>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</si>
  <si>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</si>
  <si>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</si>
  <si>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</si>
  <si>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</si>
  <si>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</si>
  <si>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</si>
  <si>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</si>
  <si>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</si>
  <si>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</si>
  <si>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</si>
  <si>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</si>
  <si>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</si>
  <si>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</si>
  <si>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</si>
  <si>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</si>
  <si>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</si>
  <si>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</si>
  <si>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</si>
  <si>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</si>
  <si>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</si>
  <si>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</si>
  <si>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</si>
  <si>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</si>
  <si>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</si>
  <si>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</si>
  <si>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</si>
  <si>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</si>
  <si>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</si>
  <si>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</si>
  <si>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</si>
  <si>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</si>
  <si>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</si>
  <si>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</si>
  <si>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</si>
  <si>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</si>
  <si>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</si>
  <si>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</si>
  <si>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</si>
  <si>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</si>
  <si>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</si>
  <si>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</si>
  <si>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</si>
  <si>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</si>
  <si>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</si>
  <si>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</si>
  <si>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</si>
  <si>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</si>
  <si>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</si>
  <si>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</si>
  <si>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</si>
  <si>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</si>
  <si>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</si>
  <si>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</si>
  <si>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</si>
  <si>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</si>
  <si>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</si>
  <si>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</si>
  <si>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</si>
  <si>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</si>
  <si>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</si>
  <si>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</si>
  <si>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</si>
  <si>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</si>
  <si>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</si>
  <si>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</si>
  <si>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</si>
  <si>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</si>
  <si>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</si>
  <si>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</si>
  <si>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</si>
  <si>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</si>
  <si>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</si>
  <si>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</si>
  <si>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</si>
  <si>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</si>
  <si>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</si>
  <si>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</si>
  <si>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</si>
  <si>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</si>
  <si>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</si>
  <si>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</si>
  <si>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</si>
  <si>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</si>
  <si>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</si>
  <si>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</si>
  <si>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</si>
  <si>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</si>
  <si>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</si>
  <si>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</si>
  <si>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</si>
  <si>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</si>
  <si>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</si>
  <si>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</si>
  <si>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</si>
  <si>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</si>
  <si>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</si>
  <si>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</si>
  <si>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</si>
  <si>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</si>
  <si>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</si>
  <si>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</si>
  <si>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</si>
  <si>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</si>
  <si>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</si>
  <si>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</si>
  <si>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</si>
  <si>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</si>
  <si>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</si>
  <si>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</si>
  <si>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</si>
  <si>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</si>
  <si>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</si>
  <si>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</si>
  <si>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</si>
  <si>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</si>
  <si>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</si>
  <si>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</si>
  <si>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</si>
  <si>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</si>
  <si>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</si>
  <si>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</si>
  <si>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</si>
  <si>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</si>
  <si>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</si>
  <si>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</si>
  <si>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</si>
  <si>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</si>
  <si>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</si>
  <si>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</si>
  <si>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</si>
  <si>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</si>
  <si>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</si>
  <si>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</si>
  <si>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</si>
  <si>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</si>
  <si>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</si>
  <si>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</si>
  <si>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</si>
  <si>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</si>
  <si>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</si>
  <si>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</si>
  <si>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</si>
  <si>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</si>
  <si>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</si>
  <si>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</si>
  <si>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</si>
  <si>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</si>
  <si>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</si>
  <si>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</si>
  <si>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</si>
  <si>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</si>
  <si>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</si>
  <si>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</si>
  <si>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</si>
  <si>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</si>
  <si>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</si>
  <si>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</si>
  <si>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</si>
  <si>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</si>
  <si>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</si>
  <si>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</si>
  <si>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</si>
  <si>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</si>
  <si>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</si>
  <si>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</si>
  <si>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</si>
  <si>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</si>
  <si>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</si>
  <si>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</si>
  <si>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</si>
  <si>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</si>
  <si>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</si>
  <si>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</si>
  <si>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</si>
  <si>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</si>
  <si>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</si>
  <si>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</si>
  <si>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</si>
  <si>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</si>
  <si>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</si>
  <si>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</si>
  <si>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</si>
  <si>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</si>
  <si>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</si>
  <si>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</si>
  <si>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</si>
  <si>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</si>
  <si>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</si>
  <si>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</si>
  <si>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</si>
  <si>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</si>
  <si>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</si>
  <si>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</si>
  <si>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</si>
  <si>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</si>
  <si>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</si>
  <si>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</si>
  <si>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</si>
  <si>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</si>
  <si>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</si>
  <si>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</si>
  <si>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</si>
  <si>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</si>
  <si>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</si>
  <si>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</si>
  <si>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</si>
  <si>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</si>
  <si>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</si>
  <si>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</si>
  <si>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</si>
  <si>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</si>
  <si>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</si>
  <si>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</si>
  <si>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</si>
  <si>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</si>
  <si>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</si>
  <si>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</si>
  <si>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</si>
  <si>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</si>
  <si>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</si>
  <si>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</si>
  <si>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</si>
  <si>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</si>
  <si>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</si>
  <si>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</si>
  <si>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</si>
  <si>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</si>
  <si>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</si>
  <si>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</si>
  <si>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</si>
  <si>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</si>
  <si>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</si>
  <si>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</si>
  <si>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</si>
  <si>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</si>
  <si>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</si>
  <si>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</si>
  <si>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</si>
  <si>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</si>
  <si>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</si>
  <si>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</si>
  <si>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</si>
  <si>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</si>
  <si>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</si>
  <si>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</si>
  <si>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</si>
  <si>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</si>
  <si>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</si>
  <si>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</si>
  <si>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</si>
  <si>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</si>
  <si>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</si>
  <si>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</si>
  <si>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</si>
  <si>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</si>
  <si>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</si>
  <si>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</si>
  <si>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</si>
  <si>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</si>
  <si>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</si>
  <si>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</si>
  <si>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</si>
  <si>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</si>
  <si>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</si>
  <si>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</si>
  <si>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</si>
  <si>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</si>
  <si>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</si>
  <si>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</si>
  <si>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</si>
  <si>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</si>
  <si>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</si>
  <si>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</si>
  <si>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</si>
  <si>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</si>
  <si>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</si>
  <si>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</si>
  <si>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</si>
  <si>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</si>
  <si>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</si>
  <si>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</si>
  <si>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</si>
  <si>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</si>
  <si>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</si>
  <si>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</si>
  <si>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</si>
  <si>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</si>
  <si>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</si>
  <si>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</si>
  <si>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</si>
  <si>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</si>
  <si>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</si>
  <si>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</si>
  <si>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</si>
  <si>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</si>
  <si>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</si>
  <si>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</si>
  <si>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</si>
  <si>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</si>
  <si>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</si>
  <si>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</si>
  <si>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</si>
  <si>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</si>
  <si>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</si>
  <si>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</si>
  <si>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</si>
  <si>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</si>
  <si>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</si>
  <si>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</si>
  <si>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</si>
  <si>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</si>
  <si>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</si>
  <si>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</si>
  <si>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</si>
  <si>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</si>
  <si>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</si>
  <si>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</si>
  <si>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</si>
  <si>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</si>
  <si>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</si>
  <si>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</si>
  <si>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</si>
  <si>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</si>
  <si>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</si>
  <si>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</si>
  <si>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</si>
  <si>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</si>
  <si>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</si>
  <si>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</si>
  <si>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</si>
  <si>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</si>
  <si>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</si>
  <si>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</si>
  <si>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</si>
  <si>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</si>
  <si>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</si>
  <si>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</si>
  <si>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</si>
  <si>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</si>
  <si>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</si>
  <si>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</si>
  <si>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</si>
  <si>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</si>
  <si>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</si>
  <si>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</si>
  <si>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</si>
  <si>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</si>
  <si>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</si>
  <si>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</si>
  <si>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</si>
  <si>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</si>
  <si>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</si>
  <si>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</si>
  <si>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</si>
  <si>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</si>
  <si>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</si>
  <si>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</si>
  <si>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</si>
  <si>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</si>
  <si>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</si>
  <si>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</si>
  <si>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</si>
  <si>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</si>
  <si>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</si>
  <si>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</si>
  <si>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</si>
  <si>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</si>
  <si>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</si>
  <si>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</si>
  <si>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</si>
  <si>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</si>
  <si>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</si>
  <si>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</si>
  <si>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</si>
  <si>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</si>
  <si>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</si>
  <si>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</si>
  <si>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</si>
  <si>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</si>
  <si>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</si>
  <si>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</si>
  <si>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</si>
  <si>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</si>
  <si>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</si>
  <si>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</si>
  <si>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</si>
  <si>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</si>
  <si>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</si>
  <si>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</si>
  <si>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</si>
  <si>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</si>
  <si>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</si>
  <si>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</si>
  <si>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</si>
  <si>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</si>
  <si>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</si>
  <si>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</si>
  <si>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</si>
  <si>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</si>
  <si>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</si>
  <si>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</si>
  <si>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</si>
  <si>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</si>
  <si>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</si>
  <si>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</si>
  <si>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</si>
  <si>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</si>
  <si>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</si>
  <si>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</si>
  <si>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</si>
  <si>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</si>
  <si>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</si>
  <si>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</si>
  <si>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</si>
  <si>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</si>
  <si>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</si>
  <si>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</si>
  <si>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</si>
  <si>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</si>
  <si>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</si>
  <si>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</si>
  <si>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</si>
  <si>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</si>
  <si>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</si>
  <si>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</si>
  <si>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</si>
  <si>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</si>
  <si>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</si>
  <si>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</si>
  <si>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</si>
  <si>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</si>
  <si>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</si>
  <si>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</si>
  <si>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</si>
  <si>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</si>
  <si>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</si>
  <si>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</si>
  <si>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</si>
  <si>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</si>
  <si>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</si>
  <si>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</si>
  <si>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</si>
  <si>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</si>
  <si>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</si>
  <si>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</si>
  <si>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</si>
  <si>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</si>
  <si>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</si>
  <si>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</si>
  <si>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</si>
  <si>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</si>
  <si>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</si>
  <si>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</si>
  <si>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</si>
  <si>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</si>
  <si>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</si>
  <si>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</si>
  <si>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</si>
  <si>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</si>
  <si>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</si>
  <si>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</si>
  <si>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</si>
  <si>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</si>
  <si>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</si>
  <si>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</si>
  <si>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</si>
  <si>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</si>
  <si>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</si>
  <si>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</si>
  <si>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</si>
  <si>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</si>
  <si>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</si>
  <si>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</si>
  <si>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</si>
  <si>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</si>
  <si>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</si>
  <si>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</si>
  <si>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</si>
  <si>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</si>
  <si>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</si>
  <si>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</si>
  <si>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</si>
  <si>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</si>
  <si>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</si>
  <si>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</si>
  <si>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</si>
  <si>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</si>
  <si>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</si>
  <si>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</si>
  <si>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</si>
  <si>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</si>
  <si>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</si>
  <si>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</si>
  <si>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</si>
  <si>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</si>
  <si>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</si>
  <si>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</si>
  <si>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</si>
  <si>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</si>
  <si>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</si>
  <si>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</si>
  <si>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</si>
  <si>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</si>
  <si>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</si>
  <si>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</si>
  <si>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</si>
  <si>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</si>
  <si>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</si>
  <si>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</si>
  <si>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</si>
  <si>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</si>
  <si>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</si>
  <si>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</si>
  <si>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</si>
  <si>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</si>
  <si>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</si>
  <si>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</si>
  <si>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</si>
  <si>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</si>
  <si>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</si>
  <si>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</si>
  <si>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</si>
  <si>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</si>
  <si>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</si>
  <si>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</si>
  <si>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</si>
  <si>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</si>
  <si>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</si>
  <si>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</si>
  <si>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</si>
  <si>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</si>
  <si>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</si>
  <si>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</si>
  <si>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</si>
  <si>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</si>
  <si>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</si>
  <si>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</si>
  <si>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</si>
  <si>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</si>
  <si>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</si>
  <si>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</si>
  <si>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</si>
  <si>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</si>
  <si>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</si>
  <si>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</si>
  <si>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</si>
  <si>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</si>
  <si>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</si>
  <si>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</si>
  <si>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</si>
  <si>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</si>
  <si>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</si>
  <si>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</si>
  <si>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</si>
  <si>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</si>
  <si>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</si>
  <si>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</si>
  <si>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</si>
  <si>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</si>
  <si>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</si>
  <si>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</si>
  <si>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</si>
  <si>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</si>
  <si>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</si>
  <si>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</si>
  <si>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</si>
  <si>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</si>
  <si>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</si>
  <si>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</si>
  <si>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</si>
  <si>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</si>
  <si>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</si>
  <si>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</si>
  <si>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</si>
  <si>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</si>
  <si>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</si>
  <si>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</si>
  <si>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</si>
  <si>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</si>
  <si>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</si>
  <si>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</si>
  <si>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</si>
  <si>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</si>
  <si>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</si>
  <si>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</si>
  <si>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</si>
  <si>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</si>
  <si>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</si>
  <si>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</si>
  <si>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</si>
  <si>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</si>
  <si>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</si>
  <si>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</si>
  <si>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</si>
  <si>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</si>
  <si>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</si>
  <si>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</si>
  <si>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</si>
  <si>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</si>
  <si>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</si>
  <si>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</si>
  <si>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</si>
  <si>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</si>
  <si>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</si>
  <si>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</si>
  <si>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</si>
  <si>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</si>
  <si>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</si>
  <si>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</si>
  <si>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</si>
  <si>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</si>
  <si>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</si>
  <si>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</si>
  <si>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</si>
  <si>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</si>
  <si>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</si>
  <si>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</si>
  <si>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</si>
  <si>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</si>
  <si>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</si>
  <si>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</si>
  <si>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</si>
  <si>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</si>
  <si>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</si>
  <si>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</si>
  <si>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</si>
  <si>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</si>
  <si>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</si>
  <si>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</si>
  <si>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</si>
  <si>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</si>
  <si>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</si>
  <si>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</si>
  <si>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</si>
  <si>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</si>
  <si>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</si>
  <si>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</si>
  <si>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</si>
  <si>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</si>
  <si>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</si>
  <si>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</si>
  <si>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</si>
  <si>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</si>
  <si>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</si>
  <si>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</si>
  <si>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</si>
  <si>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</si>
  <si>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</si>
  <si>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</si>
  <si>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</si>
  <si>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</si>
  <si>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</si>
  <si>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</si>
  <si>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</si>
  <si>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</si>
  <si>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</si>
  <si>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</si>
  <si>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</si>
  <si>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</si>
  <si>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</si>
  <si>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</si>
  <si>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</si>
  <si>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</si>
  <si>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</si>
  <si>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</si>
  <si>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</si>
  <si>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</si>
  <si>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</si>
  <si>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</si>
  <si>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</si>
  <si>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</si>
  <si>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</si>
  <si>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</si>
  <si>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</si>
  <si>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</si>
  <si>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</si>
  <si>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</si>
  <si>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</si>
  <si>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</si>
  <si>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</si>
  <si>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</si>
  <si>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</si>
  <si>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</si>
  <si>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</si>
  <si>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</si>
  <si>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</si>
  <si>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</si>
  <si>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</si>
  <si>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</si>
  <si>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</si>
  <si>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</si>
  <si>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</si>
  <si>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</si>
  <si>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</si>
  <si>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</si>
  <si>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</si>
  <si>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</si>
  <si>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</si>
  <si>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</si>
  <si>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</si>
  <si>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</si>
  <si>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</si>
  <si>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</si>
  <si>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</si>
  <si>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</si>
  <si>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</si>
  <si>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</si>
  <si>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</si>
  <si>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</si>
  <si>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</si>
  <si>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</si>
  <si>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</si>
  <si>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</si>
  <si>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</si>
  <si>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</si>
  <si>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</si>
  <si>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</si>
  <si>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</si>
  <si>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</si>
  <si>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</si>
  <si>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</si>
  <si>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</si>
  <si>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</si>
  <si>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</si>
  <si>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</si>
  <si>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</si>
  <si>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</si>
  <si>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</si>
  <si>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</si>
  <si>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</si>
  <si>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</si>
  <si>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</si>
  <si>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</si>
  <si>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</si>
  <si>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</si>
  <si>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</si>
  <si>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</si>
  <si>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</si>
  <si>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</si>
  <si>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</si>
  <si>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</si>
  <si>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</si>
  <si>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</si>
  <si>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</si>
  <si>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</si>
  <si>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</si>
  <si>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</si>
  <si>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</si>
  <si>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</si>
  <si>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</si>
  <si>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</si>
  <si>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</si>
  <si>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</si>
  <si>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</si>
  <si>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</si>
  <si>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</si>
  <si>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</si>
  <si>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</si>
  <si>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</si>
  <si>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</si>
  <si>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</si>
  <si>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</si>
  <si>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</si>
  <si>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</si>
  <si>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</si>
  <si>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</si>
  <si>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</si>
  <si>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</si>
  <si>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</si>
  <si>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</si>
  <si>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</si>
  <si>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</si>
  <si>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</si>
  <si>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</si>
  <si>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</si>
  <si>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</si>
  <si>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</si>
  <si>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</si>
  <si>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</si>
  <si>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</si>
  <si>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</si>
  <si>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</si>
  <si>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</si>
  <si>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</si>
  <si>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</si>
  <si>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</si>
  <si>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</si>
  <si>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</si>
  <si>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</si>
  <si>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</si>
  <si>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</si>
  <si>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</si>
  <si>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</si>
  <si>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</si>
  <si>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</si>
  <si>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</si>
  <si>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</si>
  <si>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</si>
  <si>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</si>
  <si>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</si>
  <si>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</si>
  <si>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</si>
  <si>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</si>
  <si>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</si>
  <si>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</si>
  <si>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</si>
  <si>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</si>
  <si>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</si>
  <si>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</si>
  <si>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</si>
  <si>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</si>
  <si>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</si>
  <si>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</si>
  <si>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</si>
  <si>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</si>
  <si>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</si>
  <si>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</si>
  <si>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</si>
  <si>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</si>
  <si>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</si>
  <si>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</si>
  <si>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</si>
  <si>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</si>
  <si>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</si>
  <si>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</si>
  <si>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</si>
  <si>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</si>
  <si>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</si>
  <si>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</si>
  <si>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</si>
  <si>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</si>
  <si>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</si>
  <si>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</si>
  <si>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</si>
  <si>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</si>
  <si>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</si>
  <si>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</si>
  <si>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</si>
  <si>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</si>
  <si>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</si>
  <si>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</si>
  <si>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</si>
  <si>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</si>
  <si>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</si>
  <si>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</si>
  <si>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</si>
  <si>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</si>
  <si>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</si>
  <si>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</si>
  <si>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</si>
  <si>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</si>
  <si>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</si>
  <si>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</si>
  <si>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</si>
  <si>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</si>
  <si>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</si>
  <si>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</si>
  <si>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</si>
  <si>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</si>
  <si>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</si>
  <si>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</si>
  <si>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</si>
  <si>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</si>
  <si>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</si>
  <si>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</si>
  <si>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</si>
  <si>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</si>
  <si>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</si>
  <si>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</si>
  <si>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</si>
  <si>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</si>
  <si>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</si>
  <si>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</si>
  <si>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</si>
  <si>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</si>
  <si>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</si>
  <si>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</si>
  <si>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</si>
  <si>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</si>
  <si>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</si>
  <si>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</si>
  <si>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</si>
  <si>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</si>
  <si>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</si>
  <si>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</si>
  <si>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</si>
  <si>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</si>
  <si>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</si>
  <si>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</si>
  <si>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</si>
  <si>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</si>
  <si>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</si>
  <si>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</si>
  <si>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</si>
  <si>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</si>
  <si>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</si>
  <si>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</si>
  <si>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</si>
  <si>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</si>
  <si>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</si>
  <si>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</si>
  <si>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</si>
  <si>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</si>
  <si>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</si>
  <si>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</si>
  <si>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</si>
  <si>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</si>
  <si>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</si>
  <si>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</si>
  <si>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</si>
  <si>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</si>
  <si>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</si>
  <si>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</si>
  <si>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</si>
  <si>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</si>
  <si>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</si>
  <si>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</si>
  <si>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</si>
  <si>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</si>
  <si>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</si>
  <si>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</si>
  <si>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</si>
  <si>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</si>
  <si>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</si>
  <si>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</si>
  <si>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</si>
  <si>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</si>
  <si>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</si>
  <si>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</si>
  <si>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</si>
  <si>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</si>
  <si>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</si>
  <si>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</si>
  <si>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</si>
  <si>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</si>
  <si>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</si>
  <si>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</si>
  <si>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</si>
  <si>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</si>
  <si>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</si>
  <si>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</si>
  <si>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</si>
  <si>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</si>
  <si>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</si>
  <si>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</si>
  <si>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</si>
  <si>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</si>
  <si>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</si>
  <si>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</si>
  <si>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</si>
  <si>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</si>
  <si>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</si>
  <si>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</si>
  <si>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</si>
  <si>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</si>
  <si>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</si>
  <si>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</si>
  <si>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</si>
  <si>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</si>
  <si>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</si>
  <si>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</si>
  <si>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</si>
  <si>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</si>
  <si>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</si>
  <si>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</si>
  <si>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</si>
  <si>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</si>
  <si>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</si>
  <si>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</si>
  <si>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</si>
  <si>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</si>
  <si>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</si>
  <si>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</si>
  <si>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</si>
  <si>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</si>
  <si>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</si>
  <si>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</si>
  <si>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</si>
  <si>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</si>
  <si>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</si>
  <si>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</si>
  <si>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</si>
  <si>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</si>
  <si>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</si>
  <si>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</si>
  <si>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</si>
  <si>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</si>
  <si>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</si>
  <si>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</si>
  <si>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</si>
  <si>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</si>
  <si>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</si>
  <si>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</si>
  <si>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</si>
  <si>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</si>
  <si>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</si>
  <si>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</si>
  <si>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</si>
  <si>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</si>
  <si>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</si>
  <si>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</si>
  <si>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</si>
  <si>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</si>
  <si>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</si>
  <si>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</si>
  <si>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</si>
  <si>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</si>
  <si>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</si>
  <si>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</si>
  <si>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</si>
  <si>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</si>
  <si>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</si>
  <si>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</si>
  <si>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</si>
  <si>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</si>
  <si>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</si>
  <si>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</si>
  <si>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</si>
  <si>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</si>
  <si>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</si>
  <si>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</si>
  <si>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</si>
  <si>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</si>
  <si>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</si>
  <si>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</si>
  <si>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</si>
  <si>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</si>
  <si>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</si>
  <si>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</si>
  <si>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</si>
  <si>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</si>
  <si>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</si>
  <si>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</si>
  <si>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</si>
  <si>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</si>
  <si>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</si>
  <si>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</si>
  <si>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</si>
  <si>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</si>
  <si>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</si>
  <si>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</si>
  <si>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</si>
  <si>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</si>
  <si>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</si>
  <si>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</si>
  <si>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</si>
  <si>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</si>
  <si>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</si>
  <si>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</si>
  <si>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</si>
  <si>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</si>
  <si>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</si>
  <si>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</si>
  <si>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</si>
  <si>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</si>
  <si>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</si>
  <si>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</si>
  <si>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</si>
  <si>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</si>
  <si>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</si>
  <si>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</si>
  <si>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</si>
  <si>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</si>
  <si>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</si>
  <si>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</si>
  <si>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</si>
  <si>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</si>
  <si>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</si>
  <si>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</si>
  <si>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</si>
  <si>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</si>
  <si>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</si>
  <si>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</si>
  <si>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</si>
  <si>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</si>
  <si>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</si>
  <si>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</si>
  <si>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</si>
  <si>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</si>
  <si>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</si>
  <si>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</si>
  <si>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</si>
  <si>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</si>
  <si>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</si>
  <si>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</si>
  <si>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</si>
  <si>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</si>
  <si>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</si>
  <si>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</si>
  <si>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</si>
  <si>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</si>
  <si>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</si>
  <si>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</si>
  <si>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</si>
  <si>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</si>
  <si>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</si>
  <si>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</si>
  <si>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</si>
  <si>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</si>
  <si>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</si>
  <si>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</si>
  <si>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</si>
  <si>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</si>
  <si>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</si>
  <si>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</si>
  <si>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</si>
  <si>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</si>
  <si>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</si>
  <si>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</si>
  <si>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</si>
  <si>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</si>
  <si>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</si>
  <si>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</si>
  <si>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</si>
  <si>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</si>
  <si>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</si>
  <si>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</si>
  <si>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</si>
  <si>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</si>
  <si>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</si>
  <si>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</si>
  <si>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</si>
  <si>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</si>
  <si>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</si>
  <si>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</si>
  <si>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</si>
  <si>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</si>
  <si>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</si>
  <si>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</si>
  <si>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</si>
  <si>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</si>
  <si>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</si>
  <si>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</si>
  <si>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</si>
  <si>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</si>
  <si>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</si>
  <si>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</si>
  <si>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</si>
  <si>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</si>
  <si>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</si>
  <si>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</si>
  <si>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</si>
  <si>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</si>
  <si>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</si>
  <si>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</si>
  <si>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</si>
  <si>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</si>
  <si>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</si>
  <si>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</si>
  <si>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</si>
  <si>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</si>
  <si>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</si>
  <si>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</si>
  <si>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</si>
  <si>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</si>
  <si>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</si>
  <si>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</si>
  <si>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</si>
  <si>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</si>
  <si>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</si>
  <si>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</si>
  <si>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</si>
  <si>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</si>
  <si>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</si>
  <si>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</si>
  <si>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</si>
  <si>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</si>
  <si>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</si>
  <si>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</si>
  <si>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</si>
  <si>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</si>
  <si>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</si>
  <si>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</si>
  <si>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</si>
  <si>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</si>
  <si>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</si>
  <si>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</si>
  <si>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</si>
  <si>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</si>
  <si>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</si>
  <si>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</si>
  <si>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</si>
  <si>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</si>
  <si>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</si>
  <si>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</si>
  <si>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</si>
  <si>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</si>
  <si>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</si>
  <si>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</si>
  <si>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</si>
  <si>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</si>
  <si>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</si>
  <si>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</si>
  <si>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</si>
  <si>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</si>
  <si>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</si>
  <si>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</si>
  <si>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</si>
  <si>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</si>
  <si>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</si>
  <si>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</si>
  <si>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</si>
  <si>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</si>
  <si>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</si>
  <si>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</si>
  <si>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</si>
  <si>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</si>
  <si>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</si>
  <si>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</si>
  <si>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</si>
  <si>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</si>
  <si>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</si>
  <si>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</si>
  <si>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</si>
  <si>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</si>
  <si>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</si>
  <si>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</si>
  <si>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</si>
  <si>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</si>
  <si>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</si>
  <si>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</si>
  <si>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</si>
  <si>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</si>
  <si>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</si>
  <si>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</si>
  <si>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</si>
  <si>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</si>
  <si>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</si>
  <si>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</si>
  <si>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</si>
  <si>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</si>
  <si>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</si>
  <si>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</si>
  <si>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</si>
  <si>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</si>
  <si>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</si>
  <si>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</si>
  <si>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</si>
  <si>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</si>
  <si>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</si>
  <si>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</si>
  <si>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</si>
  <si>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</si>
  <si>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</si>
  <si>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</si>
  <si>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</si>
  <si>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</si>
  <si>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</si>
  <si>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</si>
  <si>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</si>
  <si>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</si>
  <si>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</si>
  <si>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</si>
  <si>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</si>
  <si>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</si>
  <si>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</si>
  <si>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</si>
  <si>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</si>
  <si>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</si>
  <si>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</si>
  <si>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</si>
  <si>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</si>
  <si>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</si>
  <si>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</si>
  <si>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</si>
  <si>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</si>
  <si>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</si>
  <si>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</si>
  <si>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</si>
  <si>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</si>
  <si>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</si>
  <si>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</si>
  <si>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</si>
  <si>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</si>
  <si>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</si>
  <si>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</si>
  <si>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</si>
  <si>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</si>
  <si>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</si>
  <si>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</si>
  <si>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</si>
  <si>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</si>
  <si>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</si>
  <si>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</si>
  <si>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</si>
  <si>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</si>
  <si>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</si>
  <si>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</si>
  <si>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</si>
  <si>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</si>
  <si>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</si>
  <si>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</si>
  <si>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</si>
  <si>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</si>
  <si>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</si>
  <si>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</si>
  <si>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</si>
  <si>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</si>
  <si>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</si>
  <si>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</si>
  <si>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</si>
  <si>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</si>
  <si>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</si>
  <si>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</si>
  <si>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</si>
  <si>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</si>
  <si>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</si>
  <si>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</si>
  <si>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</si>
  <si>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</si>
  <si>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</si>
  <si>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</si>
  <si>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</si>
  <si>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</si>
  <si>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</si>
  <si>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</si>
  <si>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</si>
  <si>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</si>
  <si>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</si>
  <si>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</si>
  <si>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</si>
  <si>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</si>
  <si>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</si>
  <si>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</si>
  <si>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</si>
  <si>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</si>
  <si>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</si>
  <si>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</si>
  <si>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</si>
  <si>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</si>
  <si>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</si>
  <si>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</si>
  <si>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</si>
  <si>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</si>
  <si>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</si>
  <si>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</si>
  <si>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</si>
  <si>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</si>
  <si>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</si>
  <si>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</si>
  <si>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</si>
  <si>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</si>
  <si>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</si>
  <si>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</si>
  <si>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</si>
  <si>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</si>
  <si>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</si>
  <si>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</si>
  <si>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</si>
  <si>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</si>
  <si>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</si>
  <si>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</si>
  <si>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</si>
  <si>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</si>
  <si>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</si>
  <si>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</si>
  <si>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</si>
  <si>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</si>
  <si>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</si>
  <si>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</si>
  <si>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</si>
  <si>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</si>
  <si>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</si>
  <si>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</si>
  <si>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</si>
  <si>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</si>
  <si>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</si>
  <si>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</si>
  <si>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</si>
  <si>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</si>
  <si>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</si>
  <si>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</si>
  <si>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</si>
  <si>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</si>
  <si>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</si>
  <si>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</si>
  <si>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</si>
  <si>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</si>
  <si>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</si>
  <si>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</si>
  <si>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</si>
  <si>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</si>
  <si>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</si>
  <si>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</si>
  <si>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</si>
  <si>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</si>
  <si>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</si>
  <si>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</si>
  <si>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</si>
  <si>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</si>
  <si>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</si>
  <si>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</si>
  <si>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</si>
  <si>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</si>
  <si>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</si>
  <si>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</si>
  <si>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</si>
  <si>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</si>
  <si>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</si>
  <si>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</si>
  <si>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</si>
  <si>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</si>
  <si>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</si>
  <si>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</si>
  <si>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</si>
  <si>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</si>
  <si>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</si>
  <si>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</si>
  <si>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</si>
  <si>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</si>
  <si>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</si>
  <si>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</si>
  <si>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</si>
  <si>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</si>
  <si>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</si>
  <si>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</si>
  <si>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</si>
  <si>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</si>
  <si>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</si>
  <si>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</si>
  <si>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</si>
  <si>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</si>
  <si>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</si>
  <si>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</si>
  <si>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</si>
  <si>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</si>
  <si>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</si>
  <si>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</si>
  <si>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</si>
  <si>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</si>
  <si>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</si>
  <si>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</si>
  <si>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</si>
  <si>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</si>
  <si>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</si>
  <si>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</si>
  <si>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</si>
  <si>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</si>
  <si>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</si>
  <si>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</si>
  <si>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</si>
  <si>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</si>
  <si>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</si>
  <si>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</si>
  <si>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</si>
  <si>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</si>
  <si>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</si>
  <si>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</si>
  <si>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</si>
  <si>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</si>
  <si>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</si>
  <si>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</si>
  <si>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</si>
  <si>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</si>
  <si>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</si>
  <si>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</si>
  <si>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</si>
  <si>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</si>
  <si>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</si>
  <si>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</si>
  <si>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</si>
  <si>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</si>
  <si>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</si>
  <si>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</si>
  <si>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</si>
  <si>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</si>
  <si>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</si>
  <si>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</si>
  <si>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</si>
  <si>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</si>
  <si>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</si>
  <si>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</si>
  <si>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</si>
  <si>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</si>
  <si>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</si>
  <si>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</si>
  <si>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</si>
  <si>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</si>
  <si>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</si>
  <si>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</si>
  <si>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</si>
  <si>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</si>
  <si>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</si>
  <si>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</si>
  <si>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</si>
  <si>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</si>
  <si>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</si>
  <si>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</si>
  <si>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</si>
  <si>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</si>
  <si>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</si>
  <si>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</si>
  <si>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</si>
  <si>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</si>
  <si>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</si>
  <si>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</si>
  <si>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</si>
  <si>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</si>
  <si>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</si>
  <si>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</si>
  <si>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</si>
  <si>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</si>
  <si>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</si>
  <si>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</si>
  <si>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</si>
  <si>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</si>
  <si>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</si>
  <si>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</si>
  <si>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</si>
  <si>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</si>
  <si>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</si>
  <si>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</si>
  <si>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</si>
  <si>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</si>
  <si>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</si>
  <si>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</si>
  <si>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</si>
  <si>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</si>
  <si>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</si>
  <si>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</si>
  <si>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</si>
  <si>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</si>
  <si>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</si>
  <si>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</si>
  <si>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</si>
  <si>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</si>
  <si>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</si>
  <si>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</si>
  <si>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</si>
  <si>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</si>
  <si>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</si>
  <si>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</si>
  <si>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</si>
  <si>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</si>
  <si>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</si>
  <si>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</si>
  <si>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</si>
  <si>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</si>
  <si>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</si>
  <si>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</si>
  <si>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</si>
  <si>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</si>
  <si>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</si>
  <si>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</si>
  <si>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</si>
  <si>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</si>
  <si>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</si>
  <si>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</si>
  <si>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</si>
  <si>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</si>
  <si>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</si>
  <si>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</si>
  <si>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</si>
  <si>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</si>
  <si>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</si>
  <si>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</si>
  <si>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</si>
  <si>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</si>
  <si>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</si>
  <si>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</si>
  <si>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</si>
  <si>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</si>
  <si>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</si>
  <si>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</si>
  <si>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</si>
  <si>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</si>
  <si>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</si>
  <si>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</si>
  <si>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</si>
  <si>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</si>
  <si>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</si>
  <si>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</si>
  <si>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</si>
  <si>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</si>
  <si>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</si>
  <si>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</si>
  <si>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</si>
  <si>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</si>
  <si>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</si>
  <si>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</si>
  <si>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</si>
  <si>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</si>
  <si>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</si>
  <si>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</si>
  <si>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</si>
  <si>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</si>
  <si>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</si>
  <si>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</si>
  <si>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</si>
  <si>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</si>
  <si>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</si>
  <si>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</si>
  <si>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</si>
  <si>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</si>
  <si>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</si>
  <si>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</si>
  <si>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</si>
  <si>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</si>
  <si>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</si>
  <si>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</si>
  <si>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</si>
  <si>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</si>
  <si>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</si>
  <si>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</si>
  <si>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</si>
  <si>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</si>
  <si>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</si>
  <si>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</si>
  <si>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</si>
  <si>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</si>
  <si>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</si>
  <si>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</si>
  <si>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</si>
  <si>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</si>
  <si>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</si>
  <si>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</si>
  <si>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</si>
  <si>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</si>
  <si>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</si>
  <si>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</si>
  <si>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</si>
  <si>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</si>
  <si>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</si>
  <si>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</si>
  <si>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</si>
  <si>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</si>
  <si>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</si>
  <si>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</si>
  <si>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</si>
  <si>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</si>
  <si>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</si>
  <si>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</si>
  <si>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</si>
  <si>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</si>
  <si>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</si>
  <si>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</si>
  <si>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</si>
  <si>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</si>
  <si>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</si>
  <si>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</si>
  <si>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</si>
  <si>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</si>
  <si>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</si>
  <si>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</si>
  <si>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</si>
  <si>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</si>
  <si>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</si>
  <si>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</si>
  <si>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</si>
  <si>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</si>
  <si>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</si>
  <si>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</si>
  <si>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</si>
  <si>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</si>
  <si>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</si>
  <si>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</si>
  <si>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</si>
  <si>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</si>
  <si>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</si>
  <si>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</si>
  <si>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</si>
  <si>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</si>
  <si>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</si>
  <si>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</si>
  <si>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</si>
  <si>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</si>
  <si>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</si>
  <si>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</si>
  <si>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</si>
  <si>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</si>
  <si>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</si>
  <si>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</si>
  <si>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</si>
  <si>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</si>
  <si>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</si>
  <si>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</si>
  <si>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</si>
  <si>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</si>
  <si>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</si>
  <si>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</si>
  <si>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</si>
  <si>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</si>
  <si>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</si>
  <si>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</si>
  <si>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</si>
  <si>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</si>
  <si>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</si>
  <si>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</si>
  <si>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</si>
  <si>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</si>
  <si>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</si>
  <si>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</si>
  <si>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</si>
  <si>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</si>
  <si>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</si>
  <si>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</si>
  <si>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</si>
  <si>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</si>
  <si>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</si>
  <si>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</si>
  <si>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</si>
  <si>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</si>
  <si>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</si>
  <si>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</si>
  <si>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</si>
  <si>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</si>
  <si>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</si>
  <si>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</si>
  <si>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</si>
  <si>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</si>
  <si>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</si>
  <si>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</si>
  <si>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</si>
  <si>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</si>
  <si>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</si>
  <si>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</si>
  <si>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</si>
  <si>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</si>
  <si>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</si>
  <si>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</si>
  <si>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</si>
  <si>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</si>
  <si>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</si>
  <si>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</si>
  <si>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</si>
  <si>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</si>
  <si>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</si>
  <si>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</si>
  <si>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</si>
  <si>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</si>
  <si>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</si>
  <si>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</si>
  <si>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</si>
  <si>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</si>
  <si>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</si>
  <si>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</si>
  <si>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</si>
  <si>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</si>
  <si>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</si>
  <si>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</si>
  <si>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</si>
  <si>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</si>
  <si>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</si>
  <si>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</si>
  <si>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</si>
  <si>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</si>
  <si>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</si>
  <si>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</si>
  <si>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</si>
  <si>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</si>
  <si>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</si>
  <si>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</si>
  <si>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</si>
  <si>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</si>
  <si>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</si>
  <si>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</si>
  <si>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</si>
  <si>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</si>
  <si>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</si>
  <si>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</si>
  <si>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</si>
  <si>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</si>
  <si>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</si>
  <si>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</si>
  <si>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</si>
  <si>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</si>
  <si>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</si>
  <si>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</si>
  <si>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</si>
  <si>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</si>
  <si>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</si>
  <si>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</si>
  <si>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</si>
  <si>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</si>
  <si>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</si>
  <si>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</si>
  <si>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</si>
  <si>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</si>
  <si>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</si>
  <si>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</si>
  <si>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</si>
  <si>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</si>
  <si>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</si>
  <si>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</si>
  <si>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</si>
  <si>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</si>
  <si>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</si>
  <si>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</si>
  <si>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</si>
  <si>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</si>
  <si>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</si>
  <si>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</si>
  <si>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</si>
  <si>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</si>
  <si>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</si>
  <si>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</si>
  <si>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</si>
  <si>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</si>
  <si>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</si>
  <si>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</si>
  <si>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</si>
  <si>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</si>
  <si>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</si>
  <si>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</si>
  <si>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</si>
  <si>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</si>
  <si>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</si>
  <si>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</si>
  <si>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</si>
  <si>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</si>
  <si>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</si>
  <si>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</si>
  <si>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</si>
  <si>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</si>
  <si>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</si>
  <si>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</si>
  <si>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</si>
  <si>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</si>
  <si>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</si>
  <si>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</si>
  <si>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</si>
  <si>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</si>
  <si>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</si>
  <si>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</si>
  <si>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</si>
  <si>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</si>
  <si>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</si>
  <si>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</si>
  <si>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</si>
  <si>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</si>
  <si>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</si>
  <si>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</si>
  <si>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</si>
  <si>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</si>
  <si>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</si>
  <si>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</si>
  <si>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</si>
  <si>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</si>
  <si>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</si>
  <si>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</si>
  <si>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</si>
  <si>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</si>
  <si>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</si>
  <si>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</si>
  <si>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</si>
  <si>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</si>
  <si>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</si>
  <si>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</si>
  <si>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</si>
  <si>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</si>
  <si>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</si>
  <si>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</si>
  <si>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</si>
  <si>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</si>
  <si>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</si>
  <si>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</si>
  <si>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</si>
  <si>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</si>
  <si>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</si>
  <si>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</si>
  <si>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</si>
  <si>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</si>
  <si>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</si>
  <si>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</si>
  <si>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</si>
  <si>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</si>
  <si>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</si>
  <si>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</si>
  <si>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</si>
  <si>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</si>
  <si>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</si>
  <si>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</si>
  <si>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</si>
  <si>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</si>
  <si>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</si>
  <si>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</si>
  <si>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</si>
  <si>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</si>
  <si>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</si>
  <si>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</si>
  <si>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</si>
  <si>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</si>
  <si>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</si>
  <si>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</si>
  <si>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</si>
  <si>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</si>
  <si>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</si>
  <si>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</si>
  <si>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</si>
  <si>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</si>
  <si>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</si>
  <si>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</si>
  <si>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</si>
  <si>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</si>
  <si>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</si>
  <si>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</si>
  <si>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</si>
  <si>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</si>
  <si>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</si>
  <si>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</si>
  <si>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</si>
  <si>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</si>
  <si>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</si>
  <si>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</si>
  <si>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</si>
  <si>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</si>
  <si>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</si>
  <si>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</si>
  <si>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</si>
  <si>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</si>
  <si>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</si>
  <si>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</si>
  <si>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</si>
  <si>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</si>
  <si>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</si>
  <si>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</si>
  <si>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</si>
  <si>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</si>
  <si>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</si>
  <si>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</si>
  <si>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</si>
  <si>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</si>
  <si>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</si>
  <si>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</si>
  <si>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</si>
  <si>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</si>
  <si>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</si>
  <si>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</si>
  <si>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</si>
  <si>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</si>
  <si>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</si>
  <si>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</si>
  <si>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</si>
  <si>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</si>
  <si>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</si>
  <si>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</si>
  <si>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</si>
  <si>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</si>
  <si>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</si>
  <si>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</si>
  <si>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</si>
  <si>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</si>
  <si>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</si>
  <si>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</si>
  <si>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</si>
  <si>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</si>
  <si>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</si>
  <si>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</si>
  <si>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</si>
  <si>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</si>
  <si>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</si>
  <si>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</si>
  <si>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</si>
  <si>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</si>
  <si>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</si>
  <si>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</si>
  <si>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</si>
  <si>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</si>
  <si>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</si>
  <si>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</si>
  <si>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</si>
  <si>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</si>
  <si>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</si>
  <si>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</si>
  <si>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</si>
  <si>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</si>
  <si>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</si>
  <si>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</si>
  <si>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</si>
  <si>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</si>
  <si>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</si>
  <si>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</si>
  <si>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</si>
  <si>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</si>
  <si>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</si>
  <si>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</si>
  <si>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</si>
  <si>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</si>
  <si>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</si>
  <si>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</si>
  <si>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</si>
  <si>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</si>
  <si>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</si>
  <si>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</si>
  <si>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</si>
  <si>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</si>
  <si>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</si>
  <si>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</si>
  <si>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</si>
  <si>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</si>
  <si>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</si>
  <si>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</si>
  <si>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</si>
  <si>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</si>
  <si>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</si>
  <si>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</si>
  <si>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</si>
  <si>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</si>
  <si>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</si>
  <si>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</si>
  <si>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</si>
  <si>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</si>
  <si>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</si>
  <si>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</si>
  <si>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</si>
  <si>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</si>
  <si>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</si>
  <si>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</si>
  <si>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</si>
  <si>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</si>
  <si>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</si>
  <si>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</si>
  <si>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</si>
  <si>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</si>
  <si>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</si>
  <si>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</si>
  <si>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</si>
  <si>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</si>
  <si>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</si>
  <si>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</si>
  <si>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</si>
  <si>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</si>
  <si>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</si>
  <si>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</si>
  <si>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</si>
  <si>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</si>
  <si>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</si>
  <si>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</si>
  <si>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</si>
  <si>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</si>
  <si>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</si>
  <si>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</si>
  <si>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</si>
  <si>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</si>
  <si>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</si>
  <si>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</si>
  <si>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</si>
  <si>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</si>
  <si>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</si>
  <si>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</si>
  <si>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</si>
  <si>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</si>
  <si>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</si>
  <si>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</si>
  <si>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</si>
  <si>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</si>
  <si>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</si>
  <si>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</si>
  <si>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</si>
  <si>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</si>
  <si>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</si>
  <si>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</si>
  <si>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</si>
  <si>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</si>
  <si>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</si>
  <si>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</si>
  <si>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</si>
  <si>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</si>
  <si>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</si>
  <si>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</si>
  <si>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</si>
  <si>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</si>
  <si>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</si>
  <si>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</si>
  <si>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</si>
  <si>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</si>
  <si>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</si>
  <si>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</si>
  <si>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</si>
  <si>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</si>
  <si>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</si>
  <si>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</si>
  <si>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</si>
  <si>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</si>
  <si>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</si>
  <si>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</si>
  <si>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</si>
  <si>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</si>
  <si>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</si>
  <si>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</si>
  <si>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</si>
  <si>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</si>
  <si>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</si>
  <si>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</si>
  <si>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</si>
  <si>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</si>
  <si>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</si>
  <si>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</si>
  <si>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</si>
  <si>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</si>
  <si>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</si>
  <si>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</si>
  <si>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</si>
  <si>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</si>
  <si>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</si>
  <si>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</si>
  <si>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</si>
  <si>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</si>
  <si>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</si>
  <si>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</si>
  <si>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</si>
  <si>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</si>
  <si>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</si>
  <si>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</si>
  <si>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</si>
  <si>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</si>
  <si>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</si>
  <si>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</si>
  <si>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</si>
  <si>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</si>
  <si>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</si>
  <si>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</si>
  <si>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</si>
  <si>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</si>
  <si>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</si>
  <si>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</si>
  <si>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</si>
  <si>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</si>
  <si>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</si>
  <si>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</si>
  <si>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</si>
  <si>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</si>
  <si>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</si>
  <si>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</si>
  <si>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</si>
  <si>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</si>
  <si>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</si>
  <si>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</si>
  <si>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</si>
  <si>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</si>
  <si>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</si>
  <si>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</si>
  <si>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</si>
  <si>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</si>
  <si>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</si>
  <si>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</si>
  <si>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</si>
  <si>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</si>
  <si>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</si>
  <si>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</si>
  <si>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</si>
  <si>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</si>
  <si>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</si>
  <si>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</si>
  <si>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</si>
  <si>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</si>
  <si>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</si>
  <si>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</si>
  <si>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</si>
  <si>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</si>
  <si>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</si>
  <si>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</si>
  <si>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</si>
  <si>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</si>
  <si>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</si>
  <si>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</si>
  <si>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</si>
  <si>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</si>
  <si>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</si>
  <si>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</si>
  <si>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</si>
  <si>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</si>
  <si>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</si>
  <si>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</si>
  <si>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</si>
  <si>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</si>
  <si>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</si>
  <si>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</si>
  <si>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</si>
  <si>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</si>
  <si>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</si>
  <si>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</si>
  <si>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</si>
  <si>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</si>
  <si>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</si>
  <si>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</si>
  <si>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</si>
  <si>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</si>
  <si>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</si>
  <si>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</si>
  <si>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</si>
  <si>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</si>
  <si>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</si>
  <si>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</si>
  <si>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</si>
  <si>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</si>
  <si>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</si>
  <si>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</si>
  <si>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</si>
  <si>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</si>
  <si>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</si>
  <si>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</si>
  <si>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</si>
  <si>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</si>
  <si>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</si>
  <si>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</si>
  <si>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</si>
  <si>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</si>
  <si>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</si>
  <si>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</si>
  <si>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</si>
  <si>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</si>
  <si>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</si>
  <si>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</si>
  <si>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</si>
  <si>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</si>
  <si>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</si>
  <si>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</si>
  <si>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</si>
  <si>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</si>
  <si>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</si>
  <si>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</si>
  <si>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</si>
  <si>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</si>
  <si>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</si>
  <si>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</si>
  <si>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</si>
  <si>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</si>
  <si>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</si>
  <si>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</si>
  <si>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</si>
  <si>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</si>
  <si>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</si>
  <si>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</si>
  <si>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</si>
  <si>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</si>
  <si>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</si>
  <si>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</si>
  <si>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</si>
  <si>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</si>
  <si>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</si>
  <si>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</si>
  <si>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</si>
  <si>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</si>
  <si>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</si>
  <si>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</si>
  <si>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</si>
  <si>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</si>
  <si>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</si>
  <si>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</si>
  <si>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</si>
  <si>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</si>
  <si>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</si>
  <si>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</si>
  <si>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</si>
  <si>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</si>
  <si>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</si>
  <si>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</si>
  <si>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</si>
  <si>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</si>
  <si>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</si>
  <si>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</si>
  <si>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</si>
  <si>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</si>
  <si>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</si>
  <si>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</si>
  <si>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</si>
  <si>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</si>
  <si>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</si>
  <si>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</si>
  <si>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</si>
  <si>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</si>
  <si>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</si>
  <si>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</si>
  <si>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</si>
  <si>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</si>
  <si>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</si>
  <si>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</si>
  <si>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</si>
  <si>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</si>
  <si>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</si>
  <si>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</si>
  <si>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</si>
  <si>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</si>
  <si>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</si>
  <si>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</si>
  <si>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</si>
  <si>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</si>
  <si>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</si>
  <si>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</si>
  <si>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</si>
  <si>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</si>
  <si>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</si>
  <si>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</si>
  <si>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</si>
  <si>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</si>
  <si>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</si>
  <si>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</si>
  <si>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</si>
  <si>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</si>
  <si>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</si>
  <si>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</si>
  <si>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</si>
  <si>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</si>
  <si>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</si>
  <si>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</si>
  <si>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</si>
  <si>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</si>
  <si>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</si>
  <si>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</si>
  <si>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</si>
  <si>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</si>
  <si>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</si>
  <si>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</si>
  <si>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</si>
  <si>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</si>
  <si>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</si>
  <si>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</si>
  <si>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</si>
  <si>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</si>
  <si>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</si>
  <si>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</si>
  <si>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</si>
  <si>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</si>
  <si>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</si>
  <si>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</si>
  <si>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</si>
  <si>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</si>
  <si>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</si>
  <si>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</si>
  <si>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</si>
  <si>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</si>
  <si>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</si>
  <si>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</si>
  <si>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</si>
  <si>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</si>
  <si>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</si>
  <si>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</si>
  <si>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</si>
  <si>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</si>
  <si>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</si>
  <si>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</si>
  <si>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</si>
  <si>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</si>
  <si>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</si>
  <si>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</si>
  <si>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</si>
  <si>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</si>
  <si>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</si>
  <si>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</si>
  <si>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</si>
  <si>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</si>
  <si>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</si>
  <si>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</si>
  <si>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</si>
  <si>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</si>
  <si>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</si>
  <si>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</si>
  <si>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</si>
  <si>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</si>
  <si>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</si>
  <si>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</si>
  <si>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</si>
  <si>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</si>
  <si>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</si>
  <si>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</si>
  <si>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</si>
  <si>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</si>
  <si>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</si>
  <si>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</si>
  <si>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</si>
  <si>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</si>
  <si>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</si>
  <si>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</si>
  <si>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</si>
  <si>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</si>
  <si>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</si>
  <si>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</si>
  <si>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</si>
  <si>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</si>
  <si>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</si>
  <si>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</si>
  <si>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</si>
  <si>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</si>
  <si>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</si>
  <si>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</si>
  <si>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</si>
  <si>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</si>
  <si>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</si>
  <si>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</si>
  <si>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</si>
  <si>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</si>
  <si>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</si>
  <si>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</si>
  <si>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</si>
  <si>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</si>
  <si>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</si>
  <si>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</si>
  <si>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</si>
  <si>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</si>
  <si>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</si>
  <si>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</si>
  <si>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</si>
  <si>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</si>
  <si>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</si>
  <si>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</si>
  <si>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</si>
  <si>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</si>
  <si>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</si>
  <si>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</si>
  <si>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</si>
  <si>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</si>
  <si>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</si>
  <si>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</si>
  <si>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</si>
  <si>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</si>
  <si>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</si>
  <si>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</si>
  <si>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</si>
  <si>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</si>
  <si>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</si>
  <si>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</si>
  <si>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</si>
  <si>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</si>
  <si>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</si>
  <si>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</si>
  <si>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</si>
  <si>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</si>
  <si>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</si>
  <si>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</si>
  <si>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</si>
  <si>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</si>
  <si>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</si>
  <si>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</si>
  <si>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</si>
  <si>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</si>
  <si>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</si>
  <si>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</si>
  <si>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</si>
  <si>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</si>
  <si>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</si>
  <si>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</si>
  <si>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</si>
  <si>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</si>
  <si>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</si>
  <si>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</si>
  <si>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</si>
  <si>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</si>
  <si>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</si>
  <si>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</si>
  <si>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</si>
  <si>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</si>
  <si>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</si>
  <si>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</si>
  <si>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</si>
  <si>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</si>
  <si>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</si>
  <si>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</si>
  <si>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</si>
  <si>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</si>
  <si>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</si>
  <si>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</si>
  <si>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</si>
  <si>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</si>
  <si>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</si>
  <si>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</si>
  <si>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</si>
  <si>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</si>
  <si>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</si>
  <si>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</si>
  <si>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</si>
  <si>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</si>
  <si>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</si>
  <si>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</si>
  <si>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</si>
  <si>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</si>
  <si>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</si>
  <si>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</si>
  <si>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</si>
  <si>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</si>
  <si>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</si>
  <si>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</si>
  <si>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</si>
  <si>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</si>
  <si>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</si>
  <si>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</si>
  <si>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</si>
  <si>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</si>
  <si>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</si>
  <si>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</si>
  <si>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</si>
  <si>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</si>
  <si>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</si>
  <si>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</si>
  <si>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</si>
  <si>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</si>
  <si>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</si>
  <si>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</si>
  <si>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</si>
  <si>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</si>
  <si>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</si>
  <si>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</si>
  <si>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</si>
  <si>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</si>
  <si>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</si>
  <si>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</si>
  <si>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</si>
  <si>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</si>
  <si>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</si>
  <si>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</si>
  <si>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</si>
  <si>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</si>
  <si>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</si>
  <si>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</si>
  <si>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</si>
  <si>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</si>
  <si>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</si>
  <si>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</si>
  <si>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</si>
  <si>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</si>
  <si>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</si>
  <si>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</si>
  <si>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</si>
  <si>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</si>
  <si>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</si>
  <si>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</si>
  <si>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</si>
  <si>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</si>
  <si>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</si>
  <si>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</si>
  <si>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</si>
  <si>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</si>
  <si>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</si>
  <si>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</si>
  <si>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</si>
  <si>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</si>
  <si>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</si>
  <si>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</si>
  <si>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</si>
  <si>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</si>
  <si>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</si>
  <si>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</si>
  <si>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</si>
  <si>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</si>
  <si>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</si>
  <si>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</si>
  <si>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</si>
  <si>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</si>
  <si>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</si>
  <si>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</si>
  <si>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</si>
  <si>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</si>
  <si>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</si>
  <si>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</si>
  <si>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</si>
  <si>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</si>
  <si>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</si>
  <si>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</si>
  <si>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</si>
  <si>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</si>
  <si>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</si>
  <si>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</si>
  <si>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</si>
  <si>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</si>
  <si>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</si>
  <si>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</si>
  <si>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</si>
  <si>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</si>
  <si>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</si>
  <si>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</si>
  <si>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</si>
  <si>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</si>
  <si>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</si>
  <si>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</si>
  <si>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</si>
  <si>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</si>
  <si>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</si>
  <si>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</si>
  <si>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</si>
  <si>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</si>
  <si>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</si>
  <si>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</si>
  <si>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</si>
  <si>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</si>
  <si>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</si>
  <si>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</si>
  <si>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</si>
  <si>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</si>
  <si>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</si>
  <si>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</si>
  <si>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</si>
  <si>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</si>
  <si>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</si>
  <si>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</si>
  <si>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</si>
  <si>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</si>
  <si>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</si>
  <si>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</si>
  <si>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</si>
  <si>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</si>
  <si>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</si>
  <si>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</si>
  <si>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</si>
  <si>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</si>
  <si>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</si>
  <si>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</si>
  <si>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</si>
  <si>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</si>
  <si>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</si>
  <si>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</si>
  <si>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</si>
  <si>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</si>
  <si>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</si>
  <si>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</si>
  <si>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</si>
  <si>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</si>
  <si>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</si>
  <si>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</si>
  <si>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</si>
  <si>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</si>
  <si>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</si>
  <si>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</si>
  <si>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</si>
  <si>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</si>
  <si>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</si>
  <si>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</si>
  <si>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</si>
  <si>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</si>
  <si>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</si>
  <si>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</si>
  <si>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</si>
  <si>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</si>
  <si>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</si>
  <si>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</si>
  <si>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</si>
  <si>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</si>
  <si>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</si>
  <si>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</si>
  <si>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</si>
  <si>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</si>
  <si>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</si>
  <si>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</si>
  <si>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</si>
  <si>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</si>
  <si>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</si>
  <si>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</si>
  <si>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</si>
  <si>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</si>
  <si>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</si>
  <si>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</si>
  <si>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</si>
  <si>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</si>
  <si>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</si>
  <si>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</si>
  <si>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</si>
  <si>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</si>
  <si>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</si>
  <si>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</si>
  <si>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</si>
  <si>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</si>
  <si>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</si>
  <si>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</si>
  <si>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</si>
  <si>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</si>
  <si>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</si>
  <si>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</si>
  <si>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</si>
  <si>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</si>
  <si>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</si>
  <si>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</si>
  <si>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</si>
  <si>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</si>
  <si>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</si>
  <si>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</si>
  <si>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</si>
  <si>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</si>
  <si>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</si>
  <si>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</si>
  <si>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</si>
  <si>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</si>
  <si>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</si>
  <si>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</si>
  <si>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</si>
  <si>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</si>
  <si>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</si>
  <si>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</si>
  <si>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</si>
  <si>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</si>
  <si>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</si>
  <si>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</si>
  <si>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</si>
  <si>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</si>
  <si>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</si>
  <si>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</si>
  <si>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</si>
  <si>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</si>
  <si>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</si>
  <si>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</si>
  <si>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</si>
  <si>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</si>
  <si>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</si>
  <si>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</si>
  <si>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</si>
  <si>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</si>
  <si>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</si>
  <si>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</si>
  <si>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</si>
  <si>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</si>
  <si>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</si>
  <si>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</si>
  <si>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</si>
  <si>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</si>
  <si>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</si>
  <si>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</si>
  <si>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</si>
  <si>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</si>
  <si>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</si>
  <si>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</si>
  <si>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</si>
  <si>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</si>
  <si>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</si>
  <si>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</si>
  <si>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</si>
  <si>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</si>
  <si>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</si>
  <si>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</si>
  <si>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</si>
  <si>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</si>
  <si>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</si>
  <si>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</si>
  <si>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</si>
  <si>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</si>
  <si>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</si>
  <si>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</si>
  <si>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</si>
  <si>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</si>
  <si>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</si>
  <si>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</si>
  <si>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</si>
  <si>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</si>
  <si>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</si>
  <si>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</si>
  <si>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</si>
  <si>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</si>
  <si>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</si>
  <si>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</si>
  <si>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</si>
  <si>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</si>
  <si>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</si>
  <si>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</si>
  <si>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</si>
  <si>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</si>
  <si>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</si>
  <si>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</si>
  <si>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</si>
  <si>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</si>
  <si>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</si>
  <si>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</si>
  <si>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</si>
  <si>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</si>
  <si>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</si>
  <si>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</si>
  <si>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</si>
  <si>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</si>
  <si>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</si>
  <si>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</si>
  <si>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</si>
  <si>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</si>
  <si>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</si>
  <si>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</si>
  <si>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</si>
  <si>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</si>
  <si>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</si>
  <si>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</si>
  <si>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</si>
  <si>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</si>
  <si>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</si>
  <si>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</si>
  <si>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</si>
  <si>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</si>
  <si>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</si>
  <si>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</si>
  <si>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</si>
  <si>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</si>
  <si>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</si>
  <si>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</si>
  <si>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</si>
  <si>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</si>
  <si>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</si>
  <si>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</si>
  <si>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</si>
  <si>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</si>
  <si>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</si>
  <si>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</si>
  <si>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</si>
  <si>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</si>
  <si>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</si>
  <si>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</si>
  <si>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</si>
  <si>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</si>
  <si>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</si>
  <si>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</si>
  <si>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</si>
  <si>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</si>
  <si>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</si>
  <si>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</si>
  <si>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</si>
  <si>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</si>
  <si>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</si>
  <si>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</si>
  <si>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</si>
  <si>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</si>
  <si>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</si>
  <si>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</si>
  <si>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</si>
  <si>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</si>
  <si>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</si>
  <si>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</si>
  <si>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</si>
  <si>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</si>
  <si>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</si>
  <si>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</si>
  <si>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</si>
  <si>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</si>
  <si>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</si>
  <si>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</si>
  <si>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</si>
  <si>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</si>
  <si>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</si>
  <si>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</si>
  <si>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</si>
  <si>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</si>
  <si>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</si>
  <si>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</si>
  <si>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</si>
  <si>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</si>
  <si>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</si>
  <si>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</si>
  <si>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</si>
  <si>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</si>
  <si>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</si>
  <si>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</si>
  <si>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</si>
  <si>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</si>
  <si>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</si>
  <si>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</si>
  <si>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</si>
  <si>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</si>
  <si>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</si>
  <si>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</si>
  <si>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</si>
  <si>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</si>
  <si>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</si>
  <si>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</si>
  <si>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</si>
  <si>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</si>
  <si>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</si>
  <si>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</si>
  <si>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</si>
  <si>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</si>
  <si>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</si>
  <si>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</si>
  <si>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</si>
  <si>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</si>
  <si>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</si>
  <si>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</si>
  <si>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</si>
  <si>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</si>
  <si>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</si>
  <si>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</si>
  <si>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</si>
  <si>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</si>
  <si>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</si>
  <si>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</si>
  <si>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</si>
  <si>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</si>
  <si>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</si>
  <si>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</si>
  <si>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</si>
  <si>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</si>
  <si>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</si>
  <si>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</si>
  <si>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</si>
  <si>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</si>
  <si>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</si>
  <si>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</si>
  <si>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</si>
  <si>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</si>
  <si>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</si>
  <si>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</si>
  <si>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</si>
  <si>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</si>
  <si>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</si>
  <si>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</si>
  <si>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</si>
  <si>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</si>
  <si>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</si>
  <si>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</si>
  <si>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</si>
  <si>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</si>
  <si>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</si>
  <si>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</si>
  <si>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</si>
  <si>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</si>
  <si>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</si>
  <si>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</si>
  <si>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</si>
  <si>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</si>
  <si>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</si>
  <si>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</si>
  <si>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</si>
  <si>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</si>
  <si>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</si>
  <si>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</si>
  <si>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</si>
  <si>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</si>
  <si>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</si>
  <si>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</si>
  <si>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</si>
  <si>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</si>
  <si>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</si>
  <si>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</si>
  <si>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</si>
  <si>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</si>
  <si>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</si>
  <si>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</si>
  <si>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</si>
  <si>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</si>
  <si>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</si>
  <si>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</si>
  <si>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</si>
  <si>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</si>
  <si>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</si>
  <si>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</si>
  <si>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</si>
  <si>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</si>
  <si>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</si>
  <si>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</si>
  <si>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</si>
  <si>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</si>
  <si>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</si>
  <si>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</si>
  <si>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</si>
  <si>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</si>
  <si>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</si>
  <si>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</si>
  <si>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</si>
  <si>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</si>
  <si>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</si>
  <si>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</si>
  <si>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</si>
  <si>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</si>
  <si>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</si>
  <si>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</si>
  <si>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</si>
  <si>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</si>
  <si>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</si>
  <si>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</si>
  <si>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</si>
  <si>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</si>
  <si>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</si>
  <si>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</si>
  <si>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</si>
  <si>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</si>
  <si>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</si>
  <si>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</si>
  <si>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</si>
  <si>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</si>
  <si>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</si>
  <si>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</si>
  <si>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</si>
  <si>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</si>
  <si>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</si>
  <si>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</si>
  <si>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</si>
  <si>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</si>
  <si>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</si>
  <si>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</si>
  <si>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</si>
  <si>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</si>
  <si>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</si>
  <si>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</si>
  <si>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</si>
  <si>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</si>
  <si>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</si>
  <si>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</si>
  <si>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</si>
  <si>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</si>
  <si>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</si>
  <si>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</si>
  <si>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</si>
  <si>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</si>
  <si>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</si>
  <si>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</si>
  <si>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</si>
  <si>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</si>
  <si>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</si>
  <si>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</si>
  <si>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</si>
  <si>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</si>
  <si>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</si>
  <si>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</si>
  <si>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</si>
  <si>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</si>
  <si>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</si>
  <si>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</si>
  <si>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</si>
  <si>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</si>
  <si>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</si>
  <si>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</si>
  <si>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</si>
  <si>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</si>
  <si>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</si>
  <si>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</si>
  <si>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</si>
  <si>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</si>
  <si>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</si>
  <si>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</si>
  <si>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</si>
  <si>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</si>
  <si>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</si>
  <si>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</si>
  <si>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</si>
  <si>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</si>
  <si>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</si>
  <si>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</si>
  <si>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</si>
  <si>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</si>
  <si>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</si>
  <si>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</si>
  <si>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</si>
  <si>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</si>
  <si>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</si>
  <si>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</si>
  <si>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</si>
  <si>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</si>
  <si>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</si>
  <si>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</si>
  <si>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</si>
  <si>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</si>
  <si>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</si>
  <si>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</si>
  <si>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</si>
  <si>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</si>
  <si>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</si>
  <si>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</si>
  <si>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</si>
  <si>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</si>
  <si>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</si>
  <si>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</si>
  <si>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</si>
  <si>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</si>
  <si>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</si>
  <si>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</si>
  <si>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</si>
  <si>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</si>
  <si>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</si>
  <si>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</si>
  <si>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</si>
  <si>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</si>
  <si>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</si>
  <si>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</si>
  <si>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</si>
  <si>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</si>
  <si>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</si>
  <si>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</si>
  <si>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</si>
  <si>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</si>
  <si>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</si>
  <si>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</si>
  <si>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</si>
  <si>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</si>
  <si>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</si>
  <si>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</si>
  <si>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</si>
  <si>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</si>
  <si>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</si>
  <si>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</si>
  <si>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</si>
  <si>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</si>
  <si>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</si>
  <si>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</si>
  <si>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</si>
  <si>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</si>
  <si>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</si>
  <si>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</si>
  <si>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</si>
  <si>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</si>
  <si>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</si>
  <si>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</si>
  <si>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</si>
  <si>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</si>
  <si>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</si>
  <si>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</si>
  <si>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</si>
  <si>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</si>
  <si>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</si>
  <si>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</si>
  <si>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</si>
  <si>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</si>
  <si>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</si>
  <si>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</si>
  <si>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</si>
  <si>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</si>
  <si>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</si>
  <si>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</si>
  <si>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</si>
  <si>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</si>
  <si>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</si>
  <si>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</si>
  <si>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</si>
  <si>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</si>
  <si>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</si>
  <si>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</si>
  <si>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</si>
  <si>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</si>
  <si>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</si>
  <si>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</si>
  <si>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</si>
  <si>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</si>
  <si>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</si>
  <si>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</si>
  <si>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</si>
  <si>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</si>
  <si>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</si>
  <si>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</si>
  <si>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</si>
  <si>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</si>
  <si>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</si>
  <si>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</si>
  <si>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</si>
  <si>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</si>
  <si>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</si>
  <si>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</si>
  <si>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</si>
  <si>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</si>
  <si>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</si>
  <si>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</si>
  <si>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</si>
  <si>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</si>
  <si>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</si>
  <si>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</si>
  <si>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</si>
  <si>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</si>
  <si>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</si>
  <si>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</si>
  <si>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</si>
  <si>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</si>
  <si>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</si>
  <si>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</si>
  <si>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</si>
  <si>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</si>
  <si>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</si>
  <si>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</si>
  <si>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</si>
  <si>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</si>
  <si>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</si>
  <si>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</si>
  <si>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</si>
  <si>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</si>
  <si>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</si>
  <si>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</si>
  <si>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</si>
  <si>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</si>
  <si>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</si>
  <si>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</si>
  <si>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</si>
  <si>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</si>
  <si>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</si>
  <si>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</si>
  <si>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</si>
  <si>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</si>
  <si>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</si>
  <si>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</si>
  <si>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</si>
  <si>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</si>
  <si>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</si>
  <si>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</si>
  <si>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</si>
  <si>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</si>
  <si>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</si>
  <si>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</si>
  <si>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</si>
  <si>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</si>
  <si>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</si>
  <si>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</si>
  <si>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</si>
  <si>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</si>
  <si>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</si>
  <si>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</si>
  <si>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</si>
  <si>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</si>
  <si>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</si>
  <si>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</si>
  <si>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</si>
  <si>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</si>
  <si>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</si>
  <si>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</si>
  <si>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</si>
  <si>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</si>
  <si>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</si>
  <si>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</si>
  <si>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</si>
  <si>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</si>
  <si>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</si>
  <si>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</si>
  <si>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</si>
  <si>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</si>
  <si>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</si>
  <si>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</si>
  <si>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</si>
  <si>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</si>
  <si>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</si>
  <si>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</si>
  <si>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</si>
  <si>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</si>
  <si>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</si>
  <si>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</si>
  <si>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</si>
  <si>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</si>
  <si>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</si>
  <si>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</si>
  <si>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</si>
  <si>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</si>
  <si>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</si>
  <si>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</si>
  <si>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</si>
  <si>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</si>
  <si>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</si>
  <si>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</si>
  <si>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</si>
  <si>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</si>
  <si>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</si>
  <si>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</si>
  <si>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</si>
  <si>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</si>
  <si>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</si>
  <si>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</si>
  <si>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</si>
  <si>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</si>
  <si>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</si>
  <si>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</si>
  <si>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</si>
  <si>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</si>
  <si>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</si>
  <si>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</si>
  <si>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</si>
  <si>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</si>
  <si>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</si>
  <si>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</si>
  <si>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</si>
  <si>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</si>
  <si>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</si>
  <si>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</si>
  <si>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</si>
  <si>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</si>
  <si>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</si>
  <si>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</si>
  <si>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</si>
  <si>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</si>
  <si>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</si>
  <si>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</si>
  <si>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</si>
  <si>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</si>
  <si>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</si>
  <si>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</si>
  <si>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</si>
  <si>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</si>
  <si>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</si>
  <si>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</si>
  <si>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</si>
  <si>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</si>
  <si>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</si>
  <si>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</si>
  <si>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</si>
  <si>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</si>
  <si>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</si>
  <si>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</si>
  <si>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</si>
  <si>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</si>
  <si>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</si>
  <si>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</si>
  <si>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</si>
  <si>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</si>
  <si>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</si>
  <si>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</si>
  <si>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</si>
  <si>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</si>
  <si>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</si>
  <si>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</si>
  <si>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</si>
  <si>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</si>
  <si>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</si>
  <si>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</si>
  <si>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</si>
  <si>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</si>
  <si>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</si>
  <si>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</si>
  <si>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</si>
  <si>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</si>
  <si>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</si>
  <si>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</si>
  <si>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</si>
  <si>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</si>
  <si>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</si>
  <si>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</si>
  <si>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</si>
  <si>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</si>
  <si>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</si>
  <si>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</si>
  <si>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</si>
  <si>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</si>
  <si>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</si>
  <si>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</si>
  <si>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</si>
  <si>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</si>
  <si>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</si>
  <si>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</si>
  <si>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</si>
  <si>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</si>
  <si>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</si>
  <si>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</si>
  <si>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</si>
  <si>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</si>
  <si>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</si>
  <si>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</si>
  <si>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</si>
  <si>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</si>
  <si>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</si>
  <si>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</si>
  <si>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</si>
  <si>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</si>
  <si>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</si>
  <si>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</si>
  <si>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</si>
  <si>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</si>
  <si>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</si>
  <si>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</si>
  <si>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</si>
  <si>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</si>
  <si>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</si>
  <si>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</si>
  <si>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</si>
  <si>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</si>
  <si>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</si>
  <si>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</si>
  <si>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</si>
  <si>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</si>
  <si>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</si>
  <si>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</si>
  <si>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</si>
  <si>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</si>
  <si>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</si>
  <si>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</si>
  <si>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</si>
  <si>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</si>
  <si>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</si>
  <si>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</si>
  <si>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</si>
  <si>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</si>
  <si>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</si>
  <si>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</si>
  <si>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</si>
  <si>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</si>
  <si>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</si>
  <si>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</si>
  <si>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</si>
  <si>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</si>
  <si>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</si>
  <si>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</si>
  <si>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</si>
  <si>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</si>
  <si>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</si>
  <si>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</si>
  <si>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</si>
  <si>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</si>
  <si>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</si>
  <si>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</si>
  <si>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</si>
  <si>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</si>
  <si>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</si>
  <si>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</si>
  <si>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</si>
  <si>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</si>
  <si>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</si>
  <si>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</si>
  <si>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</si>
  <si>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</si>
  <si>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</si>
  <si>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</si>
  <si>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</si>
  <si>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</si>
  <si>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</si>
  <si>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</si>
  <si>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</si>
  <si>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</si>
  <si>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</si>
  <si>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</si>
  <si>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</si>
  <si>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</si>
  <si>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</si>
  <si>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</si>
  <si>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</si>
  <si>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</si>
  <si>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</si>
  <si>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</si>
  <si>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</si>
  <si>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</si>
  <si>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</si>
  <si>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</si>
  <si>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</si>
  <si>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</si>
  <si>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</si>
  <si>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</si>
  <si>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</si>
  <si>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</si>
  <si>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</si>
  <si>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</si>
  <si>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</si>
  <si>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</si>
  <si>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</si>
  <si>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</si>
  <si>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</si>
  <si>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</si>
  <si>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</si>
  <si>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</si>
  <si>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</si>
  <si>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</si>
  <si>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</si>
  <si>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</si>
  <si>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</si>
  <si>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</si>
  <si>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</si>
  <si>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</si>
  <si>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</si>
  <si>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</si>
  <si>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</si>
  <si>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</si>
  <si>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</si>
  <si>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</si>
  <si>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</si>
  <si>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</si>
  <si>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</si>
  <si>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</si>
  <si>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</si>
  <si>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</si>
  <si>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</si>
  <si>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</si>
  <si>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</si>
  <si>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</si>
  <si>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</si>
  <si>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</si>
  <si>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</si>
  <si>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</si>
  <si>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</si>
  <si>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</si>
  <si>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</si>
  <si>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</si>
  <si>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</si>
  <si>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</si>
  <si>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</si>
  <si>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</si>
  <si>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</si>
  <si>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</si>
  <si>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</si>
  <si>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</si>
  <si>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</si>
  <si>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</si>
  <si>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</si>
  <si>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</si>
  <si>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</si>
  <si>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</si>
  <si>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</si>
  <si>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</si>
  <si>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</si>
  <si>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</si>
  <si>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</si>
  <si>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</si>
  <si>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</si>
  <si>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</si>
  <si>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</si>
  <si>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</si>
  <si>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</si>
  <si>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</si>
  <si>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</si>
  <si>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</si>
  <si>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</si>
  <si>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</si>
  <si>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</si>
  <si>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</si>
  <si>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</si>
  <si>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</si>
  <si>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</si>
  <si>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</si>
  <si>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</si>
  <si>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</si>
  <si>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</si>
  <si>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</si>
  <si>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</si>
  <si>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</si>
  <si>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</si>
  <si>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</si>
  <si>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</si>
  <si>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</si>
  <si>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</si>
  <si>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</si>
  <si>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</si>
  <si>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</si>
  <si>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</si>
  <si>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</si>
  <si>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</si>
  <si>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</si>
  <si>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</si>
  <si>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</si>
  <si>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</si>
  <si>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</si>
  <si>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</si>
  <si>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</si>
  <si>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</si>
  <si>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</si>
  <si>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</si>
  <si>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</si>
  <si>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</si>
  <si>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</si>
  <si>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</si>
  <si>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</si>
  <si>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</si>
  <si>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</si>
  <si>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</si>
  <si>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</si>
  <si>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</si>
  <si>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</si>
  <si>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</si>
  <si>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</si>
  <si>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</si>
  <si>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</si>
  <si>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</si>
  <si>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</si>
  <si>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</si>
  <si>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</si>
  <si>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</si>
  <si>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</si>
  <si>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</si>
  <si>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</si>
  <si>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</si>
  <si>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</si>
  <si>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</si>
  <si>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</si>
  <si>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</si>
  <si>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</si>
  <si>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</si>
  <si>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</si>
  <si>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</si>
  <si>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</si>
  <si>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</si>
  <si>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</si>
  <si>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</si>
  <si>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</si>
  <si>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</si>
  <si>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</si>
  <si>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</si>
  <si>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</si>
  <si>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</si>
  <si>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</si>
  <si>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</si>
  <si>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</si>
  <si>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</si>
  <si>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</si>
  <si>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</si>
  <si>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</si>
  <si>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</si>
  <si>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</si>
  <si>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</si>
  <si>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</si>
  <si>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</si>
  <si>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</si>
  <si>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</si>
  <si>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</si>
  <si>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</si>
  <si>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</si>
  <si>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</si>
  <si>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</si>
  <si>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</si>
  <si>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</si>
  <si>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</si>
  <si>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</si>
  <si>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</si>
  <si>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</si>
  <si>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</si>
  <si>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</si>
  <si>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</si>
  <si>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</si>
  <si>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</si>
  <si>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</si>
  <si>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</si>
  <si>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</si>
  <si>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</si>
  <si>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</si>
  <si>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</si>
  <si>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</si>
  <si>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</si>
  <si>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</si>
  <si>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</si>
  <si>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</si>
  <si>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</si>
  <si>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</si>
  <si>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</si>
  <si>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</si>
  <si>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</si>
  <si>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</si>
  <si>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</si>
  <si>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</si>
  <si>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</si>
  <si>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</si>
  <si>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</si>
  <si>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</si>
  <si>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</si>
  <si>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</si>
  <si>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</si>
  <si>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</si>
  <si>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</si>
  <si>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</si>
  <si>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</si>
  <si>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</si>
  <si>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</si>
  <si>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</si>
  <si>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</si>
  <si>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</si>
  <si>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</si>
  <si>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</si>
  <si>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</si>
  <si>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</si>
  <si>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</si>
  <si>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</si>
  <si>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</si>
  <si>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</si>
  <si>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</si>
  <si>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</si>
  <si>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</si>
  <si>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</si>
  <si>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</si>
  <si>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</si>
  <si>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</si>
  <si>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</si>
  <si>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</si>
  <si>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</si>
  <si>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</si>
  <si>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</si>
  <si>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</si>
  <si>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</si>
  <si>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</si>
  <si>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</si>
  <si>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</si>
  <si>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</si>
  <si>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</si>
  <si>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</si>
  <si>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</si>
  <si>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</si>
  <si>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</si>
  <si>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</si>
  <si>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</si>
  <si>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</si>
  <si>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</si>
  <si>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</si>
  <si>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</si>
  <si>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</si>
  <si>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</si>
  <si>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</si>
  <si>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</si>
  <si>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</si>
  <si>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</si>
  <si>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</si>
  <si>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</si>
  <si>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</si>
  <si>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</si>
  <si>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</si>
  <si>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</si>
  <si>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</si>
  <si>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</si>
  <si>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</si>
  <si>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</si>
  <si>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</si>
  <si>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</si>
  <si>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</si>
  <si>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</si>
  <si>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</si>
  <si>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</si>
  <si>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</si>
  <si>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</si>
  <si>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</si>
  <si>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</si>
  <si>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</si>
  <si>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</si>
  <si>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</si>
  <si>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</si>
  <si>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</si>
  <si>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</si>
  <si>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</si>
  <si>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</si>
  <si>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</si>
  <si>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</si>
  <si>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</si>
  <si>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</si>
  <si>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</si>
  <si>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</si>
  <si>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</si>
  <si>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</si>
  <si>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</si>
  <si>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</si>
  <si>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</si>
  <si>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</si>
  <si>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</si>
  <si>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</si>
  <si>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</si>
  <si>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</si>
  <si>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</si>
  <si>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</si>
  <si>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</si>
  <si>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</si>
  <si>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</si>
  <si>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</si>
  <si>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</si>
  <si>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</si>
  <si>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</si>
  <si>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</si>
  <si>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</si>
  <si>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</si>
  <si>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</si>
  <si>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</si>
  <si>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</si>
  <si>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</si>
  <si>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</si>
  <si>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</si>
  <si>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</si>
  <si>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</si>
  <si>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</si>
  <si>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</si>
  <si>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</si>
  <si>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</si>
  <si>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</si>
  <si>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</si>
  <si>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</si>
  <si>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</si>
  <si>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</si>
  <si>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</si>
  <si>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</si>
  <si>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</si>
  <si>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</si>
  <si>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</si>
  <si>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</si>
  <si>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</si>
  <si>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</si>
  <si>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</si>
  <si>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</si>
  <si>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</si>
  <si>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</si>
  <si>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</si>
  <si>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</si>
  <si>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</si>
  <si>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</si>
  <si>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</si>
  <si>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</si>
  <si>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</si>
  <si>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</si>
  <si>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</si>
  <si>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</si>
  <si>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</si>
  <si>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</si>
  <si>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</si>
  <si>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</si>
  <si>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</si>
  <si>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</si>
  <si>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</si>
  <si>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</si>
  <si>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</si>
  <si>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</si>
  <si>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</si>
  <si>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</si>
  <si>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</si>
  <si>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</si>
  <si>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</si>
  <si>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</si>
  <si>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</si>
  <si>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</si>
  <si>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</si>
  <si>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</si>
  <si>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</si>
  <si>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</si>
  <si>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</si>
  <si>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</si>
  <si>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</si>
  <si>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</si>
  <si>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</si>
  <si>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</si>
  <si>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</si>
  <si>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</si>
  <si>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</si>
  <si>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</si>
  <si>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</si>
  <si>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</si>
  <si>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</si>
  <si>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</si>
  <si>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</si>
  <si>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</si>
  <si>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</si>
  <si>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</si>
  <si>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</si>
  <si>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</si>
  <si>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</si>
  <si>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</si>
  <si>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</si>
  <si>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</si>
  <si>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</si>
  <si>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</si>
  <si>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</si>
  <si>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</si>
  <si>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</si>
  <si>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</si>
  <si>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</si>
  <si>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</si>
  <si>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</si>
  <si>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</si>
  <si>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</si>
  <si>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</si>
  <si>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</si>
  <si>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</si>
  <si>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</si>
  <si>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</si>
  <si>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</si>
  <si>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</si>
  <si>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</si>
  <si>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</si>
  <si>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</si>
  <si>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</si>
  <si>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</si>
  <si>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</si>
  <si>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</si>
  <si>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</si>
  <si>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</si>
  <si>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</si>
  <si>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</si>
  <si>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</si>
  <si>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</si>
  <si>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</si>
  <si>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</si>
  <si>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</si>
  <si>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</si>
  <si>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</si>
  <si>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</si>
  <si>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</si>
  <si>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</si>
  <si>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</si>
  <si>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</si>
  <si>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</si>
  <si>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</si>
  <si>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</si>
  <si>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</si>
  <si>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</si>
  <si>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</si>
  <si>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</si>
  <si>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</si>
  <si>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</si>
  <si>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</si>
  <si>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</si>
  <si>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</si>
  <si>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</si>
  <si>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</si>
  <si>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</si>
  <si>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</si>
  <si>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</si>
  <si>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</si>
  <si>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</si>
  <si>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</si>
  <si>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</si>
  <si>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</si>
  <si>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</si>
  <si>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</si>
  <si>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</si>
  <si>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</si>
  <si>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</si>
  <si>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</si>
  <si>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</si>
  <si>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</si>
  <si>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</si>
  <si>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</si>
  <si>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</si>
  <si>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</si>
  <si>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</si>
  <si>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</si>
  <si>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</si>
  <si>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</si>
  <si>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</si>
  <si>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</si>
  <si>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</si>
  <si>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</si>
  <si>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</si>
  <si>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</si>
  <si>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</si>
  <si>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</si>
  <si>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</si>
  <si>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</si>
  <si>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</si>
  <si>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</si>
  <si>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</si>
  <si>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</si>
  <si>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</si>
  <si>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</si>
  <si>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</si>
  <si>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</si>
  <si>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</si>
  <si>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</si>
  <si>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</si>
  <si>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</si>
  <si>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</si>
  <si>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</si>
  <si>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</si>
  <si>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</si>
  <si>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</si>
  <si>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</si>
  <si>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</si>
  <si>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</si>
  <si>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</si>
  <si>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</si>
  <si>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</si>
  <si>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</si>
  <si>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</si>
  <si>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</si>
  <si>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</si>
  <si>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</si>
  <si>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</si>
  <si>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</si>
  <si>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</si>
  <si>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</si>
  <si>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</si>
  <si>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</si>
  <si>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</si>
  <si>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</si>
  <si>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</si>
  <si>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</si>
  <si>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</si>
  <si>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</si>
  <si>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</si>
  <si>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</si>
  <si>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</si>
  <si>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</si>
  <si>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</si>
  <si>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</si>
  <si>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</si>
  <si>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</si>
  <si>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</si>
  <si>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</si>
  <si>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</si>
  <si>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</si>
  <si>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</si>
  <si>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</si>
  <si>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</si>
  <si>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</si>
  <si>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</si>
  <si>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</si>
  <si>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</si>
  <si>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</si>
  <si>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</si>
  <si>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</si>
  <si>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</si>
  <si>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</si>
  <si>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</si>
  <si>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</si>
  <si>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</si>
  <si>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</si>
  <si>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</si>
  <si>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</si>
  <si>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</si>
  <si>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</si>
  <si>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</si>
  <si>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</si>
  <si>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</si>
  <si>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</si>
  <si>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</si>
  <si>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</si>
  <si>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</si>
  <si>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</si>
  <si>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</si>
  <si>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</si>
  <si>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</si>
  <si>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</si>
  <si>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</si>
  <si>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</si>
  <si>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</si>
  <si>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</si>
  <si>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</si>
  <si>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</si>
  <si>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</si>
  <si>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</si>
  <si>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</si>
  <si>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</si>
  <si>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</si>
  <si>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</si>
  <si>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</si>
  <si>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</si>
  <si>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</si>
  <si>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</si>
  <si>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</si>
  <si>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</si>
  <si>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</si>
  <si>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</si>
  <si>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</si>
  <si>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</si>
  <si>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</si>
  <si>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</si>
  <si>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</si>
  <si>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</si>
  <si>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</si>
  <si>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</si>
  <si>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</si>
  <si>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</si>
  <si>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</si>
  <si>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</si>
  <si>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</si>
  <si>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</si>
  <si>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</si>
  <si>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</si>
  <si>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</si>
  <si>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</si>
  <si>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</si>
  <si>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</si>
  <si>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</si>
  <si>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</si>
  <si>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</si>
  <si>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</si>
  <si>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</si>
  <si>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</si>
  <si>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</si>
  <si>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</si>
  <si>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</si>
  <si>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</si>
  <si>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</si>
  <si>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</si>
  <si>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</si>
  <si>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</si>
  <si>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</si>
  <si>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</si>
  <si>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</si>
  <si>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</si>
  <si>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</si>
  <si>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</si>
  <si>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</si>
  <si>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</si>
  <si>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</si>
  <si>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</si>
  <si>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</si>
  <si>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</si>
  <si>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</si>
  <si>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</si>
  <si>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</si>
  <si>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</si>
  <si>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</si>
  <si>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</si>
  <si>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</si>
  <si>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</si>
  <si>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</si>
  <si>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</si>
  <si>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</si>
  <si>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</si>
  <si>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</si>
  <si>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</si>
  <si>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</si>
  <si>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</si>
  <si>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</si>
  <si>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</si>
  <si>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</si>
  <si>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</si>
  <si>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</si>
  <si>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</si>
  <si>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</si>
  <si>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</si>
  <si>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</si>
  <si>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</si>
  <si>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</si>
  <si>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</si>
  <si>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</si>
  <si>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</si>
  <si>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</si>
  <si>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</si>
  <si>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</si>
  <si>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</si>
  <si>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</si>
  <si>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</si>
  <si>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</si>
  <si>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</si>
  <si>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</si>
  <si>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</si>
  <si>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</si>
  <si>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</si>
  <si>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</si>
  <si>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</si>
  <si>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</si>
  <si>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</si>
  <si>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</si>
  <si>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</si>
  <si>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</si>
  <si>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</si>
  <si>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</si>
  <si>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</si>
  <si>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</si>
  <si>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</si>
  <si>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</si>
  <si>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</si>
  <si>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</si>
  <si>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</si>
  <si>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</si>
  <si>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</si>
  <si>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</si>
  <si>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</si>
  <si>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</si>
  <si>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</si>
  <si>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</si>
  <si>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</si>
  <si>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</si>
  <si>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</si>
  <si>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</si>
  <si>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</si>
  <si>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</si>
  <si>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</si>
  <si>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</si>
  <si>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</si>
  <si>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</si>
  <si>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</si>
  <si>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</si>
  <si>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</si>
  <si>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</si>
  <si>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</si>
  <si>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</si>
  <si>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</si>
  <si>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</si>
  <si>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</si>
  <si>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</si>
  <si>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</si>
  <si>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</si>
  <si>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</si>
  <si>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</si>
  <si>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</si>
  <si>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</si>
  <si>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</si>
  <si>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</si>
  <si>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</si>
  <si>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</si>
  <si>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</si>
  <si>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</si>
  <si>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</si>
  <si>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</si>
  <si>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</si>
  <si>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</si>
  <si>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</si>
  <si>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</si>
  <si>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</si>
  <si>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</si>
  <si>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</si>
  <si>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</si>
  <si>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</si>
  <si>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</si>
  <si>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</si>
  <si>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</si>
  <si>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</si>
  <si>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</si>
  <si>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</si>
  <si>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</si>
  <si>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</si>
  <si>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</si>
  <si>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</si>
  <si>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</si>
  <si>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</si>
  <si>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</si>
  <si>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</si>
  <si>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</si>
  <si>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</si>
  <si>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</si>
  <si>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</si>
  <si>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</si>
  <si>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</si>
  <si>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</si>
  <si>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</si>
  <si>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</si>
  <si>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</si>
  <si>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</si>
  <si>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</si>
  <si>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</si>
  <si>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</si>
  <si>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</si>
  <si>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</si>
  <si>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</si>
  <si>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</si>
  <si>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</si>
  <si>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</si>
  <si>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</si>
  <si>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</si>
  <si>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</si>
  <si>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</si>
  <si>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</si>
  <si>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</si>
  <si>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</si>
  <si>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</si>
  <si>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</si>
  <si>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</si>
  <si>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</si>
  <si>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</si>
  <si>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</si>
  <si>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</si>
  <si>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</si>
  <si>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</si>
  <si>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</si>
  <si>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</si>
  <si>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</si>
  <si>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</si>
  <si>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</si>
  <si>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</si>
  <si>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</si>
  <si>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</si>
  <si>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</si>
  <si>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</si>
  <si>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</si>
  <si>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</si>
  <si>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</si>
  <si>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</si>
  <si>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</si>
  <si>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</si>
  <si>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</si>
  <si>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</si>
  <si>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</si>
  <si>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</si>
  <si>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</si>
  <si>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</si>
  <si>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</si>
  <si>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</si>
  <si>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</si>
  <si>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</si>
  <si>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</si>
  <si>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</si>
  <si>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</si>
  <si>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</si>
  <si>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</si>
  <si>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</si>
  <si>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</si>
  <si>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</si>
  <si>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</si>
  <si>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</si>
  <si>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</si>
  <si>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</si>
  <si>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</si>
  <si>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</si>
  <si>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</si>
  <si>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</si>
  <si>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</si>
  <si>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</si>
  <si>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</si>
  <si>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</si>
  <si>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</si>
  <si>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</si>
  <si>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</si>
  <si>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</si>
  <si>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</si>
  <si>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</si>
  <si>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</si>
  <si>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</si>
  <si>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</si>
  <si>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</si>
  <si>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</si>
  <si>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</si>
  <si>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</si>
  <si>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</si>
  <si>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</si>
  <si>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</si>
  <si>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</si>
  <si>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</si>
  <si>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</si>
  <si>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</si>
  <si>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</si>
  <si>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</si>
  <si>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</si>
  <si>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</si>
  <si>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</si>
  <si>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</si>
  <si>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</si>
  <si>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</si>
  <si>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</si>
  <si>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</si>
  <si>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</si>
  <si>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</si>
  <si>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</si>
  <si>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</si>
  <si>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</si>
  <si>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</si>
  <si>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</si>
  <si>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</si>
  <si>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</si>
  <si>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</si>
  <si>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</si>
  <si>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</si>
  <si>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</si>
  <si>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</si>
  <si>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</si>
  <si>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</si>
  <si>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</si>
  <si>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</si>
  <si>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</si>
  <si>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</si>
  <si>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</si>
  <si>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</si>
  <si>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</si>
  <si>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</si>
  <si>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</si>
  <si>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</si>
  <si>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</si>
  <si>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</si>
  <si>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</si>
  <si>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</si>
  <si>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</si>
  <si>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</si>
  <si>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</si>
  <si>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</si>
  <si>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</si>
  <si>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</si>
  <si>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</si>
  <si>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</si>
  <si>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</si>
  <si>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</si>
  <si>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</si>
  <si>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</si>
  <si>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</si>
  <si>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</si>
  <si>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</si>
  <si>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</si>
  <si>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</si>
  <si>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</si>
  <si>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</si>
  <si>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</si>
  <si>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</si>
  <si>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</si>
  <si>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</si>
  <si>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</si>
  <si>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</si>
  <si>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</si>
  <si>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</si>
  <si>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</si>
  <si>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</si>
  <si>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</si>
  <si>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</si>
  <si>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</si>
  <si>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</si>
  <si>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</si>
  <si>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</si>
  <si>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</si>
  <si>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</si>
  <si>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</si>
  <si>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</si>
  <si>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</si>
  <si>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</si>
  <si>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</si>
  <si>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</si>
  <si>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</si>
  <si>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</si>
  <si>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</si>
  <si>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</si>
  <si>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</si>
  <si>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</si>
  <si>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</si>
  <si>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</si>
  <si>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</si>
  <si>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</si>
  <si>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</si>
  <si>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</si>
  <si>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</si>
  <si>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</si>
  <si>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</si>
  <si>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</si>
  <si>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</si>
  <si>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</si>
  <si>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</si>
  <si>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</si>
  <si>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</si>
  <si>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</si>
  <si>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</si>
  <si>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</si>
  <si>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</si>
  <si>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</si>
  <si>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</si>
  <si>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</si>
  <si>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</si>
  <si>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</si>
  <si>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</si>
  <si>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</si>
  <si>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</si>
  <si>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</si>
  <si>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</si>
  <si>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</si>
  <si>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</si>
  <si>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</si>
  <si>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</si>
  <si>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</si>
  <si>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</si>
  <si>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</si>
  <si>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</si>
  <si>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</si>
  <si>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</si>
  <si>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</si>
  <si>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</si>
  <si>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</si>
  <si>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</si>
  <si>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</si>
  <si>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</si>
  <si>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</si>
  <si>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</si>
  <si>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</si>
  <si>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</si>
  <si>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</si>
  <si>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</si>
  <si>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</si>
  <si>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</si>
  <si>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</si>
  <si>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</si>
  <si>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</si>
  <si>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</si>
  <si>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</si>
  <si>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</si>
  <si>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</si>
  <si>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</si>
  <si>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</si>
  <si>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</si>
  <si>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</si>
  <si>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</si>
  <si>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</si>
  <si>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</si>
  <si>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</si>
  <si>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</si>
  <si>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</si>
  <si>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</si>
  <si>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</si>
  <si>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</si>
  <si>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</si>
  <si>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</si>
  <si>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</si>
  <si>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</si>
  <si>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</si>
  <si>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</si>
  <si>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</si>
  <si>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</si>
  <si>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</si>
  <si>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</si>
  <si>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</si>
  <si>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</si>
  <si>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</si>
  <si>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</si>
  <si>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</si>
  <si>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</si>
  <si>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</si>
  <si>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</si>
  <si>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</si>
  <si>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</si>
  <si>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</si>
  <si>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</si>
  <si>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</si>
  <si>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</si>
  <si>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</si>
  <si>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</si>
  <si>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</si>
  <si>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</si>
  <si>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</si>
  <si>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</si>
  <si>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</si>
  <si>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</si>
  <si>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</si>
  <si>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</si>
  <si>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</si>
  <si>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</si>
  <si>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</si>
  <si>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</si>
  <si>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</si>
  <si>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</si>
  <si>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</si>
  <si>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</si>
  <si>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</si>
  <si>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</si>
  <si>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</si>
  <si>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</si>
  <si>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</si>
  <si>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</si>
  <si>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</si>
  <si>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</si>
  <si>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</si>
  <si>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</si>
  <si>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</si>
  <si>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</si>
  <si>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</si>
  <si>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</si>
  <si>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</si>
  <si>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</si>
  <si>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</si>
  <si>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</si>
  <si>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</si>
  <si>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</si>
  <si>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</si>
  <si>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</si>
  <si>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</si>
  <si>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</si>
  <si>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</si>
  <si>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</si>
  <si>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</si>
  <si>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</si>
  <si>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</si>
  <si>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</si>
  <si>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</si>
  <si>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</si>
  <si>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</si>
  <si>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</si>
  <si>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</si>
  <si>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</si>
  <si>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</si>
  <si>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</si>
  <si>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</si>
  <si>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</si>
  <si>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</si>
  <si>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</si>
  <si>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</si>
  <si>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</si>
  <si>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</si>
  <si>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</si>
  <si>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</si>
  <si>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</si>
  <si>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</si>
  <si>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</si>
  <si>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</si>
  <si>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</si>
  <si>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</si>
  <si>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</si>
  <si>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</si>
  <si>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</si>
  <si>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</si>
  <si>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</si>
  <si>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</si>
  <si>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</si>
  <si>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</si>
  <si>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</si>
  <si>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</si>
  <si>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</si>
  <si>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</si>
  <si>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</si>
  <si>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</si>
  <si>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</si>
  <si>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</si>
  <si>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</si>
  <si>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</si>
  <si>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</si>
  <si>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</si>
  <si>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</si>
  <si>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</si>
  <si>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</si>
  <si>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</si>
  <si>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</si>
  <si>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</si>
  <si>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</si>
  <si>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</si>
  <si>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</si>
  <si>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</si>
  <si>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</si>
  <si>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</si>
  <si>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</si>
  <si>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</si>
  <si>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</si>
  <si>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</si>
  <si>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</si>
  <si>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</si>
  <si>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</si>
  <si>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</si>
  <si>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</si>
  <si>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</si>
  <si>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</si>
  <si>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</si>
  <si>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</si>
  <si>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</si>
  <si>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</si>
  <si>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</si>
  <si>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</si>
  <si>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</si>
  <si>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</si>
  <si>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</si>
  <si>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</si>
  <si>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</si>
  <si>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</si>
  <si>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</si>
  <si>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</si>
  <si>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</si>
  <si>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</si>
  <si>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</si>
  <si>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</si>
  <si>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</si>
  <si>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</si>
  <si>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</si>
  <si>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</si>
  <si>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</si>
  <si>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</si>
  <si>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</si>
  <si>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</si>
  <si>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</si>
  <si>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</si>
  <si>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</si>
  <si>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</si>
  <si>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</si>
  <si>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</si>
  <si>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</si>
  <si>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</si>
  <si>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</si>
  <si>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</si>
  <si>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</si>
  <si>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</si>
  <si>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</si>
  <si>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</si>
  <si>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</si>
  <si>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</si>
  <si>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</si>
  <si>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</si>
  <si>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</si>
  <si>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</si>
  <si>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</si>
  <si>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</si>
  <si>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</si>
  <si>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</si>
  <si>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</si>
  <si>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</si>
  <si>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</si>
  <si>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</si>
  <si>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</si>
  <si>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</si>
  <si>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</si>
  <si>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</si>
  <si>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</si>
  <si>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</si>
  <si>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</si>
  <si>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</si>
  <si>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</si>
  <si>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</si>
  <si>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</si>
  <si>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</si>
  <si>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</si>
  <si>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</si>
  <si>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</si>
  <si>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</si>
  <si>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</si>
  <si>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</si>
  <si>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</si>
  <si>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</si>
  <si>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</si>
  <si>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</si>
  <si>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</si>
  <si>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</si>
  <si>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</si>
  <si>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</si>
  <si>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</si>
  <si>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</si>
  <si>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</si>
  <si>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</si>
  <si>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</si>
  <si>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</si>
  <si>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</si>
  <si>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</si>
  <si>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</si>
  <si>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</si>
  <si>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</si>
  <si>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</si>
  <si>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</si>
  <si>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</si>
  <si>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</si>
  <si>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</si>
  <si>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</si>
  <si>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</si>
  <si>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</si>
  <si>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</si>
  <si>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</si>
  <si>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</si>
  <si>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</si>
  <si>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</si>
  <si>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</si>
  <si>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</si>
  <si>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</si>
  <si>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</si>
  <si>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</si>
  <si>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</si>
  <si>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</si>
  <si>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</si>
  <si>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</si>
  <si>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</si>
  <si>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</si>
  <si>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</si>
  <si>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</si>
  <si>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</si>
  <si>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</si>
  <si>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</si>
  <si>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</si>
  <si>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</si>
  <si>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</si>
  <si>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</si>
  <si>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</si>
  <si>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</si>
  <si>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</si>
  <si>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</si>
  <si>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</si>
  <si>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</si>
  <si>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</si>
  <si>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</si>
  <si>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</si>
  <si>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</si>
  <si>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</si>
  <si>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</si>
  <si>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</si>
  <si>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</si>
  <si>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</si>
  <si>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</si>
  <si>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</si>
  <si>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</si>
  <si>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</si>
  <si>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</si>
  <si>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</si>
  <si>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</si>
  <si>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</si>
  <si>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</si>
  <si>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</si>
  <si>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</si>
  <si>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</si>
  <si>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</si>
  <si>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</si>
  <si>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</si>
  <si>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</si>
  <si>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</si>
  <si>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</si>
  <si>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</si>
  <si>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</si>
  <si>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</si>
  <si>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</si>
  <si>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</si>
  <si>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</si>
  <si>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</si>
  <si>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</si>
  <si>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</si>
  <si>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</si>
  <si>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</si>
  <si>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</si>
  <si>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</si>
  <si>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</si>
  <si>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</si>
  <si>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</si>
  <si>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</si>
  <si>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</si>
  <si>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</si>
  <si>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</si>
  <si>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</si>
  <si>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</si>
  <si>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</si>
  <si>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</si>
  <si>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</si>
  <si>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</si>
  <si>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</si>
  <si>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</si>
  <si>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</si>
  <si>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</si>
  <si>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</si>
  <si>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</si>
  <si>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</si>
  <si>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</si>
  <si>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</si>
  <si>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</si>
  <si>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</si>
  <si>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</si>
  <si>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</si>
  <si>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</si>
  <si>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</si>
  <si>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</si>
  <si>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</si>
  <si>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</si>
  <si>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</si>
  <si>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</si>
  <si>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</si>
  <si>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</si>
  <si>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</si>
  <si>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</si>
  <si>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</si>
  <si>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</si>
  <si>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</si>
  <si>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</si>
  <si>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</si>
  <si>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</si>
  <si>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</si>
  <si>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</si>
  <si>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</si>
  <si>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</si>
  <si>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</si>
  <si>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</si>
  <si>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</si>
  <si>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</si>
  <si>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</si>
  <si>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</si>
  <si>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</si>
  <si>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</si>
  <si>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</si>
  <si>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</si>
  <si>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</si>
  <si>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</si>
  <si>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</si>
  <si>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</si>
  <si>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</si>
  <si>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</si>
  <si>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</si>
  <si>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</si>
  <si>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</si>
  <si>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</si>
  <si>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</si>
  <si>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</si>
  <si>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</si>
  <si>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</si>
  <si>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</si>
  <si>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</si>
  <si>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</si>
  <si>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</si>
  <si>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</si>
  <si>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</si>
  <si>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</si>
  <si>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</si>
  <si>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</si>
  <si>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</si>
  <si>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</si>
  <si>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</si>
  <si>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</si>
  <si>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</si>
  <si>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</si>
  <si>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</si>
  <si>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</si>
  <si>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</si>
  <si>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</si>
  <si>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</si>
  <si>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</si>
  <si>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</si>
  <si>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</si>
  <si>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</si>
  <si>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</si>
  <si>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</si>
  <si>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</si>
  <si>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</si>
  <si>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</si>
  <si>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</si>
  <si>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</si>
  <si>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</si>
  <si>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</si>
  <si>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</si>
  <si>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</si>
  <si>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</si>
  <si>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</si>
  <si>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</si>
  <si>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</si>
  <si>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</si>
  <si>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</si>
  <si>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</si>
  <si>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</si>
  <si>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</si>
  <si>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</si>
  <si>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</si>
  <si>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</si>
  <si>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</si>
  <si>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</si>
  <si>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</si>
  <si>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</si>
  <si>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</si>
  <si>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</si>
  <si>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</si>
  <si>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</si>
  <si>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</si>
  <si>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</si>
  <si>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</si>
  <si>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</si>
  <si>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</si>
  <si>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</si>
  <si>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</si>
  <si>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</si>
  <si>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</si>
  <si>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</si>
  <si>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</si>
  <si>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</si>
  <si>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</si>
  <si>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</si>
  <si>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</si>
  <si>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</si>
  <si>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</si>
  <si>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</si>
  <si>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</si>
  <si>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</si>
  <si>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</si>
  <si>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</si>
  <si>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</si>
  <si>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</si>
  <si>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</si>
  <si>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</si>
  <si>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</si>
  <si>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</si>
  <si>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</si>
  <si>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</si>
  <si>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</si>
  <si>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</si>
  <si>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</si>
  <si>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</si>
  <si>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</si>
  <si>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</si>
  <si>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</si>
  <si>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</si>
  <si>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</si>
  <si>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</si>
  <si>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</si>
  <si>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</si>
  <si>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</si>
  <si>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</si>
  <si>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</si>
  <si>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</si>
  <si>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</si>
  <si>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</si>
  <si>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</si>
  <si>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</si>
  <si>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</si>
  <si>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</si>
  <si>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</si>
  <si>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</si>
  <si>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</si>
  <si>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</si>
  <si>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</si>
  <si>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</si>
  <si>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</si>
  <si>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</si>
  <si>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</si>
  <si>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</si>
  <si>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</si>
  <si>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</si>
  <si>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</si>
  <si>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</si>
  <si>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</si>
  <si>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</si>
  <si>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</si>
  <si>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</si>
  <si>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</si>
  <si>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</si>
  <si>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</si>
  <si>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</si>
  <si>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</si>
  <si>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</si>
  <si>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</si>
  <si>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</si>
  <si>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</si>
  <si>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</si>
  <si>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</si>
  <si>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</si>
  <si>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</si>
  <si>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</si>
  <si>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</si>
  <si>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</si>
  <si>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</si>
  <si>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</si>
  <si>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</si>
  <si>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</si>
  <si>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</si>
  <si>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</si>
  <si>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</si>
  <si>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</si>
  <si>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</si>
  <si>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</si>
  <si>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</si>
  <si>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</si>
  <si>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</si>
  <si>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</si>
  <si>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</si>
  <si>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</si>
  <si>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</si>
  <si>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</si>
  <si>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</si>
  <si>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</si>
  <si>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</si>
  <si>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</si>
  <si>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</si>
  <si>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</si>
  <si>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</si>
  <si>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</si>
  <si>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</si>
  <si>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</si>
  <si>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</si>
  <si>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</si>
  <si>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</si>
  <si>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</si>
  <si>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</si>
  <si>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</si>
  <si>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</si>
  <si>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</si>
  <si>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</si>
  <si>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</si>
  <si>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</si>
  <si>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</si>
  <si>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</si>
  <si>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</si>
  <si>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</si>
  <si>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</si>
  <si>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</si>
  <si>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</si>
  <si>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</si>
  <si>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</si>
  <si>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</si>
  <si>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</si>
  <si>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</si>
  <si>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</si>
  <si>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</si>
  <si>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</si>
  <si>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</si>
  <si>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</si>
  <si>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</si>
  <si>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</si>
  <si>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</si>
  <si>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</si>
  <si>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</si>
  <si>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</si>
  <si>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</si>
  <si>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</si>
  <si>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</si>
  <si>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</si>
  <si>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</si>
  <si>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</si>
  <si>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</si>
  <si>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</si>
  <si>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</si>
  <si>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</si>
  <si>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</si>
  <si>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</si>
  <si>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</si>
  <si>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</si>
  <si>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</si>
  <si>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</si>
  <si>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</si>
  <si>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</si>
  <si>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</si>
  <si>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</si>
  <si>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</si>
  <si>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</si>
  <si>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</si>
  <si>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</si>
  <si>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</si>
  <si>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</si>
  <si>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</si>
  <si>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</si>
  <si>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</si>
  <si>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</si>
  <si>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</si>
  <si>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</si>
  <si>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</si>
  <si>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</si>
  <si>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</si>
  <si>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</si>
  <si>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</si>
  <si>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</si>
  <si>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</si>
  <si>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</si>
  <si>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</si>
  <si>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</si>
  <si>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</si>
  <si>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</si>
  <si>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</si>
  <si>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</si>
  <si>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</si>
  <si>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</si>
  <si>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</si>
  <si>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</si>
  <si>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</si>
  <si>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</si>
  <si>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</si>
  <si>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</si>
  <si>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</si>
  <si>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</si>
  <si>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</si>
  <si>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</si>
  <si>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</si>
  <si>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</si>
  <si>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</si>
  <si>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</si>
  <si>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</si>
  <si>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</si>
  <si>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</si>
  <si>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</si>
  <si>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</si>
  <si>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</si>
  <si>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</si>
  <si>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</si>
  <si>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</si>
  <si>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</si>
  <si>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</si>
  <si>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</si>
  <si>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</si>
  <si>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</si>
  <si>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</si>
  <si>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</si>
  <si>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</si>
  <si>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</si>
  <si>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</si>
  <si>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</si>
  <si>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</si>
  <si>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</si>
  <si>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</si>
  <si>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</si>
  <si>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</si>
  <si>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</si>
  <si>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</si>
  <si>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</si>
  <si>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</si>
  <si>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</si>
  <si>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</si>
  <si>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</si>
  <si>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</si>
  <si>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</si>
  <si>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</si>
  <si>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</si>
  <si>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</si>
  <si>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</si>
  <si>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</si>
  <si>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</si>
  <si>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</si>
  <si>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</si>
  <si>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</si>
  <si>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</si>
  <si>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</si>
  <si>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</si>
  <si>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</si>
  <si>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</si>
  <si>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</si>
  <si>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</si>
  <si>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</si>
  <si>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</si>
  <si>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</si>
  <si>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</si>
  <si>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</si>
  <si>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</si>
  <si>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</si>
  <si>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</si>
  <si>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</si>
  <si>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</si>
  <si>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</si>
  <si>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</si>
  <si>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</si>
  <si>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</si>
  <si>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</si>
  <si>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</si>
  <si>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</si>
  <si>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</si>
  <si>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</si>
  <si>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</si>
  <si>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</si>
  <si>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</si>
  <si>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</si>
  <si>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</si>
  <si>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</si>
  <si>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</si>
  <si>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</si>
  <si>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</si>
  <si>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</si>
  <si>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</si>
  <si>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</si>
  <si>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</si>
  <si>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</si>
  <si>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</si>
  <si>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</si>
  <si>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</si>
  <si>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</si>
  <si>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</si>
  <si>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</si>
  <si>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</si>
  <si>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</si>
  <si>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</si>
  <si>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</si>
  <si>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</si>
  <si>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</si>
  <si>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</si>
  <si>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</si>
  <si>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</si>
  <si>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</si>
  <si>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</si>
  <si>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</si>
  <si>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</si>
  <si>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</si>
  <si>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</si>
  <si>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</si>
  <si>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</si>
  <si>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</si>
  <si>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</si>
  <si>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</si>
  <si>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</si>
  <si>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</si>
  <si>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</si>
  <si>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</si>
  <si>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</si>
  <si>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</si>
  <si>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</si>
  <si>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</si>
  <si>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</si>
  <si>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</si>
  <si>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</si>
  <si>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</si>
  <si>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</si>
  <si>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</si>
  <si>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</si>
  <si>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</si>
  <si>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</si>
  <si>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</si>
  <si>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</si>
  <si>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</si>
  <si>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</si>
  <si>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</si>
  <si>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</si>
  <si>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</si>
  <si>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</si>
  <si>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</si>
  <si>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</si>
  <si>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</si>
  <si>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</si>
  <si>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</si>
  <si>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</si>
  <si>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</si>
  <si>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</si>
  <si>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</si>
  <si>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</si>
  <si>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</si>
  <si>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</si>
  <si>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</si>
  <si>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</si>
  <si>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</si>
  <si>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</si>
  <si>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</si>
  <si>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</si>
  <si>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</si>
  <si>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</si>
  <si>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</si>
  <si>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</si>
  <si>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</si>
  <si>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</si>
  <si>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</si>
  <si>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</si>
  <si>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</si>
  <si>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</si>
  <si>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</si>
  <si>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</si>
  <si>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</si>
  <si>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</si>
  <si>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</si>
  <si>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</si>
  <si>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</si>
  <si>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</si>
  <si>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</si>
  <si>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</si>
  <si>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</si>
  <si>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</si>
  <si>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</si>
  <si>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</si>
  <si>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</si>
  <si>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</si>
  <si>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</si>
  <si>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</si>
  <si>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</si>
  <si>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</si>
  <si>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</si>
  <si>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</si>
  <si>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</si>
  <si>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</si>
  <si>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</si>
  <si>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</si>
  <si>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</si>
  <si>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</si>
  <si>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</si>
  <si>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</si>
  <si>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</si>
  <si>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</si>
  <si>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</si>
  <si>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</si>
  <si>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</si>
  <si>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</si>
  <si>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</si>
  <si>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</si>
  <si>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</si>
  <si>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</si>
  <si>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</si>
  <si>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</si>
  <si>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</si>
  <si>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</si>
  <si>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</si>
  <si>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</si>
  <si>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</si>
  <si>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</si>
  <si>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</si>
  <si>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</si>
  <si>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</si>
  <si>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</si>
  <si>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</si>
  <si>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</si>
  <si>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</si>
  <si>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</si>
  <si>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</si>
  <si>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</si>
  <si>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</si>
  <si>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</si>
  <si>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</si>
  <si>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</si>
  <si>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</si>
  <si>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</si>
  <si>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</si>
  <si>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</si>
  <si>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</si>
  <si>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</si>
  <si>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</si>
  <si>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</si>
  <si>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</si>
  <si>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</si>
  <si>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</si>
  <si>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</si>
  <si>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</si>
  <si>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</si>
  <si>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</si>
  <si>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</si>
  <si>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</si>
  <si>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</si>
  <si>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</si>
  <si>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</si>
  <si>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</si>
  <si>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</si>
  <si>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</si>
  <si>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</si>
  <si>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</si>
  <si>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</si>
  <si>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</si>
  <si>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</si>
  <si>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</si>
  <si>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</si>
  <si>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</si>
  <si>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</si>
  <si>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</si>
  <si>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</si>
  <si>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</si>
  <si>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</si>
  <si>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</si>
  <si>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</si>
  <si>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</si>
  <si>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</si>
  <si>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</si>
  <si>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</si>
  <si>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</si>
  <si>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</si>
  <si>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</si>
  <si>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</si>
  <si>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</si>
  <si>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</si>
  <si>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</si>
  <si>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</si>
  <si>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</si>
  <si>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</si>
  <si>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</si>
  <si>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</si>
  <si>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</si>
  <si>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</si>
  <si>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</si>
  <si>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</si>
  <si>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</si>
  <si>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</si>
  <si>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</si>
  <si>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</si>
  <si>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</si>
  <si>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</si>
  <si>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</si>
  <si>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</si>
  <si>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</si>
  <si>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</si>
  <si>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</si>
  <si>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</si>
  <si>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</si>
  <si>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</si>
  <si>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</si>
  <si>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</si>
  <si>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</si>
  <si>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</si>
  <si>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</si>
  <si>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</si>
  <si>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</si>
  <si>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</si>
  <si>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</si>
  <si>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</si>
  <si>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</si>
  <si>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</si>
  <si>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</si>
  <si>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</si>
  <si>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</si>
  <si>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</si>
  <si>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</si>
  <si>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</si>
  <si>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</si>
  <si>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</si>
  <si>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</si>
  <si>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</si>
  <si>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</si>
  <si>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</si>
  <si>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</si>
  <si>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</si>
  <si>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</si>
  <si>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</si>
  <si>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</si>
  <si>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</si>
  <si>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</si>
  <si>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</si>
  <si>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</si>
  <si>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</si>
  <si>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</si>
  <si>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</si>
  <si>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</si>
  <si>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</si>
  <si>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</si>
  <si>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</si>
  <si>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</si>
  <si>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</si>
  <si>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</si>
  <si>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</si>
  <si>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</si>
  <si>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</si>
  <si>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</si>
  <si>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</si>
  <si>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</si>
  <si>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</si>
  <si>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</si>
  <si>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</si>
  <si>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</si>
  <si>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</si>
  <si>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</si>
  <si>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</si>
  <si>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</si>
  <si>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</si>
  <si>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</si>
  <si>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</si>
  <si>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</si>
  <si>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</si>
  <si>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</si>
  <si>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</si>
  <si>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</si>
  <si>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</si>
  <si>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</si>
  <si>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</si>
  <si>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</si>
  <si>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</si>
  <si>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</si>
  <si>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</si>
  <si>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</si>
  <si>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</si>
  <si>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</si>
  <si>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</si>
  <si>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</si>
  <si>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</si>
  <si>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</si>
  <si>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</si>
  <si>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</si>
  <si>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</si>
  <si>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</si>
  <si>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</si>
  <si>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</si>
  <si>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</si>
  <si>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</si>
  <si>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</si>
  <si>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</si>
  <si>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</si>
  <si>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</si>
  <si>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</si>
  <si>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</si>
  <si>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</si>
  <si>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</si>
  <si>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</si>
  <si>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</si>
  <si>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</si>
  <si>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</si>
  <si>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</si>
  <si>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</si>
  <si>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</si>
  <si>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</si>
  <si>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</si>
  <si>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</si>
  <si>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</si>
  <si>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</si>
  <si>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</si>
  <si>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</si>
  <si>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</si>
  <si>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</si>
  <si>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</si>
  <si>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</si>
  <si>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</si>
  <si>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</si>
  <si>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</si>
  <si>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</si>
  <si>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</si>
  <si>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</si>
  <si>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</si>
  <si>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</si>
  <si>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</si>
  <si>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</si>
  <si>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</si>
  <si>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</si>
  <si>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</si>
  <si>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</si>
  <si>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</si>
  <si>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</si>
  <si>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</si>
  <si>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</si>
  <si>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</si>
  <si>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</si>
  <si>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</si>
  <si>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</si>
  <si>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</si>
  <si>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</si>
  <si>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</si>
  <si>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</si>
  <si>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</si>
  <si>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</si>
  <si>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</si>
  <si>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</si>
  <si>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</si>
  <si>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</si>
  <si>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</si>
  <si>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</si>
  <si>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</si>
  <si>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</si>
  <si>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</si>
  <si>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</si>
  <si>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</si>
  <si>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</si>
  <si>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</si>
  <si>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</si>
  <si>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</si>
  <si>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</si>
  <si>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</si>
  <si>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</si>
  <si>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</si>
  <si>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</si>
  <si>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</si>
  <si>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</si>
  <si>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</si>
  <si>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</si>
  <si>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</si>
  <si>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</si>
  <si>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</si>
  <si>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</si>
  <si>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</si>
  <si>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</si>
  <si>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</si>
  <si>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</si>
  <si>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</si>
  <si>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</si>
  <si>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</si>
  <si>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</si>
  <si>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</si>
  <si>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</si>
  <si>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</si>
  <si>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</si>
  <si>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</si>
  <si>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</si>
  <si>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</si>
  <si>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</si>
  <si>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</si>
  <si>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</si>
  <si>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</si>
  <si>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</si>
  <si>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</si>
  <si>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</si>
  <si>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</si>
  <si>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</si>
  <si>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</si>
  <si>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</si>
  <si>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</si>
  <si>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</si>
  <si>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</si>
  <si>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</si>
  <si>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</si>
  <si>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</si>
  <si>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</si>
  <si>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</si>
  <si>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</si>
  <si>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</si>
  <si>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</si>
  <si>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</si>
  <si>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</si>
  <si>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</si>
  <si>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</si>
  <si>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</si>
  <si>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</si>
  <si>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</si>
  <si>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</si>
  <si>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</si>
  <si>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</si>
  <si>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</si>
  <si>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</si>
  <si>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</si>
  <si>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</si>
  <si>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</si>
  <si>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</si>
  <si>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</si>
  <si>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</si>
  <si>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</si>
  <si>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</si>
  <si>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</si>
  <si>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</si>
  <si>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</si>
  <si>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</si>
  <si>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</si>
  <si>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</si>
  <si>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</si>
  <si>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</si>
  <si>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</si>
  <si>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</si>
  <si>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</si>
  <si>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</si>
  <si>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</si>
  <si>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</si>
  <si>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</si>
  <si>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</si>
  <si>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</si>
  <si>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</si>
  <si>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</si>
  <si>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</si>
  <si>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</si>
  <si>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</si>
  <si>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</si>
  <si>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</si>
  <si>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</si>
  <si>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</si>
  <si>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</si>
  <si>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</si>
  <si>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</si>
  <si>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</si>
  <si>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</si>
  <si>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</si>
  <si>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</si>
  <si>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</si>
  <si>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</si>
  <si>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</si>
  <si>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</si>
  <si>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</si>
  <si>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</si>
  <si>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</si>
  <si>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</si>
  <si>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</si>
  <si>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</si>
  <si>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</si>
  <si>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</si>
  <si>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</si>
  <si>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</si>
  <si>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</si>
  <si>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</si>
  <si>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</si>
  <si>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</si>
  <si>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</si>
  <si>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</si>
  <si>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</si>
  <si>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</si>
  <si>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</si>
  <si>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</si>
  <si>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</si>
  <si>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</si>
  <si>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</si>
  <si>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</si>
  <si>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</si>
  <si>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</si>
  <si>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</si>
  <si>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</si>
  <si>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</si>
  <si>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</si>
  <si>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</si>
  <si>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</si>
  <si>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</si>
  <si>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</si>
  <si>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</si>
  <si>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</si>
  <si>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</si>
  <si>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</si>
  <si>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</si>
  <si>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</si>
  <si>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</si>
  <si>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</si>
  <si>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</si>
  <si>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</si>
  <si>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</si>
  <si>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</si>
  <si>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</si>
  <si>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</si>
  <si>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</si>
  <si>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</si>
  <si>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</si>
  <si>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</si>
  <si>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</si>
  <si>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</si>
  <si>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</si>
  <si>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</si>
  <si>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</si>
  <si>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</si>
  <si>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</si>
  <si>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</si>
  <si>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</si>
  <si>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</si>
  <si>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</si>
  <si>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</si>
  <si>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</si>
  <si>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</si>
  <si>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</si>
  <si>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</si>
  <si>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</si>
  <si>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</si>
  <si>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</si>
  <si>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</si>
  <si>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</si>
  <si>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</si>
  <si>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</si>
  <si>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</si>
  <si>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</si>
  <si>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</si>
  <si>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</si>
  <si>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</si>
  <si>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</si>
  <si>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</si>
  <si>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</si>
  <si>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</si>
  <si>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</si>
  <si>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</si>
  <si>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</si>
  <si>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</si>
  <si>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</si>
  <si>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</si>
  <si>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</si>
  <si>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</si>
  <si>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</si>
  <si>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</si>
  <si>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</si>
  <si>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</si>
  <si>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</si>
  <si>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</si>
  <si>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</si>
  <si>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</si>
  <si>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</si>
  <si>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</si>
  <si>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</si>
  <si>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</si>
  <si>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</si>
  <si>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</si>
  <si>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</si>
  <si>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</si>
  <si>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</si>
  <si>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</si>
  <si>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</si>
  <si>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</si>
  <si>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</si>
  <si>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</si>
  <si>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</si>
  <si>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</si>
  <si>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</si>
  <si>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</si>
  <si>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</si>
  <si>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</si>
  <si>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</si>
  <si>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</si>
  <si>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</si>
  <si>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</si>
  <si>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</si>
  <si>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</si>
  <si>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</si>
  <si>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</si>
  <si>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</si>
  <si>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</si>
  <si>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</si>
  <si>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</si>
  <si>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</si>
  <si>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</si>
  <si>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</si>
  <si>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</si>
  <si>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</si>
  <si>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</si>
  <si>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</si>
  <si>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</si>
  <si>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</si>
  <si>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</si>
  <si>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</si>
  <si>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</si>
  <si>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</si>
  <si>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</si>
  <si>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</si>
  <si>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</si>
  <si>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</si>
  <si>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</si>
  <si>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</si>
  <si>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</si>
  <si>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</si>
  <si>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</si>
  <si>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</si>
  <si>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</si>
  <si>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</si>
  <si>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</si>
  <si>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</si>
  <si>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</si>
  <si>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</si>
  <si>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</si>
  <si>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</si>
  <si>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</si>
  <si>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</si>
  <si>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</si>
  <si>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</si>
  <si>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</si>
  <si>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</si>
  <si>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</si>
  <si>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</si>
  <si>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</si>
  <si>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</si>
  <si>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</si>
  <si>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</si>
  <si>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</si>
  <si>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</si>
  <si>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</si>
  <si>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</si>
  <si>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</si>
  <si>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</si>
  <si>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</si>
  <si>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</si>
  <si>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</si>
  <si>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</si>
  <si>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</si>
  <si>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</si>
  <si>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</si>
  <si>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</si>
  <si>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</si>
  <si>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</si>
  <si>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</si>
  <si>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</si>
  <si>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</si>
  <si>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</si>
  <si>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</si>
  <si>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</si>
  <si>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</si>
  <si>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</si>
  <si>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</si>
  <si>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</si>
  <si>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</si>
  <si>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</si>
  <si>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</si>
  <si>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</si>
  <si>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</si>
  <si>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</si>
  <si>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</si>
  <si>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</si>
  <si>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</si>
  <si>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</si>
  <si>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</si>
  <si>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</si>
  <si>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</si>
  <si>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</si>
  <si>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</si>
  <si>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</si>
  <si>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</si>
  <si>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</si>
  <si>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</si>
  <si>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</si>
  <si>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</si>
  <si>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</si>
  <si>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</si>
  <si>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</si>
  <si>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</si>
  <si>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</si>
  <si>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</si>
  <si>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</si>
  <si>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</si>
  <si>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</si>
  <si>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</si>
  <si>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</si>
  <si>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</si>
  <si>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</si>
  <si>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</si>
  <si>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</si>
  <si>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</si>
  <si>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</si>
  <si>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</si>
  <si>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</si>
  <si>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</si>
  <si>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</si>
  <si>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</si>
  <si>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</si>
  <si>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</si>
  <si>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</si>
  <si>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</si>
  <si>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</si>
  <si>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</si>
  <si>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</si>
  <si>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</si>
  <si>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</si>
  <si>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</si>
  <si>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</si>
  <si>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</si>
  <si>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</si>
  <si>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</si>
  <si>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</si>
  <si>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</si>
  <si>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</si>
  <si>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</si>
  <si>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</si>
  <si>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</si>
  <si>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</si>
  <si>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</si>
  <si>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</si>
  <si>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</si>
  <si>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</si>
  <si>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</si>
  <si>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</si>
  <si>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</si>
  <si>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</si>
  <si>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</si>
  <si>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</si>
  <si>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</si>
  <si>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</si>
  <si>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</si>
  <si>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</si>
  <si>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</si>
  <si>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</si>
  <si>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</si>
  <si>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</si>
  <si>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</si>
  <si>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</si>
  <si>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</si>
  <si>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</si>
  <si>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</si>
  <si>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</si>
  <si>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</si>
  <si>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</si>
  <si>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</si>
  <si>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</si>
  <si>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</si>
  <si>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</si>
  <si>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</si>
  <si>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</si>
  <si>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</si>
  <si>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</si>
  <si>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</si>
  <si>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</si>
  <si>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</si>
  <si>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</si>
  <si>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</si>
  <si>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</si>
  <si>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</si>
  <si>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</si>
  <si>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</si>
  <si>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</si>
  <si>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</si>
  <si>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</si>
  <si>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</si>
  <si>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</si>
  <si>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</si>
  <si>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</si>
  <si>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</si>
  <si>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</si>
  <si>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</si>
  <si>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</si>
  <si>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</si>
  <si>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</si>
  <si>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</si>
  <si>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</si>
  <si>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</si>
  <si>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</si>
  <si>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</si>
  <si>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</si>
  <si>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</si>
  <si>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</si>
  <si>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</si>
  <si>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</si>
  <si>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</si>
  <si>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</si>
  <si>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</si>
  <si>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</si>
  <si>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</si>
  <si>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</si>
  <si>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</si>
  <si>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</si>
  <si>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</si>
  <si>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</si>
  <si>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</si>
  <si>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</si>
  <si>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</si>
  <si>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</si>
  <si>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</si>
  <si>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</si>
  <si>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</si>
  <si>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</si>
  <si>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</si>
  <si>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</si>
  <si>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</si>
  <si>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</si>
  <si>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</si>
  <si>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</si>
  <si>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</si>
  <si>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</si>
  <si>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</si>
  <si>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</si>
  <si>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</si>
  <si>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</si>
  <si>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</si>
  <si>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</si>
  <si>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</si>
  <si>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</si>
  <si>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</si>
  <si>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</si>
  <si>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</si>
  <si>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</si>
  <si>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</si>
  <si>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</si>
  <si>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</si>
  <si>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</si>
  <si>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</si>
  <si>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</si>
  <si>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</si>
  <si>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</si>
  <si>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</si>
  <si>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</si>
  <si>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</si>
  <si>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</si>
  <si>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</si>
  <si>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</si>
  <si>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</si>
  <si>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</si>
  <si>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</si>
  <si>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</si>
  <si>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</si>
  <si>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</si>
  <si>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</si>
  <si>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</si>
  <si>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</si>
  <si>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</si>
  <si>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</si>
  <si>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</si>
  <si>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</si>
  <si>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</si>
  <si>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</si>
  <si>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</si>
  <si>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</si>
  <si>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</si>
  <si>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</si>
  <si>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</si>
  <si>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</si>
  <si>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</si>
  <si>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</si>
  <si>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</si>
  <si>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</si>
  <si>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</si>
  <si>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</si>
  <si>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</si>
  <si>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</si>
  <si>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</si>
  <si>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</si>
  <si>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</si>
  <si>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</si>
  <si>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</si>
  <si>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</si>
  <si>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</si>
  <si>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</si>
  <si>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</si>
  <si>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</si>
  <si>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</si>
  <si>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</si>
  <si>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</si>
  <si>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</si>
  <si>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</si>
  <si>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</si>
  <si>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</si>
  <si>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</si>
  <si>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</si>
  <si>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</si>
  <si>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</si>
  <si>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</si>
  <si>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</si>
  <si>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</si>
  <si>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</si>
  <si>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</si>
  <si>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</si>
  <si>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</si>
  <si>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</si>
  <si>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</si>
  <si>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</si>
  <si>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</si>
  <si>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</si>
  <si>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</si>
  <si>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</si>
  <si>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</si>
  <si>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</si>
  <si>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</si>
  <si>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</si>
  <si>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</si>
  <si>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</si>
  <si>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</si>
  <si>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</si>
  <si>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</si>
  <si>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</si>
  <si>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</si>
  <si>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</si>
  <si>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</si>
  <si>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</si>
  <si>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</si>
  <si>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</si>
  <si>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</si>
  <si>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</si>
  <si>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</si>
  <si>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</si>
  <si>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</si>
  <si>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</si>
  <si>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</si>
  <si>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</si>
  <si>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</si>
  <si>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</si>
  <si>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</si>
  <si>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</si>
  <si>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</si>
  <si>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</si>
  <si>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</si>
  <si>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</si>
  <si>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</si>
  <si>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</si>
  <si>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</si>
  <si>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</si>
  <si>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</si>
  <si>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</si>
  <si>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</si>
  <si>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</si>
  <si>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</si>
  <si>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</si>
  <si>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</si>
  <si>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</si>
  <si>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</si>
  <si>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</si>
  <si>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</si>
  <si>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</si>
  <si>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</si>
  <si>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</si>
  <si>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</si>
  <si>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</si>
  <si>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</si>
  <si>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</si>
  <si>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</si>
  <si>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</si>
  <si>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</si>
  <si>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</si>
  <si>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</si>
  <si>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</si>
  <si>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</si>
  <si>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</si>
  <si>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</si>
  <si>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</si>
  <si>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</si>
  <si>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</si>
  <si>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</si>
  <si>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</si>
  <si>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</si>
  <si>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</si>
  <si>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</si>
  <si>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</si>
  <si>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</si>
  <si>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</si>
  <si>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</si>
  <si>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</si>
  <si>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</si>
  <si>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</si>
  <si>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</si>
  <si>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</si>
  <si>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</si>
  <si>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</si>
  <si>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</si>
  <si>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</si>
  <si>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</si>
  <si>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</si>
  <si>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</si>
  <si>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</si>
  <si>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</si>
  <si>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</si>
  <si>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</si>
  <si>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</si>
  <si>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</si>
  <si>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</si>
  <si>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</si>
  <si>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</si>
  <si>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</si>
  <si>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</si>
  <si>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</si>
  <si>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</si>
  <si>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</si>
  <si>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</si>
  <si>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</si>
  <si>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</si>
  <si>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</si>
  <si>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</si>
  <si>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</si>
  <si>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</si>
  <si>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</si>
  <si>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</si>
  <si>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</si>
  <si>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</si>
  <si>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</si>
  <si>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</si>
  <si>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</si>
  <si>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</si>
  <si>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</si>
  <si>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</si>
  <si>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</si>
  <si>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</si>
  <si>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</si>
  <si>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</si>
  <si>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</si>
  <si>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</si>
  <si>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</si>
  <si>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</si>
  <si>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</si>
  <si>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</si>
  <si>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</si>
  <si>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</si>
  <si>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</si>
  <si>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</si>
  <si>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</si>
  <si>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</si>
  <si>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</si>
  <si>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</si>
  <si>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</si>
  <si>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</si>
  <si>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</si>
  <si>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</si>
  <si>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</si>
  <si>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</si>
  <si>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</si>
  <si>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</si>
  <si>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</si>
  <si>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</si>
  <si>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</si>
  <si>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</si>
  <si>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</si>
  <si>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</si>
  <si>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</si>
  <si>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</si>
  <si>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</si>
  <si>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</si>
  <si>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</si>
  <si>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</si>
  <si>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</si>
  <si>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</si>
  <si>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</si>
  <si>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</si>
  <si>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</si>
  <si>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</si>
  <si>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</si>
  <si>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</si>
  <si>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</si>
  <si>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</si>
  <si>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</si>
  <si>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</si>
  <si>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</si>
  <si>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</si>
  <si>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</si>
  <si>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</si>
  <si>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</si>
  <si>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</si>
  <si>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</si>
  <si>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</si>
  <si>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</si>
  <si>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</si>
  <si>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</si>
  <si>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</si>
  <si>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</si>
  <si>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</si>
  <si>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</si>
  <si>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</si>
  <si>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</si>
  <si>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</si>
  <si>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</si>
  <si>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</si>
  <si>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</si>
  <si>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</si>
  <si>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</si>
  <si>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</si>
  <si>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</si>
  <si>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</si>
  <si>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</si>
  <si>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</si>
  <si>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</si>
  <si>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</si>
  <si>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</si>
  <si>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</si>
  <si>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</si>
  <si>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</si>
  <si>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</si>
  <si>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</si>
  <si>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</si>
  <si>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</si>
  <si>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</si>
  <si>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</si>
  <si>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</si>
  <si>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</si>
  <si>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</si>
  <si>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</si>
  <si>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</si>
  <si>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</si>
  <si>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</si>
  <si>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</si>
  <si>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</si>
  <si>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</si>
  <si>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</si>
  <si>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</si>
  <si>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</si>
  <si>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</si>
  <si>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</si>
  <si>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</si>
  <si>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</si>
  <si>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</si>
  <si>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</si>
  <si>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</si>
  <si>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</si>
  <si>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</si>
  <si>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</si>
  <si>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</si>
  <si>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</si>
  <si>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</si>
  <si>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</si>
  <si>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</si>
  <si>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</si>
  <si>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</si>
  <si>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</si>
  <si>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</si>
  <si>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</si>
  <si>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</si>
  <si>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</si>
  <si>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</si>
  <si>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</si>
  <si>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</si>
  <si>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</si>
  <si>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</si>
  <si>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</si>
  <si>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</si>
  <si>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</si>
  <si>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</si>
  <si>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</si>
  <si>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</si>
  <si>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</si>
  <si>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</si>
  <si>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</si>
  <si>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</si>
  <si>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</si>
  <si>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</si>
  <si>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</si>
  <si>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</si>
  <si>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</si>
  <si>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</si>
  <si>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</si>
  <si>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</si>
  <si>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</si>
  <si>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</si>
  <si>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</si>
  <si>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</si>
  <si>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</si>
  <si>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</si>
  <si>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</si>
  <si>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</si>
  <si>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</si>
  <si>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</si>
  <si>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</si>
  <si>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</si>
  <si>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</si>
  <si>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</si>
  <si>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</si>
  <si>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</si>
  <si>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</si>
  <si>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</si>
  <si>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</si>
  <si>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</si>
  <si>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</si>
  <si>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</si>
  <si>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</si>
  <si>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</si>
  <si>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</si>
  <si>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</si>
  <si>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</si>
  <si>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</si>
  <si>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</si>
  <si>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</si>
  <si>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</si>
  <si>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</si>
  <si>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</si>
  <si>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</si>
  <si>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</si>
  <si>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</si>
  <si>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</si>
  <si>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</si>
  <si>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</si>
  <si>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</si>
  <si>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</si>
  <si>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</si>
  <si>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</si>
  <si>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</si>
  <si>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</si>
  <si>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</si>
  <si>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</si>
  <si>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</si>
  <si>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</si>
  <si>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</si>
  <si>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</si>
  <si>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</si>
  <si>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</si>
  <si>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</si>
  <si>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</si>
  <si>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</si>
  <si>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</si>
  <si>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</si>
  <si>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</si>
  <si>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</si>
  <si>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</si>
  <si>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</si>
  <si>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</si>
  <si>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</si>
  <si>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</si>
  <si>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</si>
  <si>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</si>
  <si>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</si>
  <si>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</si>
  <si>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</si>
  <si>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</si>
  <si>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</si>
  <si>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</si>
  <si>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</si>
  <si>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</si>
  <si>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</si>
  <si>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</si>
  <si>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</si>
  <si>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</si>
  <si>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</si>
  <si>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</si>
  <si>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</si>
  <si>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</si>
  <si>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</si>
  <si>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</si>
  <si>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</si>
  <si>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</si>
  <si>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</si>
  <si>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</si>
  <si>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</si>
  <si>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</si>
  <si>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</si>
  <si>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</si>
  <si>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</si>
  <si>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</si>
  <si>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</si>
  <si>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</si>
  <si>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</si>
  <si>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</si>
  <si>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</si>
  <si>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</si>
  <si>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</si>
  <si>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</si>
  <si>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</si>
  <si>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</si>
  <si>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</si>
  <si>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</si>
  <si>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</si>
  <si>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</si>
  <si>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</si>
  <si>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</si>
  <si>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</si>
  <si>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</si>
  <si>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</si>
  <si>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</si>
  <si>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</si>
  <si>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</si>
  <si>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</si>
  <si>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</si>
  <si>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</si>
  <si>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</si>
  <si>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</si>
  <si>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</si>
  <si>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</si>
  <si>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</si>
  <si>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</si>
  <si>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</si>
  <si>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</si>
  <si>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</si>
  <si>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</si>
  <si>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</si>
  <si>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</si>
  <si>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</si>
  <si>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</si>
  <si>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C31</t>
  </si>
  <si>
    <t>C32</t>
  </si>
  <si>
    <t>C33</t>
  </si>
  <si>
    <t>C34</t>
  </si>
  <si>
    <t>C35</t>
  </si>
  <si>
    <t>C36</t>
  </si>
  <si>
    <t>C37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</si>
  <si>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</si>
  <si>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</si>
  <si>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</si>
  <si>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</si>
  <si>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</si>
  <si>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</si>
  <si>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</si>
  <si>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</si>
  <si>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</si>
  <si>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</si>
  <si>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</si>
  <si>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</si>
  <si>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</si>
  <si>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</si>
  <si>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</si>
  <si>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</si>
  <si>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</si>
  <si>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</si>
  <si>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</si>
  <si>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</si>
  <si>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</si>
  <si>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</si>
  <si>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</si>
  <si>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</si>
  <si>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</si>
  <si>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</si>
  <si>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</si>
  <si>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</si>
  <si>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</si>
  <si>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</si>
  <si>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</si>
  <si>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</si>
  <si>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</si>
  <si>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</si>
  <si>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</si>
  <si>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</si>
  <si>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</si>
  <si>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</si>
  <si>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</si>
  <si>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</si>
  <si>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</si>
  <si>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</si>
  <si>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</si>
  <si>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</si>
  <si>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</si>
  <si>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</si>
  <si>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</si>
  <si>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</si>
  <si>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</si>
  <si>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</si>
  <si>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</si>
  <si>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</si>
  <si>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</si>
  <si>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</si>
  <si>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</si>
  <si>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</si>
  <si>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</si>
  <si>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</si>
  <si>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</si>
  <si>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</si>
  <si>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</si>
  <si>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</si>
  <si>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</si>
  <si>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</si>
  <si>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</si>
  <si>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</si>
  <si>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</si>
  <si>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</si>
  <si>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</si>
  <si>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</si>
  <si>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</si>
  <si>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</si>
  <si>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</si>
  <si>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</si>
  <si>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</si>
  <si>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</si>
  <si>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</si>
  <si>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</si>
  <si>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</si>
  <si>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</si>
  <si>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</si>
  <si>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</si>
  <si>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</si>
  <si>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</si>
  <si>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</si>
  <si>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</si>
  <si>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</si>
  <si>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</si>
  <si>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</si>
  <si>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</si>
  <si>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</si>
  <si>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</si>
  <si>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</si>
  <si>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</si>
  <si>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</si>
  <si>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</si>
  <si>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</si>
  <si>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</si>
  <si>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</si>
  <si>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</si>
  <si>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</si>
  <si>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</si>
  <si>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</si>
  <si>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</si>
  <si>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</si>
  <si>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</si>
  <si>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</si>
  <si>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</si>
  <si>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</si>
  <si>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</si>
  <si>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</si>
  <si>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</si>
  <si>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</si>
  <si>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</si>
  <si>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</si>
  <si>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</si>
  <si>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</si>
  <si>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</si>
  <si>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</si>
  <si>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</si>
  <si>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</si>
  <si>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</si>
  <si>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</si>
  <si>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</si>
  <si>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</si>
  <si>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</si>
  <si>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</si>
  <si>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</si>
  <si>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</si>
  <si>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</si>
  <si>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</si>
  <si>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</si>
  <si>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</si>
  <si>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</si>
  <si>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</si>
  <si>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</si>
  <si>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</si>
  <si>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</si>
  <si>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</si>
  <si>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</si>
  <si>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</si>
  <si>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</si>
  <si>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</si>
  <si>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</si>
  <si>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</si>
  <si>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</si>
  <si>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</si>
  <si>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</si>
  <si>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</si>
  <si>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</si>
  <si>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</si>
  <si>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</si>
  <si>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</si>
  <si>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</si>
  <si>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</si>
  <si>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</si>
  <si>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</si>
  <si>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</si>
  <si>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</si>
  <si>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</si>
  <si>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</si>
  <si>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</si>
  <si>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</si>
  <si>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</si>
  <si>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</si>
  <si>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</si>
  <si>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</si>
  <si>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</si>
  <si>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</si>
  <si>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</si>
  <si>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</si>
  <si>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</si>
  <si>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</si>
  <si>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</si>
  <si>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</si>
  <si>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</si>
  <si>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</si>
  <si>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</si>
  <si>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</si>
  <si>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</si>
  <si>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</si>
  <si>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</si>
  <si>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</si>
  <si>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</si>
  <si>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</si>
  <si>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</si>
  <si>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</si>
  <si>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</si>
  <si>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</si>
  <si>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</si>
  <si>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</si>
  <si>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</si>
  <si>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</si>
  <si>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</si>
  <si>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</si>
  <si>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</si>
  <si>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</si>
  <si>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</si>
  <si>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</si>
  <si>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</si>
  <si>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</si>
  <si>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</si>
  <si>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</si>
  <si>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</si>
  <si>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</si>
  <si>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</si>
  <si>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</si>
  <si>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</si>
  <si>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</si>
  <si>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</si>
  <si>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</si>
  <si>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</si>
  <si>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</si>
  <si>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</si>
  <si>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</si>
  <si>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</si>
  <si>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</si>
  <si>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</si>
  <si>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</si>
  <si>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</si>
  <si>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</si>
  <si>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</si>
  <si>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</si>
  <si>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</si>
  <si>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</si>
  <si>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</si>
  <si>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</si>
  <si>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</si>
  <si>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</si>
  <si>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</si>
  <si>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</si>
  <si>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</si>
  <si>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</si>
  <si>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</si>
  <si>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</si>
  <si>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</si>
  <si>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</si>
  <si>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</si>
  <si>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</si>
  <si>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</si>
  <si>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</si>
  <si>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</si>
  <si>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</si>
  <si>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</si>
  <si>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</si>
  <si>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</si>
  <si>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</si>
  <si>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</si>
  <si>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</si>
  <si>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</si>
  <si>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</si>
  <si>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</si>
  <si>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</si>
  <si>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</si>
  <si>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</si>
  <si>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</si>
  <si>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</si>
  <si>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</si>
  <si>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</si>
  <si>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</si>
  <si>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</si>
  <si>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</si>
  <si>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</si>
  <si>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</si>
  <si>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</si>
  <si>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</si>
  <si>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</si>
  <si>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</si>
  <si>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</si>
  <si>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</si>
  <si>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</si>
  <si>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</si>
  <si>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</si>
  <si>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</si>
  <si>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</si>
  <si>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</si>
  <si>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</si>
  <si>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</si>
  <si>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</si>
  <si>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</si>
  <si>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</si>
  <si>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</si>
  <si>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</si>
  <si>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</si>
  <si>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</si>
  <si>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</si>
  <si>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</si>
  <si>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</si>
  <si>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</si>
  <si>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</si>
  <si>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</si>
  <si>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</si>
  <si>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</si>
  <si>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</si>
  <si>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</si>
  <si>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</si>
  <si>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</si>
  <si>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</si>
  <si>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</si>
  <si>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</si>
  <si>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</si>
  <si>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</si>
  <si>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</si>
  <si>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</si>
  <si>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</si>
  <si>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</si>
  <si>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</si>
  <si>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</si>
  <si>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</si>
  <si>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</si>
  <si>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</si>
  <si>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</si>
  <si>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</si>
  <si>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</si>
  <si>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</si>
  <si>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</si>
  <si>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</si>
  <si>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</si>
  <si>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</si>
  <si>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</si>
  <si>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</si>
  <si>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</si>
  <si>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</si>
  <si>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</si>
  <si>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</si>
  <si>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</si>
  <si>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</si>
  <si>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</si>
  <si>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</si>
  <si>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</si>
  <si>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</si>
  <si>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</si>
  <si>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</si>
  <si>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</si>
  <si>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</si>
  <si>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</si>
  <si>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</si>
  <si>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</si>
  <si>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</si>
  <si>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</si>
  <si>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</si>
  <si>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</si>
  <si>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</si>
  <si>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</si>
  <si>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</si>
  <si>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</si>
  <si>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</si>
  <si>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</si>
  <si>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</si>
  <si>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</si>
  <si>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</si>
  <si>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</si>
  <si>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</si>
  <si>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</si>
  <si>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</si>
  <si>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</si>
  <si>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</si>
  <si>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</si>
  <si>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</si>
  <si>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</si>
  <si>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</si>
  <si>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</si>
  <si>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</si>
  <si>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</si>
  <si>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</si>
  <si>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</si>
  <si>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</si>
  <si>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</si>
  <si>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</si>
  <si>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</si>
  <si>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</si>
  <si>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</si>
  <si>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</si>
  <si>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</si>
  <si>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</si>
  <si>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</si>
  <si>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</si>
  <si>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</si>
  <si>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</si>
  <si>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</si>
  <si>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</si>
  <si>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</si>
  <si>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</si>
  <si>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</si>
  <si>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</si>
  <si>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</si>
  <si>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</si>
  <si>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</si>
  <si>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</si>
  <si>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</si>
  <si>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</si>
  <si>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</si>
  <si>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</si>
  <si>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</si>
  <si>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</si>
  <si>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</si>
  <si>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</si>
  <si>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</si>
  <si>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</si>
  <si>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</si>
  <si>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</si>
  <si>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</si>
  <si>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</si>
  <si>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</si>
  <si>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</si>
  <si>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</si>
  <si>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</si>
  <si>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</si>
  <si>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</si>
  <si>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</si>
  <si>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</si>
  <si>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</si>
  <si>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</si>
  <si>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</si>
  <si>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</si>
  <si>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</si>
  <si>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</si>
  <si>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</si>
  <si>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</si>
  <si>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</si>
  <si>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</si>
  <si>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</si>
  <si>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</si>
  <si>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</si>
  <si>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</si>
  <si>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</si>
  <si>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</si>
  <si>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</si>
  <si>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</si>
  <si>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</si>
  <si>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</si>
  <si>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</si>
  <si>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</si>
  <si>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</si>
  <si>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</si>
  <si>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</si>
  <si>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</si>
  <si>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</si>
  <si>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</si>
  <si>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</si>
  <si>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</si>
  <si>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</si>
  <si>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</si>
  <si>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</si>
  <si>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</si>
  <si>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</si>
  <si>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</si>
  <si>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</si>
  <si>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</si>
  <si>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</si>
  <si>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</si>
  <si>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</si>
  <si>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</si>
  <si>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</si>
  <si>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</si>
  <si>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</si>
  <si>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</si>
  <si>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</si>
  <si>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</si>
  <si>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</si>
  <si>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</si>
  <si>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</si>
  <si>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</si>
  <si>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</si>
  <si>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</si>
  <si>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</si>
  <si>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</si>
  <si>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</si>
  <si>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</si>
  <si>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</si>
  <si>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</si>
  <si>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</si>
  <si>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</si>
  <si>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</si>
  <si>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</si>
  <si>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</si>
  <si>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</si>
  <si>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</si>
  <si>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</si>
  <si>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</si>
  <si>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</si>
  <si>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</si>
  <si>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</si>
  <si>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</si>
  <si>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</si>
  <si>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</si>
  <si>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</si>
  <si>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</si>
  <si>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</si>
  <si>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</si>
  <si>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</si>
  <si>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</si>
  <si>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</si>
  <si>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</si>
  <si>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</si>
  <si>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</si>
  <si>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</si>
  <si>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</si>
  <si>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</si>
  <si>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</si>
  <si>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</si>
  <si>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</si>
  <si>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</si>
  <si>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</si>
  <si>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</si>
  <si>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</si>
  <si>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</si>
  <si>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</si>
  <si>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</si>
  <si>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</si>
  <si>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</si>
  <si>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</si>
  <si>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</si>
  <si>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</si>
  <si>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</si>
  <si>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</si>
  <si>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</si>
  <si>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</si>
  <si>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</si>
  <si>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</si>
  <si>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</si>
  <si>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</si>
  <si>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</si>
  <si>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</si>
  <si>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</si>
  <si>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</si>
  <si>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</si>
  <si>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</si>
  <si>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</si>
  <si>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</si>
  <si>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</si>
  <si>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</si>
  <si>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</si>
  <si>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</si>
  <si>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</si>
  <si>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</si>
  <si>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</si>
  <si>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</si>
  <si>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</si>
  <si>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</si>
  <si>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</si>
  <si>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</si>
  <si>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</si>
  <si>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</si>
  <si>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</si>
  <si>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</si>
  <si>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</si>
  <si>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</si>
  <si>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</si>
  <si>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</si>
  <si>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</si>
  <si>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</si>
  <si>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</si>
  <si>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</si>
  <si>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</si>
  <si>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</si>
  <si>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</si>
  <si>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</si>
  <si>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</si>
  <si>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</si>
  <si>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</si>
  <si>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</si>
  <si>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</si>
  <si>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</si>
  <si>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</si>
  <si>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</si>
  <si>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</si>
  <si>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</si>
  <si>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</si>
  <si>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</si>
  <si>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</si>
  <si>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</si>
  <si>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</si>
  <si>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</si>
  <si>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</si>
  <si>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</si>
  <si>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</si>
  <si>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</si>
  <si>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M1A4</t>
  </si>
  <si>
    <t>M2A4</t>
  </si>
  <si>
    <t>M3A4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</si>
  <si>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</si>
  <si>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</si>
  <si>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</si>
  <si>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</si>
  <si>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</si>
  <si>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</si>
  <si>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</si>
  <si>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</si>
  <si>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</si>
  <si>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</si>
  <si>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</si>
  <si>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</si>
  <si>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</si>
  <si>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</si>
  <si>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</si>
  <si>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</si>
  <si>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</si>
  <si>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</si>
  <si>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</si>
  <si>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</si>
  <si>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</si>
  <si>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</si>
  <si>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</si>
  <si>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</si>
  <si>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</si>
  <si>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</si>
  <si>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</si>
  <si>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</si>
  <si>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</si>
  <si>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</si>
  <si>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</si>
  <si>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</si>
  <si>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</si>
  <si>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</si>
  <si>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</si>
  <si>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</si>
  <si>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</si>
  <si>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</si>
  <si>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</si>
  <si>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A2SA1</t>
  </si>
  <si>
    <t>A4SA3</t>
  </si>
  <si>
    <t>D100</t>
  </si>
  <si>
    <t>C:\Program Files\Python311\python.exe</t>
  </si>
  <si>
    <t>[['Curitiba', 'Cascavel', 'Maringá', 'Londrina']]</t>
  </si>
  <si>
    <t>Sumário</t>
  </si>
  <si>
    <t>A1SA1</t>
  </si>
  <si>
    <t>['Curitiba', 'Cascavel', 'Maringá', 'Londrina']</t>
  </si>
  <si>
    <t>Maringá'</t>
  </si>
  <si>
    <t>Curitiba'</t>
  </si>
  <si>
    <t>[['Curitiba'], ['Cascavel'], ['Maringá', 'Londrina']]</t>
  </si>
  <si>
    <t>['Curitiba']</t>
  </si>
  <si>
    <t>A2SA2</t>
  </si>
  <si>
    <t>['Cascavel']</t>
  </si>
  <si>
    <t>Cascavel'</t>
  </si>
  <si>
    <t>A2SA3</t>
  </si>
  <si>
    <t>['Maringá', 'Londrina']</t>
  </si>
  <si>
    <t>[['Curitiba'], ['Cascavel', 'Maringá'], ['Londrina']]</t>
  </si>
  <si>
    <t>A3SA1</t>
  </si>
  <si>
    <t>A3SA2</t>
  </si>
  <si>
    <t>['Cascavel', 'Maringá']</t>
  </si>
  <si>
    <t>A3SA3</t>
  </si>
  <si>
    <t>['Londrina']</t>
  </si>
  <si>
    <t>Londrina'</t>
  </si>
  <si>
    <t>[['Curitiba'], ['Cascavel', 'Maringá', 'Londrina']]</t>
  </si>
  <si>
    <t>A4SA1</t>
  </si>
  <si>
    <t>A4SA2</t>
  </si>
  <si>
    <t>['Cascavel', 'Maringá', 'Londrina']</t>
  </si>
  <si>
    <t>A5</t>
  </si>
  <si>
    <t>[['Curitiba'], ['Cascavel', 'Londrina'], ['Maringá']]</t>
  </si>
  <si>
    <t>A5SA1</t>
  </si>
  <si>
    <t>A5SA2</t>
  </si>
  <si>
    <t>['Cascavel', 'Londrina']</t>
  </si>
  <si>
    <t>A5SA3</t>
  </si>
  <si>
    <t>['Maringá']</t>
  </si>
  <si>
    <t>A6</t>
  </si>
  <si>
    <t>[['Curitiba', 'Maringá'], ['Cascavel'], ['Londrina']]</t>
  </si>
  <si>
    <t>A6SA1</t>
  </si>
  <si>
    <t>['Curitiba', 'Maringá']</t>
  </si>
  <si>
    <t>A6SA2</t>
  </si>
  <si>
    <t>A6SA3</t>
  </si>
  <si>
    <t>A7</t>
  </si>
  <si>
    <t>[['Curitiba', 'Cascavel'], ['Maringá'], ['Londrina']]</t>
  </si>
  <si>
    <t>A7SA1</t>
  </si>
  <si>
    <t>['Curitiba', 'Cascavel']</t>
  </si>
  <si>
    <t>A7SA2</t>
  </si>
  <si>
    <t>A7SA3</t>
  </si>
  <si>
    <t>A8</t>
  </si>
  <si>
    <t>[['Curitiba', 'Maringá', 'Londrina'], ['Cascavel']]</t>
  </si>
  <si>
    <t>A8SA1</t>
  </si>
  <si>
    <t>['Curitiba', 'Maringá', 'Londrina']</t>
  </si>
  <si>
    <t>A8SA2</t>
  </si>
  <si>
    <t>A9</t>
  </si>
  <si>
    <t>[['Curitiba', 'Cascavel'], ['Maringá', 'Londrina']]</t>
  </si>
  <si>
    <t>A9SA1</t>
  </si>
  <si>
    <t>A9SA2</t>
  </si>
  <si>
    <t>A10</t>
  </si>
  <si>
    <t>[['Curitiba', 'Cascavel', 'Maringá'], ['Londrina']]</t>
  </si>
  <si>
    <t>A10SA1</t>
  </si>
  <si>
    <t>['Curitiba', 'Cascavel', 'Maringá']</t>
  </si>
  <si>
    <t>A10SA2</t>
  </si>
  <si>
    <t>A11</t>
  </si>
  <si>
    <t>[['Curitiba', 'Maringá'], ['Cascavel', 'Londrina']]</t>
  </si>
  <si>
    <t>A11SA1</t>
  </si>
  <si>
    <t>A11SA2</t>
  </si>
  <si>
    <t>A12</t>
  </si>
  <si>
    <t>[['Curitiba', 'Londrina'], ['Cascavel'], ['Maringá']]</t>
  </si>
  <si>
    <t>A12SA1</t>
  </si>
  <si>
    <t>['Curitiba', 'Londrina']</t>
  </si>
  <si>
    <t>A12SA2</t>
  </si>
  <si>
    <t>A12SA3</t>
  </si>
  <si>
    <t>A13</t>
  </si>
  <si>
    <t>[['Curitiba', 'Londrina'], ['Cascavel', 'Maringá']]</t>
  </si>
  <si>
    <t>A13SA1</t>
  </si>
  <si>
    <t>A13SA2</t>
  </si>
  <si>
    <t>A14</t>
  </si>
  <si>
    <t>[['Curitiba', 'Cascavel', 'Londrina'], ['Maringá']]</t>
  </si>
  <si>
    <t>A14SA1</t>
  </si>
  <si>
    <t>['Curitiba', 'Cascavel', 'Londrina']</t>
  </si>
  <si>
    <t>A14SA2</t>
  </si>
  <si>
    <t>Teste</t>
  </si>
  <si>
    <t>C:\Users\crist\Documents\Projetos\simulations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</si>
  <si>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</si>
  <si>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</si>
  <si>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</si>
  <si>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</si>
  <si>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</si>
  <si>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</si>
  <si>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</si>
  <si>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</si>
  <si>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</si>
  <si>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</si>
  <si>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</si>
  <si>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</si>
  <si>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</si>
  <si>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</si>
  <si>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</si>
  <si>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</si>
  <si>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</si>
  <si>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</si>
  <si>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</si>
  <si>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</si>
  <si>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</si>
  <si>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</si>
  <si>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</si>
  <si>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</si>
  <si>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</si>
  <si>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</si>
  <si>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</si>
  <si>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</si>
  <si>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</si>
  <si>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M1A2SA1RT1-A</t>
  </si>
  <si>
    <t>M1A2SA1RT1-B</t>
  </si>
  <si>
    <t>M1A2SA1RT1-C</t>
  </si>
  <si>
    <t>M1A2SA1RT2</t>
  </si>
  <si>
    <t>M1A2SA1RT3</t>
  </si>
  <si>
    <t>M1A2SA1RT4</t>
  </si>
  <si>
    <t>M1A2SA1RT5</t>
  </si>
  <si>
    <t>A2SA1(Consolidado)</t>
  </si>
  <si>
    <t>M1A2SA1</t>
  </si>
  <si>
    <t>M1A2SA2RT1-A</t>
  </si>
  <si>
    <t>M1A2SA2RT1-B</t>
  </si>
  <si>
    <t>M1A2SA2RT1-C</t>
  </si>
  <si>
    <t>M1A2SA2RT2</t>
  </si>
  <si>
    <t>M1A2SA2RT3</t>
  </si>
  <si>
    <t>M1A2SA2RT4</t>
  </si>
  <si>
    <t>M1A2SA2RT5</t>
  </si>
  <si>
    <t>A2SA2(Consolidado)</t>
  </si>
  <si>
    <t>M1A2SA2</t>
  </si>
  <si>
    <t>M1A2SA3RT1-A</t>
  </si>
  <si>
    <t>M1A2SA3RT1-B</t>
  </si>
  <si>
    <t>M1A2SA3RT1-C</t>
  </si>
  <si>
    <t>M1A2SA3RT2</t>
  </si>
  <si>
    <t>M1A2SA3RT3</t>
  </si>
  <si>
    <t>M1A2SA3RT4</t>
  </si>
  <si>
    <t>M1A2SA3RT5</t>
  </si>
  <si>
    <t>A2SA3(Consolidado)</t>
  </si>
  <si>
    <t>M1A2SA3</t>
  </si>
  <si>
    <t>A2(Consolidado)</t>
  </si>
  <si>
    <t>M2A2SA1RT1-A</t>
  </si>
  <si>
    <t>M2A2SA1RT1-B</t>
  </si>
  <si>
    <t>M2A2SA1RT1-C</t>
  </si>
  <si>
    <t>M2A2SA1RT2</t>
  </si>
  <si>
    <t>M2A2SA1RT3</t>
  </si>
  <si>
    <t>M2A2SA1RT4</t>
  </si>
  <si>
    <t>M2A2SA1RT5</t>
  </si>
  <si>
    <t>M2A2SA1</t>
  </si>
  <si>
    <t>M2A2SA2RT1-A</t>
  </si>
  <si>
    <t>M2A2SA2RT1-B</t>
  </si>
  <si>
    <t>M2A2SA2RT1-C</t>
  </si>
  <si>
    <t>M2A2SA2RT2</t>
  </si>
  <si>
    <t>M2A2SA2RT3</t>
  </si>
  <si>
    <t>M2A2SA2RT4</t>
  </si>
  <si>
    <t>M2A2SA2RT5</t>
  </si>
  <si>
    <t>M2A2SA2</t>
  </si>
  <si>
    <t>M2A2SA3RT1-A</t>
  </si>
  <si>
    <t>M2A2SA3RT1-B</t>
  </si>
  <si>
    <t>M2A2SA3RT1-C</t>
  </si>
  <si>
    <t>M2A2SA3RT2</t>
  </si>
  <si>
    <t>M2A2SA3RT3</t>
  </si>
  <si>
    <t>M2A2SA3RT4</t>
  </si>
  <si>
    <t>M2A2SA3RT5</t>
  </si>
  <si>
    <t>M2A2SA3</t>
  </si>
  <si>
    <t>M3A2SA1RT1-A</t>
  </si>
  <si>
    <t>M3A2SA1RT1-B</t>
  </si>
  <si>
    <t>M3A2SA1RT1-C</t>
  </si>
  <si>
    <t>M3A2SA1RT2</t>
  </si>
  <si>
    <t>M3A2SA1RT3</t>
  </si>
  <si>
    <t>M3A2SA1RT4</t>
  </si>
  <si>
    <t>M3A2SA1RT5</t>
  </si>
  <si>
    <t>M3A2SA1</t>
  </si>
  <si>
    <t>M3A2SA2RT1-A</t>
  </si>
  <si>
    <t>M3A2SA2RT1-B</t>
  </si>
  <si>
    <t>M3A2SA2RT1-C</t>
  </si>
  <si>
    <t>M3A2SA2RT2</t>
  </si>
  <si>
    <t>M3A2SA2RT3</t>
  </si>
  <si>
    <t>M3A2SA2RT4</t>
  </si>
  <si>
    <t>M3A2SA2RT5</t>
  </si>
  <si>
    <t>M3A2SA2</t>
  </si>
  <si>
    <t>M3A2SA3RT1-A</t>
  </si>
  <si>
    <t>M3A2SA3RT1-B</t>
  </si>
  <si>
    <t>M3A2SA3RT1-C</t>
  </si>
  <si>
    <t>M3A2SA3RT2</t>
  </si>
  <si>
    <t>M3A2SA3RT3</t>
  </si>
  <si>
    <t>M3A2SA3RT4</t>
  </si>
  <si>
    <t>M3A2SA3RT5</t>
  </si>
  <si>
    <t>M3A2SA3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</si>
  <si>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</si>
  <si>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</si>
  <si>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</si>
  <si>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</si>
  <si>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</si>
  <si>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</si>
  <si>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</si>
  <si>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</si>
  <si>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</si>
  <si>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</si>
  <si>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</si>
  <si>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</si>
  <si>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</si>
  <si>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</si>
  <si>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</si>
  <si>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</si>
  <si>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</si>
  <si>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</si>
  <si>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M1A3SA3RT1-A</t>
  </si>
  <si>
    <t>M1A3SA3RT1-B</t>
  </si>
  <si>
    <t>M1A3SA3RT1-C</t>
  </si>
  <si>
    <t>M1A3SA3RT2</t>
  </si>
  <si>
    <t>M1A3SA3RT3</t>
  </si>
  <si>
    <t>M1A3SA3RT4</t>
  </si>
  <si>
    <t>M1A3SA3RT5</t>
  </si>
  <si>
    <t>A3SA3(Consolidado)</t>
  </si>
  <si>
    <t>M1A3SA3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</si>
  <si>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</si>
  <si>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</si>
  <si>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</si>
  <si>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</si>
  <si>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</si>
  <si>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</si>
  <si>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</si>
  <si>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</si>
  <si>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</si>
  <si>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</si>
  <si>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</si>
  <si>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</si>
  <si>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</si>
  <si>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</si>
  <si>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</si>
  <si>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</si>
  <si>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</si>
  <si>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M2A3SA3RT1-A</t>
  </si>
  <si>
    <t>M2A3SA3RT1-B</t>
  </si>
  <si>
    <t>M2A3SA3RT1-C</t>
  </si>
  <si>
    <t>M2A3SA3RT2</t>
  </si>
  <si>
    <t>M2A3SA3RT3</t>
  </si>
  <si>
    <t>M2A3SA3RT4</t>
  </si>
  <si>
    <t>M2A3SA3RT5</t>
  </si>
  <si>
    <t>M2A3SA3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</si>
  <si>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</si>
  <si>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</si>
  <si>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</si>
  <si>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</si>
  <si>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</si>
  <si>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</si>
  <si>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</si>
  <si>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</si>
  <si>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</si>
  <si>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</si>
  <si>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</si>
  <si>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</si>
  <si>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</si>
  <si>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</si>
  <si>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</si>
  <si>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</si>
  <si>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M3A3SA3RT1-A</t>
  </si>
  <si>
    <t>M3A3SA3RT1-B</t>
  </si>
  <si>
    <t>M3A3SA3RT1-C</t>
  </si>
  <si>
    <t>M3A3SA3RT2</t>
  </si>
  <si>
    <t>M3A3SA3RT3</t>
  </si>
  <si>
    <t>M3A3SA3RT4</t>
  </si>
  <si>
    <t>M3A3SA3RT5</t>
  </si>
  <si>
    <t>M3A3SA3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</si>
  <si>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</si>
  <si>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</si>
  <si>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</si>
  <si>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</si>
  <si>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</si>
  <si>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</si>
  <si>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</si>
  <si>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</si>
  <si>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</si>
  <si>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</si>
  <si>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</si>
  <si>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</si>
  <si>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</si>
  <si>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</si>
  <si>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</si>
  <si>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</si>
  <si>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</si>
  <si>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</si>
  <si>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</si>
  <si>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</si>
  <si>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</si>
  <si>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</si>
  <si>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</si>
  <si>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</si>
  <si>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</si>
  <si>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</si>
  <si>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</si>
  <si>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</si>
  <si>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</si>
  <si>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</si>
  <si>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</si>
  <si>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</si>
  <si>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</si>
  <si>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</si>
  <si>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</si>
  <si>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</si>
  <si>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</si>
  <si>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</si>
  <si>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</si>
  <si>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</si>
  <si>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</si>
  <si>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</si>
  <si>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</si>
  <si>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</si>
  <si>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</si>
  <si>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</si>
  <si>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</si>
  <si>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</si>
  <si>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</si>
  <si>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</si>
  <si>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</si>
  <si>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28/04/2024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4.2.2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</si>
</sst>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6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6" fillId="6" borderId="0" xfId="0" applyFont="1" applyFill="1"/>
    <xf numFmtId="0" fontId="26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/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34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9" fontId="6" fillId="8" borderId="0" xfId="3" applyFont="1" applyFill="1" applyBorder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35" fillId="10" borderId="0" xfId="0" applyFont="1" applyFill="1" applyAlignment="1">
      <alignment horizontal="center" vertical="center" wrapText="1"/>
    </xf>
    <xf numFmtId="0" fontId="35" fillId="5" borderId="0" xfId="0" applyFont="1" applyFill="1" applyAlignment="1">
      <alignment vertical="center" wrapText="1"/>
    </xf>
    <xf numFmtId="0" fontId="35" fillId="5" borderId="0" xfId="0" applyFont="1" applyFill="1" applyAlignment="1">
      <alignment vertical="center"/>
    </xf>
    <xf numFmtId="0" fontId="36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7" fillId="0" borderId="0" xfId="0" applyNumberFormat="1" applyFont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 vertical="center"/>
    </xf>
    <xf numFmtId="166" fontId="37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/>
    </xf>
    <xf numFmtId="0" fontId="37" fillId="0" borderId="0" xfId="1" applyFont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39" fillId="0" borderId="0" xfId="0" applyFont="1" applyAlignment="1">
      <alignment horizontal="center"/>
    </xf>
    <xf numFmtId="2" fontId="39" fillId="0" borderId="0" xfId="3" applyNumberFormat="1" applyFont="1" applyFill="1" applyBorder="1" applyAlignment="1">
      <alignment horizontal="center" vertical="center"/>
    </xf>
    <xf numFmtId="9" fontId="6" fillId="12" borderId="0" xfId="3" applyFont="1" applyFill="1" applyBorder="1" applyAlignment="1">
      <alignment horizontal="center"/>
    </xf>
    <xf numFmtId="0" fontId="6" fillId="11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9" fontId="6" fillId="11" borderId="0" xfId="3" applyFont="1" applyFill="1" applyBorder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7" fillId="5" borderId="0" xfId="2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6" fillId="6" borderId="0" xfId="0" applyFont="1" applyFill="1" applyAlignment="1">
      <alignment horizontal="left" vertical="center"/>
    </xf>
    <xf numFmtId="0" fontId="28" fillId="6" borderId="0" xfId="0" applyFont="1" applyFill="1" applyAlignment="1">
      <alignment horizontal="right" vertical="center"/>
    </xf>
    <xf numFmtId="0" fontId="27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1424.5981623124785</c:v>
                </c:pt>
                <c:pt idx="1">
                  <c:v>569.77773752865039</c:v>
                </c:pt>
                <c:pt idx="2">
                  <c:v>606.81185774830374</c:v>
                </c:pt>
                <c:pt idx="3">
                  <c:v>662.3289606574117</c:v>
                </c:pt>
                <c:pt idx="4">
                  <c:v>1320.7101231274355</c:v>
                </c:pt>
                <c:pt idx="5">
                  <c:v>465.89051659732132</c:v>
                </c:pt>
                <c:pt idx="6">
                  <c:v>502.92463446074714</c:v>
                </c:pt>
                <c:pt idx="7">
                  <c:v>558.44136742179023</c:v>
                </c:pt>
                <c:pt idx="8">
                  <c:v>2112.0434589899769</c:v>
                </c:pt>
                <c:pt idx="9">
                  <c:v>323.62334613695708</c:v>
                </c:pt>
                <c:pt idx="10">
                  <c:v>417.91698251485906</c:v>
                </c:pt>
                <c:pt idx="11">
                  <c:v>380.19846588463594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1801.7766085718592</c:v>
                </c:pt>
                <c:pt idx="1">
                  <c:v>946.95363838756032</c:v>
                </c:pt>
                <c:pt idx="2">
                  <c:v>983.98784268494228</c:v>
                </c:pt>
                <c:pt idx="3">
                  <c:v>1039.50526767364</c:v>
                </c:pt>
                <c:pt idx="4">
                  <c:v>1801.7766085718592</c:v>
                </c:pt>
                <c:pt idx="5">
                  <c:v>946.95363838756032</c:v>
                </c:pt>
                <c:pt idx="6">
                  <c:v>983.98784268494228</c:v>
                </c:pt>
                <c:pt idx="7">
                  <c:v>1039.50526767364</c:v>
                </c:pt>
                <c:pt idx="8">
                  <c:v>2489.2199509475008</c:v>
                </c:pt>
                <c:pt idx="9">
                  <c:v>700.80016473583476</c:v>
                </c:pt>
                <c:pt idx="10">
                  <c:v>795.09371978407125</c:v>
                </c:pt>
                <c:pt idx="11">
                  <c:v>757.37571060687537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377.17844625938051</c:v>
                </c:pt>
                <c:pt idx="1">
                  <c:v>377.17590085890998</c:v>
                </c:pt>
                <c:pt idx="2">
                  <c:v>377.17598493663866</c:v>
                </c:pt>
                <c:pt idx="3">
                  <c:v>377.17630701622818</c:v>
                </c:pt>
                <c:pt idx="4">
                  <c:v>481.06648544442373</c:v>
                </c:pt>
                <c:pt idx="5">
                  <c:v>481.06312179023888</c:v>
                </c:pt>
                <c:pt idx="6">
                  <c:v>481.06320822419514</c:v>
                </c:pt>
                <c:pt idx="7">
                  <c:v>481.06390025184965</c:v>
                </c:pt>
                <c:pt idx="8">
                  <c:v>377.17649195752392</c:v>
                </c:pt>
                <c:pt idx="9">
                  <c:v>377.17681859887762</c:v>
                </c:pt>
                <c:pt idx="10">
                  <c:v>377.17673726921208</c:v>
                </c:pt>
                <c:pt idx="11">
                  <c:v>377.17724472223944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1424.5981623124785</c:v>
                </c:pt>
                <c:pt idx="1">
                  <c:v>569.77773752865039</c:v>
                </c:pt>
                <c:pt idx="2">
                  <c:v>606.81185774830374</c:v>
                </c:pt>
                <c:pt idx="3">
                  <c:v>662.3289606574117</c:v>
                </c:pt>
                <c:pt idx="4">
                  <c:v>1320.7101231274355</c:v>
                </c:pt>
                <c:pt idx="5">
                  <c:v>465.89051659732132</c:v>
                </c:pt>
                <c:pt idx="6">
                  <c:v>502.92463446074714</c:v>
                </c:pt>
                <c:pt idx="7">
                  <c:v>558.44136742179023</c:v>
                </c:pt>
                <c:pt idx="8">
                  <c:v>2112.0434589899769</c:v>
                </c:pt>
                <c:pt idx="9">
                  <c:v>323.62334613695708</c:v>
                </c:pt>
                <c:pt idx="10">
                  <c:v>417.91698251485906</c:v>
                </c:pt>
                <c:pt idx="11">
                  <c:v>380.19846588463594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1801.7766085718592</c:v>
                </c:pt>
                <c:pt idx="1">
                  <c:v>946.95363838756032</c:v>
                </c:pt>
                <c:pt idx="2">
                  <c:v>983.98784268494228</c:v>
                </c:pt>
                <c:pt idx="3">
                  <c:v>1039.50526767364</c:v>
                </c:pt>
                <c:pt idx="4">
                  <c:v>1801.7766085718592</c:v>
                </c:pt>
                <c:pt idx="5">
                  <c:v>946.95363838756032</c:v>
                </c:pt>
                <c:pt idx="6">
                  <c:v>983.98784268494228</c:v>
                </c:pt>
                <c:pt idx="7">
                  <c:v>1039.50526767364</c:v>
                </c:pt>
                <c:pt idx="8">
                  <c:v>2489.2199509475008</c:v>
                </c:pt>
                <c:pt idx="9">
                  <c:v>700.80016473583476</c:v>
                </c:pt>
                <c:pt idx="10">
                  <c:v>795.09371978407125</c:v>
                </c:pt>
                <c:pt idx="11">
                  <c:v>757.37571060687537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377.17844625938051</c:v>
                </c:pt>
                <c:pt idx="1">
                  <c:v>377.17590085890998</c:v>
                </c:pt>
                <c:pt idx="2">
                  <c:v>377.17598493663866</c:v>
                </c:pt>
                <c:pt idx="3">
                  <c:v>377.17630701622818</c:v>
                </c:pt>
                <c:pt idx="4">
                  <c:v>481.06648544442373</c:v>
                </c:pt>
                <c:pt idx="5">
                  <c:v>481.06312179023888</c:v>
                </c:pt>
                <c:pt idx="6">
                  <c:v>481.06320822419514</c:v>
                </c:pt>
                <c:pt idx="7">
                  <c:v>481.06390025184965</c:v>
                </c:pt>
                <c:pt idx="8">
                  <c:v>377.17649195752392</c:v>
                </c:pt>
                <c:pt idx="9">
                  <c:v>377.17681859887762</c:v>
                </c:pt>
                <c:pt idx="10">
                  <c:v>377.17673726921208</c:v>
                </c:pt>
                <c:pt idx="11">
                  <c:v>377.17724472223944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1424.5981623124785</c:v>
                </c:pt>
                <c:pt idx="1">
                  <c:v>569.77773752865039</c:v>
                </c:pt>
                <c:pt idx="2">
                  <c:v>606.81185774830374</c:v>
                </c:pt>
                <c:pt idx="3">
                  <c:v>662.3289606574117</c:v>
                </c:pt>
                <c:pt idx="4">
                  <c:v>1320.7101231274355</c:v>
                </c:pt>
                <c:pt idx="5">
                  <c:v>465.89051659732132</c:v>
                </c:pt>
                <c:pt idx="6">
                  <c:v>502.92463446074714</c:v>
                </c:pt>
                <c:pt idx="7">
                  <c:v>558.44136742179023</c:v>
                </c:pt>
                <c:pt idx="8">
                  <c:v>2112.0434589899769</c:v>
                </c:pt>
                <c:pt idx="9">
                  <c:v>323.62334613695708</c:v>
                </c:pt>
                <c:pt idx="10">
                  <c:v>417.91698251485906</c:v>
                </c:pt>
                <c:pt idx="11">
                  <c:v>380.19846588463594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1801.7766085718592</c:v>
                </c:pt>
                <c:pt idx="1">
                  <c:v>946.95363838756032</c:v>
                </c:pt>
                <c:pt idx="2">
                  <c:v>983.98784268494228</c:v>
                </c:pt>
                <c:pt idx="3">
                  <c:v>1039.50526767364</c:v>
                </c:pt>
                <c:pt idx="4">
                  <c:v>1801.7766085718592</c:v>
                </c:pt>
                <c:pt idx="5">
                  <c:v>946.95363838756032</c:v>
                </c:pt>
                <c:pt idx="6">
                  <c:v>983.98784268494228</c:v>
                </c:pt>
                <c:pt idx="7">
                  <c:v>1039.50526767364</c:v>
                </c:pt>
                <c:pt idx="8">
                  <c:v>2489.2199509475008</c:v>
                </c:pt>
                <c:pt idx="9">
                  <c:v>700.80016473583476</c:v>
                </c:pt>
                <c:pt idx="10">
                  <c:v>795.09371978407125</c:v>
                </c:pt>
                <c:pt idx="11">
                  <c:v>757.37571060687537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0.65189079908186809</c:v>
                </c:pt>
                <c:pt idx="1">
                  <c:v>1.4772630112932856</c:v>
                </c:pt>
                <c:pt idx="2">
                  <c:v>1.3975761007733902</c:v>
                </c:pt>
                <c:pt idx="3">
                  <c:v>1.267767944951053</c:v>
                </c:pt>
                <c:pt idx="4">
                  <c:v>0.78182975620748896</c:v>
                </c:pt>
                <c:pt idx="5">
                  <c:v>2.0296588223066983</c:v>
                </c:pt>
                <c:pt idx="6">
                  <c:v>1.892834250132138</c:v>
                </c:pt>
                <c:pt idx="7">
                  <c:v>1.6896438437684003</c:v>
                </c:pt>
                <c:pt idx="8">
                  <c:v>0.76004656123430092</c:v>
                </c:pt>
                <c:pt idx="9">
                  <c:v>3.8120463104702651</c:v>
                </c:pt>
                <c:pt idx="10">
                  <c:v>2.9830302947052965</c:v>
                </c:pt>
                <c:pt idx="11">
                  <c:v>2.8641322673811818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1424.5981623124785</c:v>
                </c:pt>
                <c:pt idx="1">
                  <c:v>569.77773752865039</c:v>
                </c:pt>
                <c:pt idx="2">
                  <c:v>606.81185774830374</c:v>
                </c:pt>
                <c:pt idx="3">
                  <c:v>662.3289606574117</c:v>
                </c:pt>
                <c:pt idx="4">
                  <c:v>1320.7101231274355</c:v>
                </c:pt>
                <c:pt idx="5">
                  <c:v>465.89051659732132</c:v>
                </c:pt>
                <c:pt idx="6">
                  <c:v>502.92463446074714</c:v>
                </c:pt>
                <c:pt idx="7">
                  <c:v>558.44136742179023</c:v>
                </c:pt>
                <c:pt idx="8">
                  <c:v>2112.0434589899769</c:v>
                </c:pt>
                <c:pt idx="9">
                  <c:v>323.62334613695708</c:v>
                </c:pt>
                <c:pt idx="10">
                  <c:v>417.91698251485906</c:v>
                </c:pt>
                <c:pt idx="11">
                  <c:v>380.19846588463594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0.65189079908186809</c:v>
                </c:pt>
                <c:pt idx="1">
                  <c:v>1.4772630112932856</c:v>
                </c:pt>
                <c:pt idx="2">
                  <c:v>1.3975761007733902</c:v>
                </c:pt>
                <c:pt idx="3">
                  <c:v>1.267767944951053</c:v>
                </c:pt>
                <c:pt idx="4">
                  <c:v>0.78182975620748896</c:v>
                </c:pt>
                <c:pt idx="5">
                  <c:v>2.0296588223066983</c:v>
                </c:pt>
                <c:pt idx="6">
                  <c:v>1.892834250132138</c:v>
                </c:pt>
                <c:pt idx="7">
                  <c:v>1.6896438437684003</c:v>
                </c:pt>
                <c:pt idx="8">
                  <c:v>0.76004656123430092</c:v>
                </c:pt>
                <c:pt idx="9">
                  <c:v>3.8120463104702651</c:v>
                </c:pt>
                <c:pt idx="10">
                  <c:v>2.9830302947052965</c:v>
                </c:pt>
                <c:pt idx="11">
                  <c:v>2.8641322673811818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3317141</c:v>
                </c:pt>
                <c:pt idx="1">
                  <c:v>3317141</c:v>
                </c:pt>
                <c:pt idx="2">
                  <c:v>3317141</c:v>
                </c:pt>
                <c:pt idx="3">
                  <c:v>3317141</c:v>
                </c:pt>
                <c:pt idx="4">
                  <c:v>3317141</c:v>
                </c:pt>
                <c:pt idx="5">
                  <c:v>3317141</c:v>
                </c:pt>
                <c:pt idx="6">
                  <c:v>3317141</c:v>
                </c:pt>
                <c:pt idx="7">
                  <c:v>3317141</c:v>
                </c:pt>
                <c:pt idx="8">
                  <c:v>3317141</c:v>
                </c:pt>
                <c:pt idx="9">
                  <c:v>3317141</c:v>
                </c:pt>
                <c:pt idx="10">
                  <c:v>3317141</c:v>
                </c:pt>
                <c:pt idx="11">
                  <c:v>3317141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1802.6839999999997</c:v>
                </c:pt>
                <c:pt idx="1">
                  <c:v>173.07329870808047</c:v>
                </c:pt>
                <c:pt idx="2">
                  <c:v>268.17135923712482</c:v>
                </c:pt>
                <c:pt idx="3">
                  <c:v>406.63186602604463</c:v>
                </c:pt>
                <c:pt idx="4">
                  <c:v>1802.6839999999997</c:v>
                </c:pt>
                <c:pt idx="5">
                  <c:v>173.07329870808047</c:v>
                </c:pt>
                <c:pt idx="6">
                  <c:v>268.17135923712482</c:v>
                </c:pt>
                <c:pt idx="7">
                  <c:v>406.63186602604463</c:v>
                </c:pt>
                <c:pt idx="8">
                  <c:v>1802.6839999999997</c:v>
                </c:pt>
                <c:pt idx="9">
                  <c:v>173.07329870808047</c:v>
                </c:pt>
                <c:pt idx="10">
                  <c:v>268.17135923712482</c:v>
                </c:pt>
                <c:pt idx="11">
                  <c:v>406.63186602604463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778.26708407572926</c:v>
                </c:pt>
                <c:pt idx="2">
                  <c:v>720.019324263057</c:v>
                </c:pt>
                <c:pt idx="3">
                  <c:v>635.2120141778845</c:v>
                </c:pt>
                <c:pt idx="4">
                  <c:v>0</c:v>
                </c:pt>
                <c:pt idx="5">
                  <c:v>778.26708407572926</c:v>
                </c:pt>
                <c:pt idx="6">
                  <c:v>720.019324263057</c:v>
                </c:pt>
                <c:pt idx="7">
                  <c:v>635.2120141778845</c:v>
                </c:pt>
                <c:pt idx="8">
                  <c:v>686.45399999999995</c:v>
                </c:pt>
                <c:pt idx="9">
                  <c:v>527.64181419821671</c:v>
                </c:pt>
                <c:pt idx="10">
                  <c:v>526.836578584584</c:v>
                </c:pt>
                <c:pt idx="11">
                  <c:v>350.66442748049064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13885251.956447791</c:v>
                </c:pt>
                <c:pt idx="1">
                  <c:v>13885255.944849033</c:v>
                </c:pt>
                <c:pt idx="2">
                  <c:v>13885251.956447801</c:v>
                </c:pt>
                <c:pt idx="3">
                  <c:v>13885251.956447802</c:v>
                </c:pt>
                <c:pt idx="4">
                  <c:v>13885251.956447791</c:v>
                </c:pt>
                <c:pt idx="5">
                  <c:v>13885255.944849033</c:v>
                </c:pt>
                <c:pt idx="6">
                  <c:v>13885251.956447801</c:v>
                </c:pt>
                <c:pt idx="7">
                  <c:v>13885251.956447802</c:v>
                </c:pt>
                <c:pt idx="8">
                  <c:v>13885251.956447791</c:v>
                </c:pt>
                <c:pt idx="9">
                  <c:v>13885255.944849033</c:v>
                </c:pt>
                <c:pt idx="10">
                  <c:v>13885251.956447801</c:v>
                </c:pt>
                <c:pt idx="11">
                  <c:v>13885251.956447802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2555580.6225842177</c:v>
                </c:pt>
                <c:pt idx="1">
                  <c:v>2555581.3566494645</c:v>
                </c:pt>
                <c:pt idx="2">
                  <c:v>2555580.6225842177</c:v>
                </c:pt>
                <c:pt idx="3">
                  <c:v>2555580.6225842182</c:v>
                </c:pt>
                <c:pt idx="4">
                  <c:v>2555580.6225842177</c:v>
                </c:pt>
                <c:pt idx="5">
                  <c:v>2555581.3566494645</c:v>
                </c:pt>
                <c:pt idx="6">
                  <c:v>2555580.6225842177</c:v>
                </c:pt>
                <c:pt idx="7">
                  <c:v>2555580.6225842182</c:v>
                </c:pt>
                <c:pt idx="8">
                  <c:v>2555580.6225842177</c:v>
                </c:pt>
                <c:pt idx="9">
                  <c:v>2555581.3566494645</c:v>
                </c:pt>
                <c:pt idx="10">
                  <c:v>2555580.6225842177</c:v>
                </c:pt>
                <c:pt idx="11">
                  <c:v>2555580.6225842182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3317141</c:v>
                </c:pt>
                <c:pt idx="1">
                  <c:v>3317141</c:v>
                </c:pt>
                <c:pt idx="2">
                  <c:v>3317141</c:v>
                </c:pt>
                <c:pt idx="3">
                  <c:v>3317141</c:v>
                </c:pt>
                <c:pt idx="4">
                  <c:v>3317141</c:v>
                </c:pt>
                <c:pt idx="5">
                  <c:v>3317141</c:v>
                </c:pt>
                <c:pt idx="6">
                  <c:v>3317141</c:v>
                </c:pt>
                <c:pt idx="7">
                  <c:v>3317141</c:v>
                </c:pt>
                <c:pt idx="8">
                  <c:v>3317141</c:v>
                </c:pt>
                <c:pt idx="9">
                  <c:v>3317141</c:v>
                </c:pt>
                <c:pt idx="10">
                  <c:v>3317141</c:v>
                </c:pt>
                <c:pt idx="11">
                  <c:v>3317141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4054.5774732336968</c:v>
                </c:pt>
                <c:pt idx="1">
                  <c:v>4264.6323429267832</c:v>
                </c:pt>
                <c:pt idx="2">
                  <c:v>4350.236357662634</c:v>
                </c:pt>
                <c:pt idx="3">
                  <c:v>4361.6404141116527</c:v>
                </c:pt>
                <c:pt idx="4">
                  <c:v>4054.5774732336968</c:v>
                </c:pt>
                <c:pt idx="5">
                  <c:v>4264.6323429267832</c:v>
                </c:pt>
                <c:pt idx="6">
                  <c:v>4350.236357662634</c:v>
                </c:pt>
                <c:pt idx="7">
                  <c:v>4361.6404141116527</c:v>
                </c:pt>
                <c:pt idx="8">
                  <c:v>3945.5572393000493</c:v>
                </c:pt>
                <c:pt idx="9">
                  <c:v>4094.7233794950916</c:v>
                </c:pt>
                <c:pt idx="10">
                  <c:v>4180.3274197154478</c:v>
                </c:pt>
                <c:pt idx="11">
                  <c:v>4219.8668882560432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372.88752005541562</c:v>
                </c:pt>
                <c:pt idx="1">
                  <c:v>587.87744538993547</c:v>
                </c:pt>
                <c:pt idx="2">
                  <c:v>579.07368156405096</c:v>
                </c:pt>
                <c:pt idx="3">
                  <c:v>535.57287305077375</c:v>
                </c:pt>
                <c:pt idx="4">
                  <c:v>372.88752005541562</c:v>
                </c:pt>
                <c:pt idx="5">
                  <c:v>587.87744538993547</c:v>
                </c:pt>
                <c:pt idx="6">
                  <c:v>579.07368156405096</c:v>
                </c:pt>
                <c:pt idx="7">
                  <c:v>535.57287305077375</c:v>
                </c:pt>
                <c:pt idx="8">
                  <c:v>512.20139624188789</c:v>
                </c:pt>
                <c:pt idx="9">
                  <c:v>529.82580579890021</c:v>
                </c:pt>
                <c:pt idx="10">
                  <c:v>532.50567613073304</c:v>
                </c:pt>
                <c:pt idx="11">
                  <c:v>475.19723609747473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13885251.956447791</c:v>
                </c:pt>
                <c:pt idx="1">
                  <c:v>13885255.944849033</c:v>
                </c:pt>
                <c:pt idx="2">
                  <c:v>13885251.956447801</c:v>
                </c:pt>
                <c:pt idx="3">
                  <c:v>13885251.956447802</c:v>
                </c:pt>
                <c:pt idx="4">
                  <c:v>13885251.956447791</c:v>
                </c:pt>
                <c:pt idx="5">
                  <c:v>13885255.944849033</c:v>
                </c:pt>
                <c:pt idx="6">
                  <c:v>13885251.956447801</c:v>
                </c:pt>
                <c:pt idx="7">
                  <c:v>13885251.956447802</c:v>
                </c:pt>
                <c:pt idx="8">
                  <c:v>13885251.956447791</c:v>
                </c:pt>
                <c:pt idx="9">
                  <c:v>13885255.944849033</c:v>
                </c:pt>
                <c:pt idx="10">
                  <c:v>13885251.956447801</c:v>
                </c:pt>
                <c:pt idx="11">
                  <c:v>13885251.956447802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13885251.956447791</c:v>
                </c:pt>
                <c:pt idx="1">
                  <c:v>13885255.944849033</c:v>
                </c:pt>
                <c:pt idx="2">
                  <c:v>13885251.956447801</c:v>
                </c:pt>
                <c:pt idx="3">
                  <c:v>13885251.956447802</c:v>
                </c:pt>
                <c:pt idx="4">
                  <c:v>13885251.956447791</c:v>
                </c:pt>
                <c:pt idx="5">
                  <c:v>13885255.944849033</c:v>
                </c:pt>
                <c:pt idx="6">
                  <c:v>13885251.956447801</c:v>
                </c:pt>
                <c:pt idx="7">
                  <c:v>13885251.956447802</c:v>
                </c:pt>
                <c:pt idx="8">
                  <c:v>13885251.956447791</c:v>
                </c:pt>
                <c:pt idx="9">
                  <c:v>13885255.944849033</c:v>
                </c:pt>
                <c:pt idx="10">
                  <c:v>13885251.956447801</c:v>
                </c:pt>
                <c:pt idx="11">
                  <c:v>13885251.956447802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377.17844625938051</c:v>
                </c:pt>
                <c:pt idx="1">
                  <c:v>377.17590085890998</c:v>
                </c:pt>
                <c:pt idx="2">
                  <c:v>377.17598493663866</c:v>
                </c:pt>
                <c:pt idx="3">
                  <c:v>377.17630701622818</c:v>
                </c:pt>
                <c:pt idx="4">
                  <c:v>481.06648544442373</c:v>
                </c:pt>
                <c:pt idx="5">
                  <c:v>481.06312179023888</c:v>
                </c:pt>
                <c:pt idx="6">
                  <c:v>481.06320822419514</c:v>
                </c:pt>
                <c:pt idx="7">
                  <c:v>481.06390025184965</c:v>
                </c:pt>
                <c:pt idx="8">
                  <c:v>377.17649195752392</c:v>
                </c:pt>
                <c:pt idx="9">
                  <c:v>377.17681859887762</c:v>
                </c:pt>
                <c:pt idx="10">
                  <c:v>377.17673726921208</c:v>
                </c:pt>
                <c:pt idx="11">
                  <c:v>377.17724472223944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1424.5981623124785</c:v>
                </c:pt>
                <c:pt idx="1">
                  <c:v>569.77773752865039</c:v>
                </c:pt>
                <c:pt idx="2">
                  <c:v>606.81185774830374</c:v>
                </c:pt>
                <c:pt idx="3">
                  <c:v>662.3289606574117</c:v>
                </c:pt>
                <c:pt idx="4">
                  <c:v>1320.7101231274355</c:v>
                </c:pt>
                <c:pt idx="5">
                  <c:v>465.89051659732132</c:v>
                </c:pt>
                <c:pt idx="6">
                  <c:v>502.92463446074714</c:v>
                </c:pt>
                <c:pt idx="7">
                  <c:v>558.44136742179023</c:v>
                </c:pt>
                <c:pt idx="8">
                  <c:v>2112.0434589899769</c:v>
                </c:pt>
                <c:pt idx="9">
                  <c:v>323.62334613695708</c:v>
                </c:pt>
                <c:pt idx="10">
                  <c:v>417.91698251485906</c:v>
                </c:pt>
                <c:pt idx="11">
                  <c:v>380.19846588463594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0.65189079908186809</c:v>
                </c:pt>
                <c:pt idx="1">
                  <c:v>1.4772630112932856</c:v>
                </c:pt>
                <c:pt idx="2">
                  <c:v>1.3975761007733902</c:v>
                </c:pt>
                <c:pt idx="3">
                  <c:v>1.267767944951053</c:v>
                </c:pt>
                <c:pt idx="4">
                  <c:v>0.78182975620748896</c:v>
                </c:pt>
                <c:pt idx="5">
                  <c:v>2.0296588223066983</c:v>
                </c:pt>
                <c:pt idx="6">
                  <c:v>1.892834250132138</c:v>
                </c:pt>
                <c:pt idx="7">
                  <c:v>1.6896438437684003</c:v>
                </c:pt>
                <c:pt idx="8">
                  <c:v>0.76004656123430092</c:v>
                </c:pt>
                <c:pt idx="9">
                  <c:v>3.8120463104702651</c:v>
                </c:pt>
                <c:pt idx="10">
                  <c:v>2.9830302947052965</c:v>
                </c:pt>
                <c:pt idx="11">
                  <c:v>2.8641322673811818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351.49885406353906</c:v>
                </c:pt>
                <c:pt idx="1">
                  <c:v>264.52788740134451</c:v>
                </c:pt>
                <c:pt idx="2">
                  <c:v>270.88198444447823</c:v>
                </c:pt>
                <c:pt idx="3">
                  <c:v>262.49654175822496</c:v>
                </c:pt>
                <c:pt idx="4">
                  <c:v>351.49885406353906</c:v>
                </c:pt>
                <c:pt idx="5">
                  <c:v>264.52788740134451</c:v>
                </c:pt>
                <c:pt idx="6">
                  <c:v>270.88198444447823</c:v>
                </c:pt>
                <c:pt idx="7">
                  <c:v>262.49654175822502</c:v>
                </c:pt>
                <c:pt idx="8">
                  <c:v>1028.0697421782111</c:v>
                </c:pt>
                <c:pt idx="9">
                  <c:v>656.48257596974508</c:v>
                </c:pt>
                <c:pt idx="10">
                  <c:v>669.47450156982484</c:v>
                </c:pt>
                <c:pt idx="11">
                  <c:v>511.75487285172574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59.589502147500106</c:v>
                </c:pt>
                <c:pt idx="1">
                  <c:v>79.356285111023126</c:v>
                </c:pt>
                <c:pt idx="2">
                  <c:v>80.247170122856502</c:v>
                </c:pt>
                <c:pt idx="3">
                  <c:v>73.277552723557122</c:v>
                </c:pt>
                <c:pt idx="4">
                  <c:v>59.589502147500106</c:v>
                </c:pt>
                <c:pt idx="5">
                  <c:v>79.356285111023126</c:v>
                </c:pt>
                <c:pt idx="6">
                  <c:v>80.247170122856502</c:v>
                </c:pt>
                <c:pt idx="7">
                  <c:v>73.277552723557122</c:v>
                </c:pt>
                <c:pt idx="8">
                  <c:v>641.70714129999999</c:v>
                </c:pt>
                <c:pt idx="9">
                  <c:v>512.12433829503482</c:v>
                </c:pt>
                <c:pt idx="10">
                  <c:v>511.46730629609135</c:v>
                </c:pt>
                <c:pt idx="11">
                  <c:v>367.71963960270637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35.01811690763968</c:v>
                </c:pt>
                <c:pt idx="1">
                  <c:v>49.593527826229447</c:v>
                </c:pt>
                <c:pt idx="2">
                  <c:v>49.805653017970052</c:v>
                </c:pt>
                <c:pt idx="3">
                  <c:v>40.744778572167085</c:v>
                </c:pt>
                <c:pt idx="4">
                  <c:v>35.01811690763968</c:v>
                </c:pt>
                <c:pt idx="5">
                  <c:v>49.593527826229447</c:v>
                </c:pt>
                <c:pt idx="6">
                  <c:v>49.805653017970052</c:v>
                </c:pt>
                <c:pt idx="7">
                  <c:v>40.744778572167085</c:v>
                </c:pt>
                <c:pt idx="8">
                  <c:v>31.649489469889229</c:v>
                </c:pt>
                <c:pt idx="9">
                  <c:v>44.49532399766364</c:v>
                </c:pt>
                <c:pt idx="10">
                  <c:v>44.707448950635552</c:v>
                </c:pt>
                <c:pt idx="11">
                  <c:v>36.110131649483485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256.89123500839924</c:v>
                </c:pt>
                <c:pt idx="1">
                  <c:v>135.57807446409194</c:v>
                </c:pt>
                <c:pt idx="2">
                  <c:v>140.82916130365166</c:v>
                </c:pt>
                <c:pt idx="3">
                  <c:v>148.47421046250076</c:v>
                </c:pt>
                <c:pt idx="4">
                  <c:v>256.89123500839924</c:v>
                </c:pt>
                <c:pt idx="5">
                  <c:v>135.57807446409194</c:v>
                </c:pt>
                <c:pt idx="6">
                  <c:v>140.82916130365166</c:v>
                </c:pt>
                <c:pt idx="7">
                  <c:v>148.47421046250079</c:v>
                </c:pt>
                <c:pt idx="8">
                  <c:v>354.71311140832199</c:v>
                </c:pt>
                <c:pt idx="9">
                  <c:v>99.862913677046606</c:v>
                </c:pt>
                <c:pt idx="10">
                  <c:v>113.29974632309802</c:v>
                </c:pt>
                <c:pt idx="11">
                  <c:v>107.92510159953592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13885251.956447791</c:v>
                </c:pt>
                <c:pt idx="1">
                  <c:v>13885255.944849033</c:v>
                </c:pt>
                <c:pt idx="2">
                  <c:v>13885251.956447801</c:v>
                </c:pt>
                <c:pt idx="3">
                  <c:v>13885251.956447802</c:v>
                </c:pt>
                <c:pt idx="4">
                  <c:v>13885251.956447791</c:v>
                </c:pt>
                <c:pt idx="5">
                  <c:v>13885255.944849033</c:v>
                </c:pt>
                <c:pt idx="6">
                  <c:v>13885251.956447801</c:v>
                </c:pt>
                <c:pt idx="7">
                  <c:v>13885251.956447802</c:v>
                </c:pt>
                <c:pt idx="8">
                  <c:v>13885251.956447791</c:v>
                </c:pt>
                <c:pt idx="9">
                  <c:v>13885255.944849033</c:v>
                </c:pt>
                <c:pt idx="10">
                  <c:v>13885251.956447801</c:v>
                </c:pt>
                <c:pt idx="11">
                  <c:v>13885251.956447802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59.589502147500106</c:v>
                </c:pt>
                <c:pt idx="1">
                  <c:v>79.356285111023126</c:v>
                </c:pt>
                <c:pt idx="2">
                  <c:v>80.247170122856502</c:v>
                </c:pt>
                <c:pt idx="3">
                  <c:v>73.277552723557122</c:v>
                </c:pt>
                <c:pt idx="4">
                  <c:v>59.589502147500106</c:v>
                </c:pt>
                <c:pt idx="5">
                  <c:v>79.356285111023126</c:v>
                </c:pt>
                <c:pt idx="6">
                  <c:v>80.247170122856502</c:v>
                </c:pt>
                <c:pt idx="7">
                  <c:v>73.277552723557122</c:v>
                </c:pt>
                <c:pt idx="8">
                  <c:v>641.70714129999999</c:v>
                </c:pt>
                <c:pt idx="9">
                  <c:v>512.12433829503482</c:v>
                </c:pt>
                <c:pt idx="10">
                  <c:v>511.46730629609135</c:v>
                </c:pt>
                <c:pt idx="11">
                  <c:v>367.71963960270637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59.589502147500106</c:v>
                </c:pt>
                <c:pt idx="1">
                  <c:v>79.356285111023126</c:v>
                </c:pt>
                <c:pt idx="2">
                  <c:v>80.247170122856502</c:v>
                </c:pt>
                <c:pt idx="3">
                  <c:v>73.277552723557122</c:v>
                </c:pt>
                <c:pt idx="4">
                  <c:v>59.589502147500106</c:v>
                </c:pt>
                <c:pt idx="5">
                  <c:v>79.356285111023126</c:v>
                </c:pt>
                <c:pt idx="6">
                  <c:v>80.247170122856502</c:v>
                </c:pt>
                <c:pt idx="7">
                  <c:v>73.277552723557122</c:v>
                </c:pt>
                <c:pt idx="8">
                  <c:v>641.70714129999999</c:v>
                </c:pt>
                <c:pt idx="9">
                  <c:v>512.12433829503482</c:v>
                </c:pt>
                <c:pt idx="10">
                  <c:v>511.46730629609135</c:v>
                </c:pt>
                <c:pt idx="11">
                  <c:v>367.71963960270637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99A7272-40D8-4481-A88B-1A6A6865DDE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1D0F77-657D-4C1D-8F9E-C47D52A74E5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818F4E-AEF4-4F23-A709-43D704B0F2B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E51F81-2335-4543-BA1C-0333E42D57D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1424.5981623124785</c:v>
                </c:pt>
                <c:pt idx="1">
                  <c:v>569.77773752865039</c:v>
                </c:pt>
                <c:pt idx="2">
                  <c:v>606.81185774830374</c:v>
                </c:pt>
                <c:pt idx="3">
                  <c:v>662.3289606574117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0.65189079908186809</c:v>
                </c:pt>
                <c:pt idx="1">
                  <c:v>1.4772630112932856</c:v>
                </c:pt>
                <c:pt idx="2">
                  <c:v>1.3975761007733902</c:v>
                </c:pt>
                <c:pt idx="3">
                  <c:v>1.267767944951053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A3FA048-A7F8-4EFC-987A-2323AD6CFED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9AD492-22E8-4710-B276-518E9E3E50B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BD43AC-2D2A-448F-8CEC-DB62BF00FC6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CEF851-B4E3-4519-8AD4-1F181FAEA45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1320.7101231274355</c:v>
                </c:pt>
                <c:pt idx="1">
                  <c:v>465.89051659732132</c:v>
                </c:pt>
                <c:pt idx="2">
                  <c:v>502.92463446074714</c:v>
                </c:pt>
                <c:pt idx="3">
                  <c:v>558.44136742179023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0.78182975620748896</c:v>
                </c:pt>
                <c:pt idx="1">
                  <c:v>2.0296588223066983</c:v>
                </c:pt>
                <c:pt idx="2">
                  <c:v>1.892834250132138</c:v>
                </c:pt>
                <c:pt idx="3">
                  <c:v>1.6896438437684003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7F2ED70-231B-4386-8BDC-7F23E4FE3D6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1F91FD-433E-44E1-A31C-B1F9ADA5BA1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F4D8E7-008E-49D0-82EC-32F61A0C9AF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03B04A-32F6-4BC1-8441-50CD45F57E5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2112.0434589899769</c:v>
                </c:pt>
                <c:pt idx="1">
                  <c:v>323.62334613695708</c:v>
                </c:pt>
                <c:pt idx="2">
                  <c:v>417.91698251485906</c:v>
                </c:pt>
                <c:pt idx="3">
                  <c:v>380.19846588463594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0.76004656123430092</c:v>
                </c:pt>
                <c:pt idx="1">
                  <c:v>3.8120463104702651</c:v>
                </c:pt>
                <c:pt idx="2">
                  <c:v>2.9830302947052965</c:v>
                </c:pt>
                <c:pt idx="3">
                  <c:v>2.8641322673811818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1801.7766085718592</c:v>
                </c:pt>
                <c:pt idx="1">
                  <c:v>946.95363838756032</c:v>
                </c:pt>
                <c:pt idx="2">
                  <c:v>983.98784268494228</c:v>
                </c:pt>
                <c:pt idx="3">
                  <c:v>1039.50526767364</c:v>
                </c:pt>
                <c:pt idx="4">
                  <c:v>1801.7766085718592</c:v>
                </c:pt>
                <c:pt idx="5">
                  <c:v>946.95363838756032</c:v>
                </c:pt>
                <c:pt idx="6">
                  <c:v>983.98784268494228</c:v>
                </c:pt>
                <c:pt idx="7">
                  <c:v>1039.50526767364</c:v>
                </c:pt>
                <c:pt idx="8">
                  <c:v>2489.2199509475008</c:v>
                </c:pt>
                <c:pt idx="9">
                  <c:v>700.80016473583476</c:v>
                </c:pt>
                <c:pt idx="10">
                  <c:v>795.09371978407125</c:v>
                </c:pt>
                <c:pt idx="11">
                  <c:v>757.37571060687537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1424.5981623124785</c:v>
                </c:pt>
                <c:pt idx="1">
                  <c:v>569.77773752865039</c:v>
                </c:pt>
                <c:pt idx="2">
                  <c:v>606.81185774830374</c:v>
                </c:pt>
                <c:pt idx="3">
                  <c:v>662.3289606574117</c:v>
                </c:pt>
                <c:pt idx="4">
                  <c:v>1320.7101231274355</c:v>
                </c:pt>
                <c:pt idx="5">
                  <c:v>465.89051659732132</c:v>
                </c:pt>
                <c:pt idx="6">
                  <c:v>502.92463446074714</c:v>
                </c:pt>
                <c:pt idx="7">
                  <c:v>558.44136742179023</c:v>
                </c:pt>
                <c:pt idx="8">
                  <c:v>2112.0434589899769</c:v>
                </c:pt>
                <c:pt idx="9">
                  <c:v>323.62334613695708</c:v>
                </c:pt>
                <c:pt idx="10">
                  <c:v>417.91698251485906</c:v>
                </c:pt>
                <c:pt idx="11">
                  <c:v>380.19846588463594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351.49885406353906</c:v>
                </c:pt>
                <c:pt idx="1">
                  <c:v>264.52788740134451</c:v>
                </c:pt>
                <c:pt idx="2">
                  <c:v>270.88198444447823</c:v>
                </c:pt>
                <c:pt idx="3">
                  <c:v>262.49654175822496</c:v>
                </c:pt>
                <c:pt idx="4">
                  <c:v>351.49885406353906</c:v>
                </c:pt>
                <c:pt idx="5">
                  <c:v>264.52788740134451</c:v>
                </c:pt>
                <c:pt idx="6">
                  <c:v>270.88198444447823</c:v>
                </c:pt>
                <c:pt idx="7">
                  <c:v>262.49654175822502</c:v>
                </c:pt>
                <c:pt idx="8">
                  <c:v>1028.0697421782111</c:v>
                </c:pt>
                <c:pt idx="9">
                  <c:v>656.48257596974508</c:v>
                </c:pt>
                <c:pt idx="10">
                  <c:v>669.47450156982484</c:v>
                </c:pt>
                <c:pt idx="11">
                  <c:v>511.75487285172574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1801.7766085718592</c:v>
                </c:pt>
                <c:pt idx="1">
                  <c:v>946.95363838756032</c:v>
                </c:pt>
                <c:pt idx="2">
                  <c:v>983.98784268494228</c:v>
                </c:pt>
                <c:pt idx="3">
                  <c:v>1039.50526767364</c:v>
                </c:pt>
                <c:pt idx="4">
                  <c:v>1801.7766085718592</c:v>
                </c:pt>
                <c:pt idx="5">
                  <c:v>946.95363838756032</c:v>
                </c:pt>
                <c:pt idx="6">
                  <c:v>983.98784268494228</c:v>
                </c:pt>
                <c:pt idx="7">
                  <c:v>1039.50526767364</c:v>
                </c:pt>
                <c:pt idx="8">
                  <c:v>2489.2199509475008</c:v>
                </c:pt>
                <c:pt idx="9">
                  <c:v>700.80016473583476</c:v>
                </c:pt>
                <c:pt idx="10">
                  <c:v>795.09371978407125</c:v>
                </c:pt>
                <c:pt idx="11">
                  <c:v>757.37571060687537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1424.5981623124785</c:v>
                </c:pt>
                <c:pt idx="1">
                  <c:v>569.77773752865039</c:v>
                </c:pt>
                <c:pt idx="2">
                  <c:v>606.81185774830374</c:v>
                </c:pt>
                <c:pt idx="3">
                  <c:v>662.3289606574117</c:v>
                </c:pt>
                <c:pt idx="4">
                  <c:v>1320.7101231274355</c:v>
                </c:pt>
                <c:pt idx="5">
                  <c:v>465.89051659732132</c:v>
                </c:pt>
                <c:pt idx="6">
                  <c:v>502.92463446074714</c:v>
                </c:pt>
                <c:pt idx="7">
                  <c:v>558.44136742179023</c:v>
                </c:pt>
                <c:pt idx="8">
                  <c:v>2112.0434589899769</c:v>
                </c:pt>
                <c:pt idx="9">
                  <c:v>323.62334613695708</c:v>
                </c:pt>
                <c:pt idx="10">
                  <c:v>417.91698251485906</c:v>
                </c:pt>
                <c:pt idx="11">
                  <c:v>380.19846588463594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351.49885406353906</c:v>
                </c:pt>
                <c:pt idx="1">
                  <c:v>264.52788740134451</c:v>
                </c:pt>
                <c:pt idx="2">
                  <c:v>270.88198444447823</c:v>
                </c:pt>
                <c:pt idx="3">
                  <c:v>262.49654175822496</c:v>
                </c:pt>
                <c:pt idx="4">
                  <c:v>351.49885406353906</c:v>
                </c:pt>
                <c:pt idx="5">
                  <c:v>264.52788740134451</c:v>
                </c:pt>
                <c:pt idx="6">
                  <c:v>270.88198444447823</c:v>
                </c:pt>
                <c:pt idx="7">
                  <c:v>262.49654175822502</c:v>
                </c:pt>
                <c:pt idx="8">
                  <c:v>1028.0697421782111</c:v>
                </c:pt>
                <c:pt idx="9">
                  <c:v>656.48257596974508</c:v>
                </c:pt>
                <c:pt idx="10">
                  <c:v>669.47450156982484</c:v>
                </c:pt>
                <c:pt idx="11">
                  <c:v>511.75487285172574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0.65189079908186809</c:v>
                </c:pt>
                <c:pt idx="1">
                  <c:v>1.4772630112932856</c:v>
                </c:pt>
                <c:pt idx="2">
                  <c:v>1.3975761007733902</c:v>
                </c:pt>
                <c:pt idx="3">
                  <c:v>1.267767944951053</c:v>
                </c:pt>
                <c:pt idx="4">
                  <c:v>0.78182975620748896</c:v>
                </c:pt>
                <c:pt idx="5">
                  <c:v>2.0296588223066983</c:v>
                </c:pt>
                <c:pt idx="6">
                  <c:v>1.892834250132138</c:v>
                </c:pt>
                <c:pt idx="7">
                  <c:v>1.6896438437684003</c:v>
                </c:pt>
                <c:pt idx="8">
                  <c:v>0.76004656123430092</c:v>
                </c:pt>
                <c:pt idx="9">
                  <c:v>3.8120463104702651</c:v>
                </c:pt>
                <c:pt idx="10">
                  <c:v>2.9830302947052965</c:v>
                </c:pt>
                <c:pt idx="11">
                  <c:v>2.8641322673811818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35.01811690763968</c:v>
                </c:pt>
                <c:pt idx="1">
                  <c:v>49.593527826229447</c:v>
                </c:pt>
                <c:pt idx="2">
                  <c:v>49.805653017970052</c:v>
                </c:pt>
                <c:pt idx="3">
                  <c:v>40.744778572167085</c:v>
                </c:pt>
                <c:pt idx="4">
                  <c:v>35.01811690763968</c:v>
                </c:pt>
                <c:pt idx="5">
                  <c:v>49.593527826229447</c:v>
                </c:pt>
                <c:pt idx="6">
                  <c:v>49.805653017970052</c:v>
                </c:pt>
                <c:pt idx="7">
                  <c:v>40.744778572167085</c:v>
                </c:pt>
                <c:pt idx="8">
                  <c:v>31.649489469889229</c:v>
                </c:pt>
                <c:pt idx="9">
                  <c:v>44.49532399766364</c:v>
                </c:pt>
                <c:pt idx="10">
                  <c:v>44.707448950635552</c:v>
                </c:pt>
                <c:pt idx="11">
                  <c:v>36.110131649483485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14.590882044849867</c:v>
                </c:pt>
                <c:pt idx="1">
                  <c:v>20.663969927595605</c:v>
                </c:pt>
                <c:pt idx="2">
                  <c:v>20.752355424154185</c:v>
                </c:pt>
                <c:pt idx="3">
                  <c:v>16.976991071736286</c:v>
                </c:pt>
                <c:pt idx="4">
                  <c:v>14.590882044849867</c:v>
                </c:pt>
                <c:pt idx="5">
                  <c:v>20.663969927595605</c:v>
                </c:pt>
                <c:pt idx="6">
                  <c:v>20.752355424154185</c:v>
                </c:pt>
                <c:pt idx="7">
                  <c:v>16.976991071736286</c:v>
                </c:pt>
                <c:pt idx="8">
                  <c:v>13.187287279120511</c:v>
                </c:pt>
                <c:pt idx="9">
                  <c:v>18.539718332359847</c:v>
                </c:pt>
                <c:pt idx="10">
                  <c:v>18.62810372943148</c:v>
                </c:pt>
                <c:pt idx="11">
                  <c:v>15.045888187284785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20.427234862789813</c:v>
                </c:pt>
                <c:pt idx="1">
                  <c:v>28.929557898633842</c:v>
                </c:pt>
                <c:pt idx="2">
                  <c:v>29.053297593815863</c:v>
                </c:pt>
                <c:pt idx="3">
                  <c:v>23.767787500430799</c:v>
                </c:pt>
                <c:pt idx="4">
                  <c:v>20.427234862789813</c:v>
                </c:pt>
                <c:pt idx="5">
                  <c:v>28.929557898633842</c:v>
                </c:pt>
                <c:pt idx="6">
                  <c:v>29.053297593815863</c:v>
                </c:pt>
                <c:pt idx="7">
                  <c:v>23.767787500430799</c:v>
                </c:pt>
                <c:pt idx="8">
                  <c:v>18.462202190768718</c:v>
                </c:pt>
                <c:pt idx="9">
                  <c:v>25.955605665303789</c:v>
                </c:pt>
                <c:pt idx="10">
                  <c:v>26.079345221204068</c:v>
                </c:pt>
                <c:pt idx="11">
                  <c:v>21.064243462198696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256.89123500839924</c:v>
                </c:pt>
                <c:pt idx="1">
                  <c:v>135.57807446409194</c:v>
                </c:pt>
                <c:pt idx="2">
                  <c:v>140.82916130365166</c:v>
                </c:pt>
                <c:pt idx="3">
                  <c:v>148.47421046250076</c:v>
                </c:pt>
                <c:pt idx="4">
                  <c:v>256.89123500839924</c:v>
                </c:pt>
                <c:pt idx="5">
                  <c:v>135.57807446409194</c:v>
                </c:pt>
                <c:pt idx="6">
                  <c:v>140.82916130365166</c:v>
                </c:pt>
                <c:pt idx="7">
                  <c:v>148.47421046250079</c:v>
                </c:pt>
                <c:pt idx="8">
                  <c:v>354.71311140832199</c:v>
                </c:pt>
                <c:pt idx="9">
                  <c:v>99.862913677046606</c:v>
                </c:pt>
                <c:pt idx="10">
                  <c:v>113.29974632309802</c:v>
                </c:pt>
                <c:pt idx="11">
                  <c:v>107.92510159953592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90.137275441543579</c:v>
                </c:pt>
                <c:pt idx="1">
                  <c:v>47.571254197926997</c:v>
                </c:pt>
                <c:pt idx="2">
                  <c:v>49.413740808298833</c:v>
                </c:pt>
                <c:pt idx="3">
                  <c:v>52.096214197368688</c:v>
                </c:pt>
                <c:pt idx="4">
                  <c:v>90.137275441543579</c:v>
                </c:pt>
                <c:pt idx="5">
                  <c:v>47.571254197926997</c:v>
                </c:pt>
                <c:pt idx="6">
                  <c:v>49.413740808298826</c:v>
                </c:pt>
                <c:pt idx="7">
                  <c:v>52.096214197368695</c:v>
                </c:pt>
                <c:pt idx="8">
                  <c:v>124.46074084502528</c:v>
                </c:pt>
                <c:pt idx="9">
                  <c:v>35.039618834051439</c:v>
                </c:pt>
                <c:pt idx="10">
                  <c:v>39.754296955473002</c:v>
                </c:pt>
                <c:pt idx="11">
                  <c:v>37.868456701591562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166.75395956685563</c:v>
                </c:pt>
                <c:pt idx="1">
                  <c:v>88.006820266164937</c:v>
                </c:pt>
                <c:pt idx="2">
                  <c:v>91.415420495352834</c:v>
                </c:pt>
                <c:pt idx="3">
                  <c:v>96.377996265132069</c:v>
                </c:pt>
                <c:pt idx="4">
                  <c:v>166.75395956685563</c:v>
                </c:pt>
                <c:pt idx="5">
                  <c:v>88.006820266164937</c:v>
                </c:pt>
                <c:pt idx="6">
                  <c:v>91.415420495352834</c:v>
                </c:pt>
                <c:pt idx="7">
                  <c:v>96.377996265132083</c:v>
                </c:pt>
                <c:pt idx="8">
                  <c:v>230.25237056329675</c:v>
                </c:pt>
                <c:pt idx="9">
                  <c:v>64.823294842995168</c:v>
                </c:pt>
                <c:pt idx="10">
                  <c:v>73.545449367625025</c:v>
                </c:pt>
                <c:pt idx="11">
                  <c:v>70.056644897944366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13885251.956447791</c:v>
                </c:pt>
                <c:pt idx="1">
                  <c:v>13885255.944849033</c:v>
                </c:pt>
                <c:pt idx="2">
                  <c:v>13885251.956447801</c:v>
                </c:pt>
                <c:pt idx="3">
                  <c:v>13885251.956447802</c:v>
                </c:pt>
                <c:pt idx="4">
                  <c:v>13885251.956447791</c:v>
                </c:pt>
                <c:pt idx="5">
                  <c:v>13885255.944849033</c:v>
                </c:pt>
                <c:pt idx="6">
                  <c:v>13885251.956447801</c:v>
                </c:pt>
                <c:pt idx="7">
                  <c:v>13885251.956447802</c:v>
                </c:pt>
                <c:pt idx="8">
                  <c:v>13885251.956447791</c:v>
                </c:pt>
                <c:pt idx="9">
                  <c:v>13885255.944849033</c:v>
                </c:pt>
                <c:pt idx="10">
                  <c:v>13885251.956447801</c:v>
                </c:pt>
                <c:pt idx="11">
                  <c:v>13885251.956447802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123.00035822944251</c:v>
                </c:pt>
                <c:pt idx="1">
                  <c:v>123.0003582294425</c:v>
                </c:pt>
                <c:pt idx="2">
                  <c:v>123.00035822944251</c:v>
                </c:pt>
                <c:pt idx="3">
                  <c:v>123.0003582294425</c:v>
                </c:pt>
                <c:pt idx="4">
                  <c:v>123.00035822944251</c:v>
                </c:pt>
                <c:pt idx="5">
                  <c:v>123.0003582294425</c:v>
                </c:pt>
                <c:pt idx="6">
                  <c:v>123.00035822944251</c:v>
                </c:pt>
                <c:pt idx="7">
                  <c:v>123.0003582294425</c:v>
                </c:pt>
                <c:pt idx="8">
                  <c:v>123.00035822944251</c:v>
                </c:pt>
                <c:pt idx="9">
                  <c:v>123.0003582294425</c:v>
                </c:pt>
                <c:pt idx="10">
                  <c:v>123.00035822944251</c:v>
                </c:pt>
                <c:pt idx="11">
                  <c:v>123.0003582294425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254.17295395241484</c:v>
                </c:pt>
                <c:pt idx="1">
                  <c:v>254.16775458027249</c:v>
                </c:pt>
                <c:pt idx="2">
                  <c:v>254.16784603338155</c:v>
                </c:pt>
                <c:pt idx="3">
                  <c:v>254.16937222702504</c:v>
                </c:pt>
                <c:pt idx="4">
                  <c:v>358.06099313745824</c:v>
                </c:pt>
                <c:pt idx="5">
                  <c:v>358.05497551160158</c:v>
                </c:pt>
                <c:pt idx="6">
                  <c:v>358.05506932093806</c:v>
                </c:pt>
                <c:pt idx="7">
                  <c:v>358.05696546264653</c:v>
                </c:pt>
                <c:pt idx="8">
                  <c:v>254.17099968108604</c:v>
                </c:pt>
                <c:pt idx="9">
                  <c:v>254.16867231462913</c:v>
                </c:pt>
                <c:pt idx="10">
                  <c:v>254.16859836515832</c:v>
                </c:pt>
                <c:pt idx="11">
                  <c:v>254.17030991775269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13885251.956447791</c:v>
                </c:pt>
                <c:pt idx="1">
                  <c:v>13885255.944849033</c:v>
                </c:pt>
                <c:pt idx="2">
                  <c:v>13885251.956447801</c:v>
                </c:pt>
                <c:pt idx="3">
                  <c:v>13885251.956447802</c:v>
                </c:pt>
                <c:pt idx="4">
                  <c:v>13885251.956447791</c:v>
                </c:pt>
                <c:pt idx="5">
                  <c:v>13885255.944849033</c:v>
                </c:pt>
                <c:pt idx="6">
                  <c:v>13885251.956447801</c:v>
                </c:pt>
                <c:pt idx="7">
                  <c:v>13885251.956447802</c:v>
                </c:pt>
                <c:pt idx="8">
                  <c:v>13885251.956447791</c:v>
                </c:pt>
                <c:pt idx="9">
                  <c:v>13885255.944849033</c:v>
                </c:pt>
                <c:pt idx="10">
                  <c:v>13885251.956447801</c:v>
                </c:pt>
                <c:pt idx="11">
                  <c:v>13885251.956447802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1182332.6233946225</c:v>
                </c:pt>
                <c:pt idx="1">
                  <c:v>1182332.96300797</c:v>
                </c:pt>
                <c:pt idx="2">
                  <c:v>1182332.6233946229</c:v>
                </c:pt>
                <c:pt idx="3">
                  <c:v>1182332.6233946232</c:v>
                </c:pt>
                <c:pt idx="4">
                  <c:v>1182332.6233946225</c:v>
                </c:pt>
                <c:pt idx="5">
                  <c:v>1182332.96300797</c:v>
                </c:pt>
                <c:pt idx="6">
                  <c:v>1182332.6233946229</c:v>
                </c:pt>
                <c:pt idx="7">
                  <c:v>1182332.6233946232</c:v>
                </c:pt>
                <c:pt idx="8">
                  <c:v>1182332.6233946225</c:v>
                </c:pt>
                <c:pt idx="9">
                  <c:v>1182332.96300797</c:v>
                </c:pt>
                <c:pt idx="10">
                  <c:v>1182332.6233946229</c:v>
                </c:pt>
                <c:pt idx="11">
                  <c:v>1182332.6233946232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9049774986.8471146</c:v>
                </c:pt>
                <c:pt idx="1">
                  <c:v>9049777586.3054371</c:v>
                </c:pt>
                <c:pt idx="2">
                  <c:v>9049774986.8471203</c:v>
                </c:pt>
                <c:pt idx="3">
                  <c:v>9049774986.8471203</c:v>
                </c:pt>
                <c:pt idx="4">
                  <c:v>9049774986.8471146</c:v>
                </c:pt>
                <c:pt idx="5">
                  <c:v>9049777586.3054371</c:v>
                </c:pt>
                <c:pt idx="6">
                  <c:v>9049774986.8471203</c:v>
                </c:pt>
                <c:pt idx="7">
                  <c:v>9049774986.8471203</c:v>
                </c:pt>
                <c:pt idx="8">
                  <c:v>9049774986.8471146</c:v>
                </c:pt>
                <c:pt idx="9">
                  <c:v>9049777586.3054371</c:v>
                </c:pt>
                <c:pt idx="10">
                  <c:v>9049774986.8471203</c:v>
                </c:pt>
                <c:pt idx="11">
                  <c:v>9049774986.8471203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3.9972757405824146E-3</c:v>
                </c:pt>
                <c:pt idx="1">
                  <c:v>4.3776885406827965E-3</c:v>
                </c:pt>
                <c:pt idx="2">
                  <c:v>4.3702982125726026E-3</c:v>
                </c:pt>
                <c:pt idx="3">
                  <c:v>4.3029713315380445E-3</c:v>
                </c:pt>
                <c:pt idx="4">
                  <c:v>3.9972757405824146E-3</c:v>
                </c:pt>
                <c:pt idx="5">
                  <c:v>4.3776885406827965E-3</c:v>
                </c:pt>
                <c:pt idx="6">
                  <c:v>4.3702982125726026E-3</c:v>
                </c:pt>
                <c:pt idx="7">
                  <c:v>4.3029713315380445E-3</c:v>
                </c:pt>
                <c:pt idx="8">
                  <c:v>3.9972517681841555E-3</c:v>
                </c:pt>
                <c:pt idx="9">
                  <c:v>4.3777001098877473E-3</c:v>
                </c:pt>
                <c:pt idx="10">
                  <c:v>4.3703075751715123E-3</c:v>
                </c:pt>
                <c:pt idx="11">
                  <c:v>4.3029837136351013E-3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1.1368017823452055E-3</c:v>
                </c:pt>
                <c:pt idx="1">
                  <c:v>3.4103606542780721E-3</c:v>
                </c:pt>
                <c:pt idx="2">
                  <c:v>3.4103756018883428E-3</c:v>
                </c:pt>
                <c:pt idx="3">
                  <c:v>2.2735884289268203E-3</c:v>
                </c:pt>
                <c:pt idx="4">
                  <c:v>1.1368017823452055E-3</c:v>
                </c:pt>
                <c:pt idx="5">
                  <c:v>3.4103606542780721E-3</c:v>
                </c:pt>
                <c:pt idx="6">
                  <c:v>3.4103756018883428E-3</c:v>
                </c:pt>
                <c:pt idx="7">
                  <c:v>2.2735884289268203E-3</c:v>
                </c:pt>
                <c:pt idx="8">
                  <c:v>1.1367952269571162E-3</c:v>
                </c:pt>
                <c:pt idx="9">
                  <c:v>3.4103546960599753E-3</c:v>
                </c:pt>
                <c:pt idx="10">
                  <c:v>3.4103670361145416E-3</c:v>
                </c:pt>
                <c:pt idx="11">
                  <c:v>2.2735913306031704E-3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-415.67336274291137</c:v>
                </c:pt>
                <c:pt idx="1">
                  <c:v>-150.48188740459574</c:v>
                </c:pt>
                <c:pt idx="2">
                  <c:v>-143.50425462153416</c:v>
                </c:pt>
                <c:pt idx="3">
                  <c:v>-172.49777885067849</c:v>
                </c:pt>
                <c:pt idx="4">
                  <c:v>-530.16423841484084</c:v>
                </c:pt>
                <c:pt idx="5">
                  <c:v>-191.92993352406856</c:v>
                </c:pt>
                <c:pt idx="6">
                  <c:v>-183.0304278305224</c:v>
                </c:pt>
                <c:pt idx="7">
                  <c:v>-220.0097776805425</c:v>
                </c:pt>
                <c:pt idx="8">
                  <c:v>4602.4665175857972</c:v>
                </c:pt>
                <c:pt idx="9">
                  <c:v>4726.5711930962234</c:v>
                </c:pt>
                <c:pt idx="10">
                  <c:v>4639.4067835628175</c:v>
                </c:pt>
                <c:pt idx="11">
                  <c:v>4849.4625782431394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M1A4SA3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60</c:v>
                </c:pt>
                <c:pt idx="2">
                  <c:v>95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60</c:v>
                </c:pt>
                <c:pt idx="1">
                  <c:v>35</c:v>
                </c:pt>
                <c:pt idx="2">
                  <c:v>257</c:v>
                </c:pt>
                <c:pt idx="3">
                  <c:v>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947</c:v>
                </c:pt>
                <c:pt idx="4">
                  <c:v>947</c:v>
                </c:pt>
                <c:pt idx="5">
                  <c:v>947</c:v>
                </c:pt>
                <c:pt idx="6">
                  <c:v>693</c:v>
                </c:pt>
                <c:pt idx="7">
                  <c:v>570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-4</c:v>
                </c:pt>
                <c:pt idx="1">
                  <c:v>951</c:v>
                </c:pt>
                <c:pt idx="2">
                  <c:v>947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254</c:v>
                </c:pt>
                <c:pt idx="7">
                  <c:v>123</c:v>
                </c:pt>
                <c:pt idx="8">
                  <c:v>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984</c:v>
                </c:pt>
                <c:pt idx="4">
                  <c:v>984</c:v>
                </c:pt>
                <c:pt idx="5">
                  <c:v>984</c:v>
                </c:pt>
                <c:pt idx="6">
                  <c:v>730</c:v>
                </c:pt>
                <c:pt idx="7">
                  <c:v>607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-4</c:v>
                </c:pt>
                <c:pt idx="1">
                  <c:v>988</c:v>
                </c:pt>
                <c:pt idx="2">
                  <c:v>984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254</c:v>
                </c:pt>
                <c:pt idx="7">
                  <c:v>123</c:v>
                </c:pt>
                <c:pt idx="8">
                  <c:v>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1040</c:v>
                </c:pt>
                <c:pt idx="4">
                  <c:v>1040</c:v>
                </c:pt>
                <c:pt idx="5">
                  <c:v>1040</c:v>
                </c:pt>
                <c:pt idx="6">
                  <c:v>786</c:v>
                </c:pt>
                <c:pt idx="7">
                  <c:v>663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-2</c:v>
                </c:pt>
                <c:pt idx="1">
                  <c:v>1042</c:v>
                </c:pt>
                <c:pt idx="2">
                  <c:v>1040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254</c:v>
                </c:pt>
                <c:pt idx="7">
                  <c:v>123</c:v>
                </c:pt>
                <c:pt idx="8">
                  <c:v>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79</c:v>
                </c:pt>
                <c:pt idx="2">
                  <c:v>129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79</c:v>
                </c:pt>
                <c:pt idx="1">
                  <c:v>50</c:v>
                </c:pt>
                <c:pt idx="2">
                  <c:v>136</c:v>
                </c:pt>
                <c:pt idx="3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80</c:v>
                </c:pt>
                <c:pt idx="2">
                  <c:v>130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80</c:v>
                </c:pt>
                <c:pt idx="1">
                  <c:v>50</c:v>
                </c:pt>
                <c:pt idx="2">
                  <c:v>141</c:v>
                </c:pt>
                <c:pt idx="3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73</c:v>
                </c:pt>
                <c:pt idx="2">
                  <c:v>114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73</c:v>
                </c:pt>
                <c:pt idx="1">
                  <c:v>41</c:v>
                </c:pt>
                <c:pt idx="2">
                  <c:v>148</c:v>
                </c:pt>
                <c:pt idx="3">
                  <c:v>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200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1802</c:v>
                </c:pt>
                <c:pt idx="4">
                  <c:v>1802</c:v>
                </c:pt>
                <c:pt idx="5">
                  <c:v>1802</c:v>
                </c:pt>
                <c:pt idx="6">
                  <c:v>1548</c:v>
                </c:pt>
                <c:pt idx="7">
                  <c:v>1425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-1</c:v>
                </c:pt>
                <c:pt idx="1">
                  <c:v>1803</c:v>
                </c:pt>
                <c:pt idx="2">
                  <c:v>1802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254</c:v>
                </c:pt>
                <c:pt idx="7">
                  <c:v>123</c:v>
                </c:pt>
                <c:pt idx="8">
                  <c:v>1425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744351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2970" y="22767607"/>
          <a:ext cx="180476" cy="3759994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3771" y="22767654"/>
          <a:ext cx="184590" cy="3759947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3371" y="22767626"/>
          <a:ext cx="184590" cy="3759975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2570" y="22767607"/>
          <a:ext cx="180476" cy="3759994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2171" y="22776656"/>
          <a:ext cx="180476" cy="3759994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1771" y="22767607"/>
          <a:ext cx="180476" cy="3759994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1370" y="22767607"/>
          <a:ext cx="180476" cy="3759994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0970" y="22767607"/>
          <a:ext cx="180476" cy="3759994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4384" y="18700910"/>
          <a:ext cx="293715" cy="66341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5183" y="18700956"/>
          <a:ext cx="293715" cy="1568244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4783" y="18700928"/>
          <a:ext cx="293715" cy="1568256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3984" y="19364324"/>
          <a:ext cx="293715" cy="36195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7" customWidth="1"/>
    <col min="2" max="12" width="9.88671875" style="47" customWidth="1"/>
    <col min="13" max="13" width="5.44140625" style="47" customWidth="1"/>
    <col min="14" max="16383" width="9.109375" style="47" hidden="1"/>
    <col min="16384" max="16384" width="0.109375" style="47" customWidth="1"/>
  </cols>
  <sheetData>
    <row r="1" spans="1:16" ht="15" customHeight="1" x14ac:dyDescent="0.4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5">
      <c r="A2" s="46"/>
      <c r="B2" s="46"/>
      <c r="C2" s="46"/>
      <c r="D2" s="46"/>
      <c r="E2" s="123" t="s">
        <v>10440</v>
      </c>
      <c r="F2" s="123"/>
      <c r="G2" s="123"/>
      <c r="H2" s="123"/>
      <c r="I2" s="123"/>
      <c r="J2" s="123"/>
      <c r="K2" s="123"/>
      <c r="L2" s="123"/>
      <c r="M2" s="46"/>
    </row>
    <row r="3" spans="1:16" ht="15" customHeight="1" x14ac:dyDescent="0.75">
      <c r="A3" s="46"/>
      <c r="B3" s="46"/>
      <c r="C3" s="46"/>
      <c r="D3" s="46"/>
      <c r="E3" s="123"/>
      <c r="F3" s="123"/>
      <c r="G3" s="123"/>
      <c r="H3" s="123"/>
      <c r="I3" s="123"/>
      <c r="J3" s="123"/>
      <c r="K3" s="123"/>
      <c r="L3" s="123"/>
      <c r="M3" s="45"/>
      <c r="N3" s="44"/>
      <c r="O3" s="44"/>
      <c r="P3" s="44"/>
    </row>
    <row r="4" spans="1:16" ht="15" customHeight="1" x14ac:dyDescent="0.75">
      <c r="A4" s="46"/>
      <c r="B4" s="46"/>
      <c r="C4" s="46"/>
      <c r="D4" s="46"/>
      <c r="E4" s="124" t="s">
        <v>10441</v>
      </c>
      <c r="F4" s="124"/>
      <c r="G4" s="124"/>
      <c r="H4" s="124"/>
      <c r="I4" s="124"/>
      <c r="J4" s="124"/>
      <c r="K4" s="124"/>
      <c r="L4" s="124"/>
      <c r="M4" s="45"/>
      <c r="N4" s="44"/>
      <c r="O4" s="44"/>
      <c r="P4" s="44"/>
    </row>
    <row r="5" spans="1:16" ht="15" customHeight="1" x14ac:dyDescent="0.4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5">
      <c r="A6" s="46"/>
      <c r="B6" s="126" t="s">
        <v>10516</v>
      </c>
      <c r="C6" s="126"/>
      <c r="D6" s="126"/>
      <c r="E6" s="69"/>
      <c r="F6" s="69"/>
      <c r="G6" s="69"/>
      <c r="H6" s="125" t="s">
        <v>10914</v>
      </c>
      <c r="I6" s="125"/>
      <c r="J6" s="125"/>
      <c r="K6" s="125"/>
      <c r="L6" s="125"/>
      <c r="M6" s="46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0" customFormat="1" ht="15" customHeight="1" x14ac:dyDescent="0.45"/>
    <row r="12" spans="1:16" ht="15" customHeight="1" x14ac:dyDescent="0.45"/>
    <row r="13" spans="1:16" ht="15" customHeight="1" x14ac:dyDescent="0.45">
      <c r="B13" s="121" t="s">
        <v>10453</v>
      </c>
      <c r="C13" s="121"/>
      <c r="D13" s="121"/>
      <c r="E13" s="121"/>
      <c r="F13" s="121"/>
      <c r="G13" s="121"/>
      <c r="H13" s="121"/>
      <c r="I13" s="121"/>
      <c r="J13" s="121"/>
      <c r="K13" s="121"/>
      <c r="L13" s="121"/>
    </row>
    <row r="14" spans="1:16" ht="15" customHeight="1" x14ac:dyDescent="0.45">
      <c r="B14" s="122" t="s">
        <v>10456</v>
      </c>
      <c r="C14" s="122"/>
      <c r="D14" s="122"/>
      <c r="E14" s="122"/>
      <c r="F14" s="122"/>
      <c r="G14" s="122"/>
      <c r="H14" s="122"/>
      <c r="I14" s="122"/>
      <c r="J14" s="122"/>
      <c r="K14" s="122"/>
      <c r="L14" s="122"/>
    </row>
    <row r="15" spans="1:16" ht="15" customHeight="1" x14ac:dyDescent="0.45">
      <c r="B15" s="122" t="s">
        <v>10454</v>
      </c>
      <c r="C15" s="122"/>
      <c r="D15" s="122"/>
      <c r="E15" s="122"/>
      <c r="F15" s="122"/>
      <c r="G15" s="122"/>
      <c r="H15" s="122"/>
      <c r="I15" s="122"/>
      <c r="J15" s="122"/>
      <c r="K15" s="122"/>
      <c r="L15" s="122"/>
    </row>
    <row r="16" spans="1:16" ht="15" customHeight="1" x14ac:dyDescent="0.45"/>
    <row r="17" spans="2:12" ht="15" customHeight="1" x14ac:dyDescent="0.45">
      <c r="B17" s="121" t="s">
        <v>10455</v>
      </c>
      <c r="C17" s="121"/>
      <c r="D17" s="121"/>
      <c r="E17" s="121"/>
      <c r="F17" s="121"/>
      <c r="G17" s="121"/>
      <c r="H17" s="121"/>
      <c r="I17" s="121"/>
      <c r="J17" s="121"/>
      <c r="K17" s="121"/>
      <c r="L17" s="121"/>
    </row>
    <row r="18" spans="2:12" ht="15" customHeight="1" x14ac:dyDescent="0.45">
      <c r="B18" s="122" t="s">
        <v>10457</v>
      </c>
      <c r="C18" s="122"/>
      <c r="D18" s="122"/>
      <c r="E18" s="122"/>
      <c r="F18" s="122"/>
      <c r="G18" s="122"/>
      <c r="H18" s="122"/>
      <c r="I18" s="122"/>
      <c r="J18" s="122"/>
      <c r="K18" s="122"/>
      <c r="L18" s="122"/>
    </row>
    <row r="19" spans="2:12" ht="15" customHeight="1" x14ac:dyDescent="0.45"/>
    <row r="20" spans="2:12" s="70" customFormat="1" ht="15" customHeight="1" x14ac:dyDescent="0.45"/>
    <row r="21" spans="2:12" ht="15" customHeight="1" x14ac:dyDescent="0.45"/>
    <row r="22" spans="2:12" ht="15" customHeight="1" x14ac:dyDescent="0.45"/>
    <row r="29" spans="2:12" s="70" customFormat="1" hidden="1" x14ac:dyDescent="0.45"/>
    <row r="33" s="47" customFormat="1" hidden="1" x14ac:dyDescent="0.45"/>
    <row r="34" s="47" customFormat="1" hidden="1" x14ac:dyDescent="0.45"/>
    <row r="35" s="47" customFormat="1" hidden="1" x14ac:dyDescent="0.45"/>
    <row r="36" s="47" customFormat="1" hidden="1" x14ac:dyDescent="0.45"/>
    <row r="37" s="47" customFormat="1" hidden="1" x14ac:dyDescent="0.45"/>
    <row r="38" s="47" customFormat="1" hidden="1" x14ac:dyDescent="0.45"/>
    <row r="39" s="47" customFormat="1" hidden="1" x14ac:dyDescent="0.45"/>
    <row r="40" s="47" customFormat="1" hidden="1" x14ac:dyDescent="0.45"/>
    <row r="41" s="47" customFormat="1" hidden="1" x14ac:dyDescent="0.45"/>
    <row r="42" s="47" customFormat="1" hidden="1" x14ac:dyDescent="0.45"/>
    <row r="43" s="47" customFormat="1" hidden="1" x14ac:dyDescent="0.45"/>
    <row r="44" s="47" customFormat="1" hidden="1" x14ac:dyDescent="0.45"/>
    <row r="45" s="47" customFormat="1" hidden="1" x14ac:dyDescent="0.45"/>
    <row r="46" s="70" customFormat="1" hidden="1" x14ac:dyDescent="0.45"/>
    <row r="47" s="47" customFormat="1" hidden="1" x14ac:dyDescent="0.45"/>
    <row r="48" s="47" customFormat="1" hidden="1" x14ac:dyDescent="0.45"/>
    <row r="49" s="47" customFormat="1" hidden="1" x14ac:dyDescent="0.45"/>
    <row r="50" s="47" customFormat="1" hidden="1" x14ac:dyDescent="0.45"/>
    <row r="51" s="47" customFormat="1" hidden="1" x14ac:dyDescent="0.45"/>
    <row r="52" s="47" customFormat="1" hidden="1" x14ac:dyDescent="0.45"/>
    <row r="53" s="47" customFormat="1" hidden="1" x14ac:dyDescent="0.45"/>
    <row r="54" s="47" customFormat="1" hidden="1" x14ac:dyDescent="0.45"/>
    <row r="55" s="47" customFormat="1" hidden="1" x14ac:dyDescent="0.45"/>
    <row r="56" s="47" customFormat="1" hidden="1" x14ac:dyDescent="0.45"/>
    <row r="57" s="47" customFormat="1" hidden="1" x14ac:dyDescent="0.45"/>
    <row r="58" s="47" customFormat="1" hidden="1" x14ac:dyDescent="0.45"/>
    <row r="59" s="47" customFormat="1" hidden="1" x14ac:dyDescent="0.45"/>
    <row r="60" s="47" customFormat="1" hidden="1" x14ac:dyDescent="0.45"/>
    <row r="61" s="47" customFormat="1" hidden="1" x14ac:dyDescent="0.45"/>
    <row r="62" s="47" customFormat="1" hidden="1" x14ac:dyDescent="0.45"/>
    <row r="63" s="70" customFormat="1" hidden="1" x14ac:dyDescent="0.45"/>
    <row r="64" s="47" customFormat="1" hidden="1" x14ac:dyDescent="0.45"/>
    <row r="65" s="47" customFormat="1" hidden="1" x14ac:dyDescent="0.45"/>
    <row r="66" s="47" customFormat="1" hidden="1" x14ac:dyDescent="0.45"/>
    <row r="67" s="47" customFormat="1" hidden="1" x14ac:dyDescent="0.45"/>
    <row r="68" s="47" customFormat="1" hidden="1" x14ac:dyDescent="0.45"/>
    <row r="69" s="47" customFormat="1" hidden="1" x14ac:dyDescent="0.45"/>
    <row r="70" s="47" customFormat="1" hidden="1" x14ac:dyDescent="0.45"/>
    <row r="71" s="47" customFormat="1" hidden="1" x14ac:dyDescent="0.45"/>
    <row r="72" s="47" customFormat="1" hidden="1" x14ac:dyDescent="0.45"/>
    <row r="73" s="47" customFormat="1" hidden="1" x14ac:dyDescent="0.45"/>
    <row r="74" s="47" customFormat="1" hidden="1" x14ac:dyDescent="0.45"/>
    <row r="75" s="47" customFormat="1" hidden="1" x14ac:dyDescent="0.45"/>
    <row r="76" s="47" customFormat="1" hidden="1" x14ac:dyDescent="0.45"/>
    <row r="77" s="47" customFormat="1" hidden="1" x14ac:dyDescent="0.45"/>
    <row r="78" s="47" customFormat="1" hidden="1" x14ac:dyDescent="0.45"/>
    <row r="79" s="47" customFormat="1" hidden="1" x14ac:dyDescent="0.45"/>
    <row r="80" s="70" customFormat="1" hidden="1" x14ac:dyDescent="0.45"/>
    <row r="81" s="47" customFormat="1" hidden="1" x14ac:dyDescent="0.45"/>
    <row r="82" s="47" customFormat="1" hidden="1" x14ac:dyDescent="0.45"/>
    <row r="83" s="47" customFormat="1" hidden="1" x14ac:dyDescent="0.45"/>
    <row r="84" s="47" customFormat="1" hidden="1" x14ac:dyDescent="0.45"/>
    <row r="85" s="47" customFormat="1" hidden="1" x14ac:dyDescent="0.45"/>
    <row r="86" s="47" customFormat="1" hidden="1" x14ac:dyDescent="0.45"/>
    <row r="87" s="47" customFormat="1" hidden="1" x14ac:dyDescent="0.45"/>
    <row r="88" s="47" customFormat="1" hidden="1" x14ac:dyDescent="0.45"/>
    <row r="89" s="47" customFormat="1" hidden="1" x14ac:dyDescent="0.45"/>
    <row r="90" s="47" customFormat="1" hidden="1" x14ac:dyDescent="0.45"/>
    <row r="91" s="47" customFormat="1" hidden="1" x14ac:dyDescent="0.45"/>
    <row r="92" s="47" customFormat="1" hidden="1" x14ac:dyDescent="0.45"/>
    <row r="93" s="47" customFormat="1" hidden="1" x14ac:dyDescent="0.45"/>
    <row r="94" s="47" customFormat="1" hidden="1" x14ac:dyDescent="0.45"/>
    <row r="95" s="47" customFormat="1" hidden="1" x14ac:dyDescent="0.45"/>
    <row r="96" s="47" customFormat="1" hidden="1" x14ac:dyDescent="0.45"/>
    <row r="97" s="70" customFormat="1" hidden="1" x14ac:dyDescent="0.45"/>
    <row r="98" s="47" customFormat="1" hidden="1" x14ac:dyDescent="0.45"/>
    <row r="99" s="47" customFormat="1" hidden="1" x14ac:dyDescent="0.45"/>
    <row r="100" s="47" customFormat="1" hidden="1" x14ac:dyDescent="0.45"/>
    <row r="101" s="47" customFormat="1" hidden="1" x14ac:dyDescent="0.45"/>
    <row r="102" s="47" customFormat="1" hidden="1" x14ac:dyDescent="0.45"/>
    <row r="103" s="47" customFormat="1" hidden="1" x14ac:dyDescent="0.45"/>
    <row r="104" s="47" customFormat="1" hidden="1" x14ac:dyDescent="0.45"/>
    <row r="105" s="47" customFormat="1" hidden="1" x14ac:dyDescent="0.45"/>
    <row r="106" s="47" customFormat="1" hidden="1" x14ac:dyDescent="0.45"/>
    <row r="107" s="47" customFormat="1" hidden="1" x14ac:dyDescent="0.45"/>
    <row r="108" s="47" customFormat="1" hidden="1" x14ac:dyDescent="0.45"/>
    <row r="109" s="47" customFormat="1" hidden="1" x14ac:dyDescent="0.45"/>
    <row r="110" s="47" customFormat="1" hidden="1" x14ac:dyDescent="0.45"/>
    <row r="111" s="47" customFormat="1" hidden="1" x14ac:dyDescent="0.45"/>
    <row r="112" s="47" customFormat="1" hidden="1" x14ac:dyDescent="0.45"/>
    <row r="113" s="47" customFormat="1" hidden="1" x14ac:dyDescent="0.45"/>
    <row r="114" s="70" customFormat="1" hidden="1" x14ac:dyDescent="0.45"/>
    <row r="115" s="47" customFormat="1" hidden="1" x14ac:dyDescent="0.45"/>
    <row r="116" s="47" customFormat="1" hidden="1" x14ac:dyDescent="0.45"/>
    <row r="117" s="47" customFormat="1" hidden="1" x14ac:dyDescent="0.45"/>
    <row r="118" s="47" customFormat="1" hidden="1" x14ac:dyDescent="0.45"/>
    <row r="119" s="47" customFormat="1" hidden="1" x14ac:dyDescent="0.45"/>
    <row r="120" s="47" customFormat="1" hidden="1" x14ac:dyDescent="0.45"/>
    <row r="121" s="47" customFormat="1" hidden="1" x14ac:dyDescent="0.45"/>
    <row r="122" s="47" customFormat="1" hidden="1" x14ac:dyDescent="0.45"/>
    <row r="123" s="47" customFormat="1" hidden="1" x14ac:dyDescent="0.45"/>
    <row r="124" s="47" customFormat="1" hidden="1" x14ac:dyDescent="0.45"/>
    <row r="125" s="47" customFormat="1" hidden="1" x14ac:dyDescent="0.45"/>
    <row r="126" s="47" customFormat="1" hidden="1" x14ac:dyDescent="0.45"/>
    <row r="127" s="47" customFormat="1" hidden="1" x14ac:dyDescent="0.45"/>
    <row r="128" s="47" customFormat="1" hidden="1" x14ac:dyDescent="0.45"/>
    <row r="129" s="47" customFormat="1" hidden="1" x14ac:dyDescent="0.45"/>
    <row r="130" s="47" customFormat="1" hidden="1" x14ac:dyDescent="0.45"/>
    <row r="131" s="70" customFormat="1" hidden="1" x14ac:dyDescent="0.45"/>
    <row r="132" s="47" customFormat="1" hidden="1" x14ac:dyDescent="0.45"/>
    <row r="133" s="47" customFormat="1" hidden="1" x14ac:dyDescent="0.45"/>
    <row r="134" s="47" customFormat="1" hidden="1" x14ac:dyDescent="0.45"/>
    <row r="135" s="47" customFormat="1" hidden="1" x14ac:dyDescent="0.45"/>
    <row r="136" s="47" customFormat="1" hidden="1" x14ac:dyDescent="0.45"/>
    <row r="137" s="47" customFormat="1" hidden="1" x14ac:dyDescent="0.45"/>
    <row r="138" s="47" customFormat="1" hidden="1" x14ac:dyDescent="0.45"/>
    <row r="139" s="47" customFormat="1" hidden="1" x14ac:dyDescent="0.45"/>
    <row r="140" s="47" customFormat="1" hidden="1" x14ac:dyDescent="0.45"/>
    <row r="141" s="47" customFormat="1" hidden="1" x14ac:dyDescent="0.45"/>
    <row r="142" s="47" customFormat="1" hidden="1" x14ac:dyDescent="0.45"/>
    <row r="143" s="47" customFormat="1" hidden="1" x14ac:dyDescent="0.45"/>
    <row r="144" s="47" customFormat="1" hidden="1" x14ac:dyDescent="0.45"/>
    <row r="145" s="47" customFormat="1" hidden="1" x14ac:dyDescent="0.45"/>
    <row r="146" s="47" customFormat="1" hidden="1" x14ac:dyDescent="0.45"/>
    <row r="147" s="47" customFormat="1" hidden="1" x14ac:dyDescent="0.45"/>
    <row r="148" s="70" customFormat="1" hidden="1" x14ac:dyDescent="0.45"/>
    <row r="149" s="47" customFormat="1" hidden="1" x14ac:dyDescent="0.45"/>
    <row r="150" s="47" customFormat="1" hidden="1" x14ac:dyDescent="0.45"/>
    <row r="151" s="47" customFormat="1" hidden="1" x14ac:dyDescent="0.45"/>
    <row r="152" s="47" customFormat="1" hidden="1" x14ac:dyDescent="0.45"/>
    <row r="153" s="47" customFormat="1" hidden="1" x14ac:dyDescent="0.45"/>
    <row r="154" s="47" customFormat="1" hidden="1" x14ac:dyDescent="0.45"/>
    <row r="155" s="47" customFormat="1" hidden="1" x14ac:dyDescent="0.45"/>
    <row r="156" s="47" customFormat="1" hidden="1" x14ac:dyDescent="0.45"/>
    <row r="157" s="47" customFormat="1" hidden="1" x14ac:dyDescent="0.45"/>
    <row r="158" s="47" customFormat="1" hidden="1" x14ac:dyDescent="0.45"/>
    <row r="159" s="47" customFormat="1" hidden="1" x14ac:dyDescent="0.45"/>
    <row r="160" s="47" customFormat="1" hidden="1" x14ac:dyDescent="0.45"/>
    <row r="161" s="47" customFormat="1" hidden="1" x14ac:dyDescent="0.45"/>
    <row r="162" s="47" customFormat="1" hidden="1" x14ac:dyDescent="0.45"/>
    <row r="163" s="47" customFormat="1" hidden="1" x14ac:dyDescent="0.45"/>
    <row r="164" s="47" customFormat="1" hidden="1" x14ac:dyDescent="0.45"/>
    <row r="165" s="70" customFormat="1" hidden="1" x14ac:dyDescent="0.45"/>
    <row r="166" s="47" customFormat="1" hidden="1" x14ac:dyDescent="0.45"/>
    <row r="167" s="47" customFormat="1" hidden="1" x14ac:dyDescent="0.45"/>
    <row r="168" s="47" customFormat="1" hidden="1" x14ac:dyDescent="0.45"/>
    <row r="169" s="47" customFormat="1" hidden="1" x14ac:dyDescent="0.45"/>
    <row r="170" s="47" customFormat="1" hidden="1" x14ac:dyDescent="0.45"/>
    <row r="171" s="47" customFormat="1" hidden="1" x14ac:dyDescent="0.45"/>
    <row r="172" s="47" customFormat="1" hidden="1" x14ac:dyDescent="0.45"/>
    <row r="173" s="47" customFormat="1" hidden="1" x14ac:dyDescent="0.45"/>
    <row r="174" s="47" customFormat="1" hidden="1" x14ac:dyDescent="0.45"/>
    <row r="175" s="47" customFormat="1" hidden="1" x14ac:dyDescent="0.45"/>
    <row r="176" s="47" customFormat="1" hidden="1" x14ac:dyDescent="0.45"/>
    <row r="177" s="47" customFormat="1" hidden="1" x14ac:dyDescent="0.45"/>
    <row r="178" s="47" customFormat="1" hidden="1" x14ac:dyDescent="0.45"/>
    <row r="179" s="47" customFormat="1" hidden="1" x14ac:dyDescent="0.45"/>
    <row r="180" s="47" customFormat="1" hidden="1" x14ac:dyDescent="0.45"/>
    <row r="181" s="47" customFormat="1" hidden="1" x14ac:dyDescent="0.45"/>
    <row r="182" s="70" customFormat="1" hidden="1" x14ac:dyDescent="0.45"/>
    <row r="183" s="47" customFormat="1" hidden="1" x14ac:dyDescent="0.45"/>
    <row r="184" s="47" customFormat="1" hidden="1" x14ac:dyDescent="0.45"/>
    <row r="185" s="47" customFormat="1" hidden="1" x14ac:dyDescent="0.45"/>
    <row r="186" s="47" customFormat="1" hidden="1" x14ac:dyDescent="0.45"/>
    <row r="187" s="47" customFormat="1" hidden="1" x14ac:dyDescent="0.45"/>
    <row r="188" s="47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4">
      <c r="A5572" s="8" t="s">
        <v>10562</v>
      </c>
      <c r="B5572" s="8">
        <v>99</v>
      </c>
      <c r="C5572" s="8">
        <v>10001</v>
      </c>
      <c r="D5572" s="8">
        <v>9910001</v>
      </c>
      <c r="E5572" s="8" t="s">
        <v>10563</v>
      </c>
      <c r="F5572" s="2">
        <v>1000</v>
      </c>
      <c r="G5572" s="109">
        <v>-20.0001</v>
      </c>
      <c r="H5572" s="109">
        <v>-50.000100000000003</v>
      </c>
    </row>
    <row r="5573" spans="1:9" x14ac:dyDescent="0.4">
      <c r="A5573" s="8" t="s">
        <v>10562</v>
      </c>
      <c r="B5573" s="8">
        <v>99</v>
      </c>
      <c r="C5573" s="8">
        <v>10002</v>
      </c>
      <c r="D5573" s="8">
        <v>9910002</v>
      </c>
      <c r="E5573" s="8" t="s">
        <v>10564</v>
      </c>
      <c r="F5573" s="2">
        <v>1000</v>
      </c>
      <c r="G5573" s="109">
        <v>-20.0001</v>
      </c>
      <c r="H5573" s="109">
        <v>-50.000100000000003</v>
      </c>
    </row>
    <row r="5574" spans="1:9" x14ac:dyDescent="0.4">
      <c r="A5574" s="8" t="s">
        <v>10562</v>
      </c>
      <c r="B5574" s="8">
        <v>99</v>
      </c>
      <c r="C5574" s="8">
        <v>10003</v>
      </c>
      <c r="D5574" s="8">
        <v>9910003</v>
      </c>
      <c r="E5574" s="8" t="s">
        <v>10565</v>
      </c>
      <c r="F5574" s="2">
        <v>1000</v>
      </c>
      <c r="G5574" s="109">
        <v>-20.0001</v>
      </c>
      <c r="H5574" s="109">
        <v>-50.000100000000003</v>
      </c>
    </row>
    <row r="5575" spans="1:9" x14ac:dyDescent="0.4">
      <c r="A5575" s="8" t="s">
        <v>10562</v>
      </c>
      <c r="B5575" s="8">
        <v>99</v>
      </c>
      <c r="C5575" s="8">
        <v>10004</v>
      </c>
      <c r="D5575" s="8">
        <v>9910004</v>
      </c>
      <c r="E5575" s="8" t="s">
        <v>10566</v>
      </c>
      <c r="F5575" s="2">
        <v>1000</v>
      </c>
      <c r="G5575" s="109">
        <v>-20.0001</v>
      </c>
      <c r="H5575" s="109">
        <v>-50.000100000000003</v>
      </c>
    </row>
    <row r="5576" spans="1:9" x14ac:dyDescent="0.4">
      <c r="A5576" s="8" t="s">
        <v>10562</v>
      </c>
      <c r="B5576" s="8">
        <v>99</v>
      </c>
      <c r="C5576" s="8">
        <v>10005</v>
      </c>
      <c r="D5576" s="8">
        <v>9910005</v>
      </c>
      <c r="E5576" s="8" t="s">
        <v>10567</v>
      </c>
      <c r="F5576" s="2">
        <v>1000</v>
      </c>
      <c r="G5576" s="109">
        <v>-20.0001</v>
      </c>
      <c r="H5576" s="109">
        <v>-50.000100000000003</v>
      </c>
    </row>
    <row r="5577" spans="1:9" x14ac:dyDescent="0.4">
      <c r="A5577" s="8" t="s">
        <v>10562</v>
      </c>
      <c r="B5577" s="8">
        <v>99</v>
      </c>
      <c r="C5577" s="8">
        <v>10006</v>
      </c>
      <c r="D5577" s="8">
        <v>9910006</v>
      </c>
      <c r="E5577" s="8" t="s">
        <v>10568</v>
      </c>
      <c r="F5577" s="2">
        <v>1000</v>
      </c>
      <c r="G5577" s="109">
        <v>-20.0001</v>
      </c>
      <c r="H5577" s="109">
        <v>-50.000100000000003</v>
      </c>
    </row>
    <row r="5578" spans="1:9" x14ac:dyDescent="0.4">
      <c r="A5578" s="8" t="s">
        <v>10562</v>
      </c>
      <c r="B5578" s="8">
        <v>99</v>
      </c>
      <c r="C5578" s="8">
        <v>10007</v>
      </c>
      <c r="D5578" s="8">
        <v>9910007</v>
      </c>
      <c r="E5578" s="8" t="s">
        <v>10569</v>
      </c>
      <c r="F5578" s="2">
        <v>1000</v>
      </c>
      <c r="G5578" s="109">
        <v>-20.0001</v>
      </c>
      <c r="H5578" s="109">
        <v>-50.000100000000003</v>
      </c>
    </row>
    <row r="5579" spans="1:9" x14ac:dyDescent="0.4">
      <c r="A5579" s="8" t="s">
        <v>10562</v>
      </c>
      <c r="B5579" s="8">
        <v>99</v>
      </c>
      <c r="C5579" s="8">
        <v>10008</v>
      </c>
      <c r="D5579" s="8">
        <v>9910008</v>
      </c>
      <c r="E5579" s="8" t="s">
        <v>10570</v>
      </c>
      <c r="F5579" s="2">
        <v>1000</v>
      </c>
      <c r="G5579" s="109">
        <v>-20.0001</v>
      </c>
      <c r="H5579" s="109">
        <v>-50.000100000000003</v>
      </c>
    </row>
    <row r="5580" spans="1:9" x14ac:dyDescent="0.4">
      <c r="A5580" s="8" t="s">
        <v>10562</v>
      </c>
      <c r="B5580" s="8">
        <v>99</v>
      </c>
      <c r="C5580" s="8">
        <v>10009</v>
      </c>
      <c r="D5580" s="8">
        <v>9910009</v>
      </c>
      <c r="E5580" s="8" t="s">
        <v>10571</v>
      </c>
      <c r="F5580" s="2">
        <v>1000</v>
      </c>
      <c r="G5580" s="109">
        <v>-20.0001</v>
      </c>
      <c r="H5580" s="109">
        <v>-50.000100000000003</v>
      </c>
    </row>
    <row r="5581" spans="1:9" x14ac:dyDescent="0.4">
      <c r="A5581" s="8" t="s">
        <v>10562</v>
      </c>
      <c r="B5581" s="8">
        <v>99</v>
      </c>
      <c r="C5581" s="8">
        <v>10010</v>
      </c>
      <c r="D5581" s="8">
        <v>9910010</v>
      </c>
      <c r="E5581" s="8" t="s">
        <v>10572</v>
      </c>
      <c r="F5581" s="2">
        <v>1000</v>
      </c>
      <c r="G5581" s="109">
        <v>-20.0001</v>
      </c>
      <c r="H5581" s="109">
        <v>-50.000100000000003</v>
      </c>
    </row>
    <row r="5582" spans="1:9" x14ac:dyDescent="0.4">
      <c r="A5582" s="8" t="s">
        <v>10562</v>
      </c>
      <c r="B5582" s="8">
        <v>99</v>
      </c>
      <c r="C5582" s="8">
        <v>10011</v>
      </c>
      <c r="D5582" s="8">
        <v>9910011</v>
      </c>
      <c r="E5582" s="8" t="s">
        <v>10573</v>
      </c>
      <c r="F5582" s="2">
        <v>1000</v>
      </c>
      <c r="G5582" s="109">
        <v>-20.0001</v>
      </c>
      <c r="H5582" s="109">
        <v>-50.000100000000003</v>
      </c>
    </row>
    <row r="5583" spans="1:9" x14ac:dyDescent="0.4">
      <c r="A5583" s="8" t="s">
        <v>10562</v>
      </c>
      <c r="B5583" s="8">
        <v>99</v>
      </c>
      <c r="C5583" s="8">
        <v>10012</v>
      </c>
      <c r="D5583" s="8">
        <v>9910012</v>
      </c>
      <c r="E5583" s="8" t="s">
        <v>10574</v>
      </c>
      <c r="F5583" s="2">
        <v>1000</v>
      </c>
      <c r="G5583" s="109">
        <v>-20.0001</v>
      </c>
      <c r="H5583" s="109">
        <v>-50.000100000000003</v>
      </c>
    </row>
    <row r="5584" spans="1:9" x14ac:dyDescent="0.4">
      <c r="A5584" s="8" t="s">
        <v>10562</v>
      </c>
      <c r="B5584" s="8">
        <v>99</v>
      </c>
      <c r="C5584" s="8">
        <v>10013</v>
      </c>
      <c r="D5584" s="8">
        <v>9910013</v>
      </c>
      <c r="E5584" s="8" t="s">
        <v>10575</v>
      </c>
      <c r="F5584" s="2">
        <v>1000</v>
      </c>
      <c r="G5584" s="109">
        <v>-20.0001</v>
      </c>
      <c r="H5584" s="109">
        <v>-50.000100000000003</v>
      </c>
    </row>
    <row r="5585" spans="1:8" x14ac:dyDescent="0.4">
      <c r="A5585" s="8" t="s">
        <v>10562</v>
      </c>
      <c r="B5585" s="8">
        <v>99</v>
      </c>
      <c r="C5585" s="8">
        <v>10014</v>
      </c>
      <c r="D5585" s="8">
        <v>9910014</v>
      </c>
      <c r="E5585" s="8" t="s">
        <v>10576</v>
      </c>
      <c r="F5585" s="2">
        <v>1000</v>
      </c>
      <c r="G5585" s="109">
        <v>-20.0001</v>
      </c>
      <c r="H5585" s="109">
        <v>-50.000100000000003</v>
      </c>
    </row>
    <row r="5586" spans="1:8" x14ac:dyDescent="0.4">
      <c r="A5586" s="8" t="s">
        <v>10562</v>
      </c>
      <c r="B5586" s="8">
        <v>99</v>
      </c>
      <c r="C5586" s="8">
        <v>10015</v>
      </c>
      <c r="D5586" s="8">
        <v>9910015</v>
      </c>
      <c r="E5586" s="8" t="s">
        <v>10577</v>
      </c>
      <c r="F5586" s="2">
        <v>1000</v>
      </c>
      <c r="G5586" s="109">
        <v>-20.0001</v>
      </c>
      <c r="H5586" s="109">
        <v>-50.000100000000003</v>
      </c>
    </row>
    <row r="5587" spans="1:8" x14ac:dyDescent="0.4">
      <c r="A5587" s="8" t="s">
        <v>10562</v>
      </c>
      <c r="B5587" s="8">
        <v>99</v>
      </c>
      <c r="C5587" s="8">
        <v>10016</v>
      </c>
      <c r="D5587" s="8">
        <v>9910016</v>
      </c>
      <c r="E5587" s="8" t="s">
        <v>10578</v>
      </c>
      <c r="F5587" s="2">
        <v>1000</v>
      </c>
      <c r="G5587" s="109">
        <v>-20.0001</v>
      </c>
      <c r="H5587" s="109">
        <v>-50.000100000000003</v>
      </c>
    </row>
    <row r="5588" spans="1:8" x14ac:dyDescent="0.4">
      <c r="A5588" s="8" t="s">
        <v>10562</v>
      </c>
      <c r="B5588" s="8">
        <v>99</v>
      </c>
      <c r="C5588" s="8">
        <v>10017</v>
      </c>
      <c r="D5588" s="8">
        <v>9910017</v>
      </c>
      <c r="E5588" s="8" t="s">
        <v>10579</v>
      </c>
      <c r="F5588" s="2">
        <v>1000</v>
      </c>
      <c r="G5588" s="109">
        <v>-20.0001</v>
      </c>
      <c r="H5588" s="109">
        <v>-50.000100000000003</v>
      </c>
    </row>
    <row r="5589" spans="1:8" x14ac:dyDescent="0.4">
      <c r="A5589" s="8" t="s">
        <v>10562</v>
      </c>
      <c r="B5589" s="8">
        <v>99</v>
      </c>
      <c r="C5589" s="8">
        <v>10018</v>
      </c>
      <c r="D5589" s="8">
        <v>9910018</v>
      </c>
      <c r="E5589" s="8" t="s">
        <v>10580</v>
      </c>
      <c r="F5589" s="2">
        <v>1000</v>
      </c>
      <c r="G5589" s="109">
        <v>-20.0001</v>
      </c>
      <c r="H5589" s="109">
        <v>-50.000100000000003</v>
      </c>
    </row>
    <row r="5590" spans="1:8" x14ac:dyDescent="0.4">
      <c r="A5590" s="8" t="s">
        <v>10562</v>
      </c>
      <c r="B5590" s="8">
        <v>99</v>
      </c>
      <c r="C5590" s="8">
        <v>10019</v>
      </c>
      <c r="D5590" s="8">
        <v>9910019</v>
      </c>
      <c r="E5590" s="8" t="s">
        <v>10581</v>
      </c>
      <c r="F5590" s="2">
        <v>1000</v>
      </c>
      <c r="G5590" s="109">
        <v>-20.0001</v>
      </c>
      <c r="H5590" s="109">
        <v>-50.000100000000003</v>
      </c>
    </row>
    <row r="5591" spans="1:8" x14ac:dyDescent="0.4">
      <c r="A5591" s="8" t="s">
        <v>10562</v>
      </c>
      <c r="B5591" s="8">
        <v>99</v>
      </c>
      <c r="C5591" s="8">
        <v>10020</v>
      </c>
      <c r="D5591" s="8">
        <v>9910020</v>
      </c>
      <c r="E5591" s="8" t="s">
        <v>10582</v>
      </c>
      <c r="F5591" s="2">
        <v>1000</v>
      </c>
      <c r="G5591" s="109">
        <v>-20.0001</v>
      </c>
      <c r="H5591" s="109">
        <v>-50.000100000000003</v>
      </c>
    </row>
    <row r="5592" spans="1:8" x14ac:dyDescent="0.4">
      <c r="A5592" s="8"/>
      <c r="B5592" s="8"/>
      <c r="C5592" s="8"/>
      <c r="D5592" s="8"/>
      <c r="E5592" s="8"/>
      <c r="F5592" s="2"/>
      <c r="G5592" s="109"/>
      <c r="H5592" s="10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2" activePane="bottomLeft" state="frozen"/>
      <selection pane="bottomLeft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85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10255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27" t="s">
        <v>9640</v>
      </c>
      <c r="B2" s="76" t="s">
        <v>9881</v>
      </c>
      <c r="C2" s="76" t="s">
        <v>10256</v>
      </c>
      <c r="D2" s="77" t="s">
        <v>9638</v>
      </c>
      <c r="E2" s="78" t="s">
        <v>9663</v>
      </c>
      <c r="F2" s="79" t="s">
        <v>9642</v>
      </c>
      <c r="G2" s="79" t="s">
        <v>9719</v>
      </c>
      <c r="H2" s="79" t="s">
        <v>9688</v>
      </c>
      <c r="I2" s="105" t="s">
        <v>10680</v>
      </c>
      <c r="J2" s="79" t="s">
        <v>9780</v>
      </c>
      <c r="K2" s="79" t="s">
        <v>9780</v>
      </c>
      <c r="L2" s="79" t="s">
        <v>9780</v>
      </c>
      <c r="M2" s="79" t="s">
        <v>9780</v>
      </c>
      <c r="N2" s="79" t="str">
        <f>IF(F2="String",IF(I2&lt;&gt;"","Sim","Não"),IF(F2="List",IF(I2&lt;&gt;"","Sim","Não"),IF(AND(I2&gt;=O2,I2&lt;=P2,I2&lt;&gt;""),"Sim","Não")))</f>
        <v>Sim</v>
      </c>
      <c r="O2" s="105" t="s">
        <v>9780</v>
      </c>
      <c r="P2" s="105" t="s">
        <v>9780</v>
      </c>
    </row>
    <row r="3" spans="1:16" ht="17.25" customHeight="1" x14ac:dyDescent="0.4">
      <c r="A3" s="127"/>
      <c r="B3" s="76" t="s">
        <v>9881</v>
      </c>
      <c r="C3" s="76" t="s">
        <v>10256</v>
      </c>
      <c r="D3" s="77" t="s">
        <v>9641</v>
      </c>
      <c r="E3" s="78" t="s">
        <v>9664</v>
      </c>
      <c r="F3" s="79" t="s">
        <v>9642</v>
      </c>
      <c r="G3" s="79" t="s">
        <v>9719</v>
      </c>
      <c r="H3" s="79" t="s">
        <v>9955</v>
      </c>
      <c r="I3" s="105" t="s">
        <v>10681</v>
      </c>
      <c r="J3" s="79" t="s">
        <v>9780</v>
      </c>
      <c r="K3" s="79" t="s">
        <v>9780</v>
      </c>
      <c r="L3" s="79" t="s">
        <v>9780</v>
      </c>
      <c r="M3" s="79" t="s">
        <v>9780</v>
      </c>
      <c r="N3" s="79" t="str">
        <f t="shared" ref="N3:N73" si="0">IF(F3="String",IF(I3&lt;&gt;"","Sim","Não"),IF(F3="List",IF(I3&lt;&gt;"","Sim","Não"),IF(AND(I3&gt;=O3,I3&lt;=P3,I3&lt;&gt;""),"Sim","Não")))</f>
        <v>Sim</v>
      </c>
      <c r="O3" s="105" t="s">
        <v>9780</v>
      </c>
      <c r="P3" s="105" t="s">
        <v>9780</v>
      </c>
    </row>
    <row r="4" spans="1:16" ht="17.25" customHeight="1" x14ac:dyDescent="0.4">
      <c r="A4" s="127" t="s">
        <v>9639</v>
      </c>
      <c r="B4" s="76" t="s">
        <v>9881</v>
      </c>
      <c r="C4" s="76" t="s">
        <v>10258</v>
      </c>
      <c r="D4" s="77" t="s">
        <v>9632</v>
      </c>
      <c r="E4" s="78" t="s">
        <v>9665</v>
      </c>
      <c r="F4" s="79" t="s">
        <v>9687</v>
      </c>
      <c r="G4" s="79" t="s">
        <v>9719</v>
      </c>
      <c r="H4" s="79" t="s">
        <v>9781</v>
      </c>
      <c r="I4" s="99">
        <v>0.9</v>
      </c>
      <c r="J4" s="80">
        <v>0.9</v>
      </c>
      <c r="K4" s="79" t="s">
        <v>9780</v>
      </c>
      <c r="L4" s="79" t="s">
        <v>9780</v>
      </c>
      <c r="M4" s="79" t="s">
        <v>9780</v>
      </c>
      <c r="N4" s="79" t="str">
        <f t="shared" si="0"/>
        <v>Sim</v>
      </c>
      <c r="O4" s="105">
        <v>0.75</v>
      </c>
      <c r="P4" s="105">
        <v>1.25</v>
      </c>
    </row>
    <row r="5" spans="1:16" ht="17.25" customHeight="1" x14ac:dyDescent="0.4">
      <c r="A5" s="127"/>
      <c r="B5" s="76" t="s">
        <v>9881</v>
      </c>
      <c r="C5" s="76" t="s">
        <v>10258</v>
      </c>
      <c r="D5" s="77" t="s">
        <v>9633</v>
      </c>
      <c r="E5" s="78" t="s">
        <v>9666</v>
      </c>
      <c r="F5" s="79" t="s">
        <v>9687</v>
      </c>
      <c r="G5" s="79" t="s">
        <v>9719</v>
      </c>
      <c r="H5" s="79" t="s">
        <v>9634</v>
      </c>
      <c r="I5" s="99">
        <v>2.5</v>
      </c>
      <c r="J5" s="80">
        <v>2.5</v>
      </c>
      <c r="K5" s="114" t="s">
        <v>9780</v>
      </c>
      <c r="L5" s="115" t="s">
        <v>9780</v>
      </c>
      <c r="M5" s="115" t="s">
        <v>9780</v>
      </c>
      <c r="N5" s="79" t="str">
        <f t="shared" si="0"/>
        <v>Sim</v>
      </c>
      <c r="O5" s="105">
        <v>0</v>
      </c>
      <c r="P5" s="105">
        <v>100</v>
      </c>
    </row>
    <row r="6" spans="1:16" ht="17.25" customHeight="1" x14ac:dyDescent="0.4">
      <c r="A6" s="127"/>
      <c r="B6" s="76" t="s">
        <v>9881</v>
      </c>
      <c r="C6" s="76" t="s">
        <v>10258</v>
      </c>
      <c r="D6" s="77" t="s">
        <v>9635</v>
      </c>
      <c r="E6" s="78" t="s">
        <v>9667</v>
      </c>
      <c r="F6" s="79" t="s">
        <v>9687</v>
      </c>
      <c r="G6" s="79" t="s">
        <v>9719</v>
      </c>
      <c r="H6" s="79" t="s">
        <v>9636</v>
      </c>
      <c r="I6" s="99">
        <v>0.5</v>
      </c>
      <c r="J6" s="80">
        <v>0.5</v>
      </c>
      <c r="K6" s="112" t="s">
        <v>9951</v>
      </c>
      <c r="L6" s="113" t="s">
        <v>9949</v>
      </c>
      <c r="M6" s="113" t="s">
        <v>9846</v>
      </c>
      <c r="N6" s="79" t="str">
        <f t="shared" si="0"/>
        <v>Sim</v>
      </c>
      <c r="O6" s="105">
        <v>0</v>
      </c>
      <c r="P6" s="105">
        <v>100</v>
      </c>
    </row>
    <row r="7" spans="1:16" ht="17.25" customHeight="1" x14ac:dyDescent="0.4">
      <c r="A7" s="127"/>
      <c r="B7" s="76" t="s">
        <v>9881</v>
      </c>
      <c r="C7" s="76" t="s">
        <v>10258</v>
      </c>
      <c r="D7" s="77" t="s">
        <v>9637</v>
      </c>
      <c r="E7" s="78" t="s">
        <v>9668</v>
      </c>
      <c r="F7" s="79" t="s">
        <v>9687</v>
      </c>
      <c r="G7" s="79" t="s">
        <v>9719</v>
      </c>
      <c r="H7" s="79" t="s">
        <v>9636</v>
      </c>
      <c r="I7" s="99">
        <v>1</v>
      </c>
      <c r="J7" s="80">
        <v>1</v>
      </c>
      <c r="K7" s="114" t="s">
        <v>9780</v>
      </c>
      <c r="L7" s="115" t="s">
        <v>9780</v>
      </c>
      <c r="M7" s="115" t="s">
        <v>9780</v>
      </c>
      <c r="N7" s="79" t="str">
        <f t="shared" si="0"/>
        <v>Sim</v>
      </c>
      <c r="O7" s="105">
        <v>0</v>
      </c>
      <c r="P7" s="105">
        <v>100</v>
      </c>
    </row>
    <row r="8" spans="1:16" ht="17.25" customHeight="1" x14ac:dyDescent="0.4">
      <c r="A8" s="127" t="s">
        <v>9660</v>
      </c>
      <c r="B8" s="76" t="s">
        <v>9881</v>
      </c>
      <c r="C8" s="76" t="s">
        <v>10257</v>
      </c>
      <c r="D8" s="77" t="s">
        <v>9646</v>
      </c>
      <c r="E8" s="78" t="s">
        <v>9672</v>
      </c>
      <c r="F8" s="79" t="s">
        <v>9687</v>
      </c>
      <c r="G8" s="79" t="s">
        <v>9719</v>
      </c>
      <c r="H8" s="15" t="s">
        <v>10144</v>
      </c>
      <c r="I8" s="100">
        <v>48.4</v>
      </c>
      <c r="J8" s="27">
        <v>48.4</v>
      </c>
      <c r="K8" s="114" t="s">
        <v>9951</v>
      </c>
      <c r="L8" s="115" t="s">
        <v>10583</v>
      </c>
      <c r="M8" s="115" t="s">
        <v>10584</v>
      </c>
      <c r="N8" s="79" t="str">
        <f t="shared" si="0"/>
        <v>Sim</v>
      </c>
      <c r="O8" s="105">
        <v>0</v>
      </c>
      <c r="P8" s="105">
        <v>100</v>
      </c>
    </row>
    <row r="9" spans="1:16" ht="17.25" customHeight="1" x14ac:dyDescent="0.4">
      <c r="A9" s="127"/>
      <c r="B9" s="76" t="s">
        <v>9881</v>
      </c>
      <c r="C9" s="76" t="s">
        <v>10257</v>
      </c>
      <c r="D9" s="77" t="s">
        <v>9647</v>
      </c>
      <c r="E9" s="78" t="s">
        <v>9673</v>
      </c>
      <c r="F9" s="79" t="s">
        <v>9687</v>
      </c>
      <c r="G9" s="79" t="s">
        <v>9719</v>
      </c>
      <c r="H9" s="15" t="s">
        <v>10144</v>
      </c>
      <c r="I9" s="100">
        <v>3</v>
      </c>
      <c r="J9" s="27">
        <v>3</v>
      </c>
      <c r="K9" s="114" t="s">
        <v>9951</v>
      </c>
      <c r="L9" s="115" t="s">
        <v>10583</v>
      </c>
      <c r="M9" s="115" t="s">
        <v>9846</v>
      </c>
      <c r="N9" s="79" t="str">
        <f t="shared" si="0"/>
        <v>Sim</v>
      </c>
      <c r="O9" s="105">
        <v>0</v>
      </c>
      <c r="P9" s="105">
        <v>100</v>
      </c>
    </row>
    <row r="10" spans="1:16" ht="17.25" customHeight="1" x14ac:dyDescent="0.4">
      <c r="A10" s="127"/>
      <c r="B10" s="76" t="s">
        <v>9881</v>
      </c>
      <c r="C10" s="76" t="s">
        <v>10257</v>
      </c>
      <c r="D10" s="77" t="s">
        <v>9648</v>
      </c>
      <c r="E10" s="78" t="s">
        <v>9674</v>
      </c>
      <c r="F10" s="79" t="s">
        <v>9687</v>
      </c>
      <c r="G10" s="79" t="s">
        <v>9719</v>
      </c>
      <c r="H10" s="15" t="s">
        <v>10144</v>
      </c>
      <c r="I10" s="100">
        <v>13.1</v>
      </c>
      <c r="J10" s="27">
        <v>13.1</v>
      </c>
      <c r="K10" s="114" t="s">
        <v>9951</v>
      </c>
      <c r="L10" s="115" t="s">
        <v>10583</v>
      </c>
      <c r="M10" s="115" t="s">
        <v>9847</v>
      </c>
      <c r="N10" s="79" t="str">
        <f t="shared" si="0"/>
        <v>Sim</v>
      </c>
      <c r="O10" s="105">
        <v>0</v>
      </c>
      <c r="P10" s="105">
        <v>100</v>
      </c>
    </row>
    <row r="11" spans="1:16" s="18" customFormat="1" ht="17.25" customHeight="1" x14ac:dyDescent="0.4">
      <c r="A11" s="127"/>
      <c r="B11" s="76" t="s">
        <v>9881</v>
      </c>
      <c r="C11" s="76" t="s">
        <v>10257</v>
      </c>
      <c r="D11" s="77" t="s">
        <v>9649</v>
      </c>
      <c r="E11" s="78" t="s">
        <v>9675</v>
      </c>
      <c r="F11" s="79" t="s">
        <v>9687</v>
      </c>
      <c r="G11" s="79" t="s">
        <v>9719</v>
      </c>
      <c r="H11" s="15" t="s">
        <v>10144</v>
      </c>
      <c r="I11" s="100">
        <v>8.9</v>
      </c>
      <c r="J11" s="27">
        <v>8.9</v>
      </c>
      <c r="K11" s="114" t="s">
        <v>9951</v>
      </c>
      <c r="L11" s="115" t="s">
        <v>10583</v>
      </c>
      <c r="M11" s="115" t="s">
        <v>9848</v>
      </c>
      <c r="N11" s="79" t="str">
        <f t="shared" si="0"/>
        <v>Sim</v>
      </c>
      <c r="O11" s="105">
        <v>0</v>
      </c>
      <c r="P11" s="105">
        <v>100</v>
      </c>
    </row>
    <row r="12" spans="1:16" ht="17.25" customHeight="1" x14ac:dyDescent="0.4">
      <c r="A12" s="127"/>
      <c r="B12" s="76" t="s">
        <v>9881</v>
      </c>
      <c r="C12" s="76" t="s">
        <v>10257</v>
      </c>
      <c r="D12" s="77" t="s">
        <v>9650</v>
      </c>
      <c r="E12" s="78" t="s">
        <v>9676</v>
      </c>
      <c r="F12" s="79" t="s">
        <v>9687</v>
      </c>
      <c r="G12" s="79" t="s">
        <v>9719</v>
      </c>
      <c r="H12" s="15" t="s">
        <v>10144</v>
      </c>
      <c r="I12" s="100">
        <v>4.5999999999999996</v>
      </c>
      <c r="J12" s="27">
        <v>4.5999999999999996</v>
      </c>
      <c r="K12" s="114" t="s">
        <v>9951</v>
      </c>
      <c r="L12" s="115" t="s">
        <v>10583</v>
      </c>
      <c r="M12" s="115" t="s">
        <v>9849</v>
      </c>
      <c r="N12" s="79" t="str">
        <f t="shared" si="0"/>
        <v>Sim</v>
      </c>
      <c r="O12" s="105">
        <v>0</v>
      </c>
      <c r="P12" s="105">
        <v>100</v>
      </c>
    </row>
    <row r="13" spans="1:16" ht="17.25" customHeight="1" x14ac:dyDescent="0.4">
      <c r="A13" s="127"/>
      <c r="B13" s="76" t="s">
        <v>9881</v>
      </c>
      <c r="C13" s="76" t="s">
        <v>10257</v>
      </c>
      <c r="D13" s="77" t="s">
        <v>9651</v>
      </c>
      <c r="E13" s="78" t="s">
        <v>9677</v>
      </c>
      <c r="F13" s="79" t="s">
        <v>9687</v>
      </c>
      <c r="G13" s="79" t="s">
        <v>9719</v>
      </c>
      <c r="H13" s="15" t="s">
        <v>10144</v>
      </c>
      <c r="I13" s="100">
        <v>2.4</v>
      </c>
      <c r="J13" s="27">
        <v>2.4</v>
      </c>
      <c r="K13" s="114" t="s">
        <v>9951</v>
      </c>
      <c r="L13" s="115" t="s">
        <v>10583</v>
      </c>
      <c r="M13" s="115" t="s">
        <v>9850</v>
      </c>
      <c r="N13" s="79" t="str">
        <f t="shared" si="0"/>
        <v>Sim</v>
      </c>
      <c r="O13" s="105">
        <v>0</v>
      </c>
      <c r="P13" s="105">
        <v>100</v>
      </c>
    </row>
    <row r="14" spans="1:16" ht="17.25" customHeight="1" x14ac:dyDescent="0.4">
      <c r="A14" s="127"/>
      <c r="B14" s="76" t="s">
        <v>9881</v>
      </c>
      <c r="C14" s="76" t="s">
        <v>10257</v>
      </c>
      <c r="D14" s="77" t="s">
        <v>9652</v>
      </c>
      <c r="E14" s="78" t="s">
        <v>9678</v>
      </c>
      <c r="F14" s="79" t="s">
        <v>9687</v>
      </c>
      <c r="G14" s="79" t="s">
        <v>9719</v>
      </c>
      <c r="H14" s="15" t="s">
        <v>10144</v>
      </c>
      <c r="I14" s="100">
        <v>2.2999999999999998</v>
      </c>
      <c r="J14" s="27">
        <v>2.2999999999999998</v>
      </c>
      <c r="K14" s="114" t="s">
        <v>9951</v>
      </c>
      <c r="L14" s="115" t="s">
        <v>10583</v>
      </c>
      <c r="M14" s="115" t="s">
        <v>10023</v>
      </c>
      <c r="N14" s="79" t="str">
        <f t="shared" si="0"/>
        <v>Sim</v>
      </c>
      <c r="O14" s="105">
        <v>0</v>
      </c>
      <c r="P14" s="105">
        <v>100</v>
      </c>
    </row>
    <row r="15" spans="1:16" ht="17.25" customHeight="1" x14ac:dyDescent="0.4">
      <c r="A15" s="127"/>
      <c r="B15" s="76" t="s">
        <v>9881</v>
      </c>
      <c r="C15" s="76" t="s">
        <v>10257</v>
      </c>
      <c r="D15" s="77" t="s">
        <v>9653</v>
      </c>
      <c r="E15" s="78" t="s">
        <v>9679</v>
      </c>
      <c r="F15" s="79" t="s">
        <v>9687</v>
      </c>
      <c r="G15" s="79" t="s">
        <v>9719</v>
      </c>
      <c r="H15" s="15" t="s">
        <v>10144</v>
      </c>
      <c r="I15" s="100">
        <v>0.6</v>
      </c>
      <c r="J15" s="27">
        <v>0.6</v>
      </c>
      <c r="K15" s="114" t="s">
        <v>9951</v>
      </c>
      <c r="L15" s="115" t="s">
        <v>10583</v>
      </c>
      <c r="M15" s="115" t="s">
        <v>10585</v>
      </c>
      <c r="N15" s="79" t="str">
        <f t="shared" si="0"/>
        <v>Sim</v>
      </c>
      <c r="O15" s="105">
        <v>0</v>
      </c>
      <c r="P15" s="105">
        <v>100</v>
      </c>
    </row>
    <row r="16" spans="1:16" ht="17.25" customHeight="1" x14ac:dyDescent="0.4">
      <c r="A16" s="127"/>
      <c r="B16" s="76" t="s">
        <v>9881</v>
      </c>
      <c r="C16" s="76" t="s">
        <v>10257</v>
      </c>
      <c r="D16" s="77" t="s">
        <v>9654</v>
      </c>
      <c r="E16" s="78" t="s">
        <v>9680</v>
      </c>
      <c r="F16" s="79" t="s">
        <v>9687</v>
      </c>
      <c r="G16" s="79" t="s">
        <v>9719</v>
      </c>
      <c r="H16" s="15" t="s">
        <v>10144</v>
      </c>
      <c r="I16" s="100">
        <v>2.6</v>
      </c>
      <c r="J16" s="27">
        <v>2.6</v>
      </c>
      <c r="K16" s="114" t="s">
        <v>9951</v>
      </c>
      <c r="L16" s="115" t="s">
        <v>10583</v>
      </c>
      <c r="M16" s="115" t="s">
        <v>10586</v>
      </c>
      <c r="N16" s="79" t="str">
        <f t="shared" si="0"/>
        <v>Sim</v>
      </c>
      <c r="O16" s="105">
        <v>0</v>
      </c>
      <c r="P16" s="105">
        <v>100</v>
      </c>
    </row>
    <row r="17" spans="1:16" ht="17.25" customHeight="1" x14ac:dyDescent="0.4">
      <c r="A17" s="127"/>
      <c r="B17" s="76" t="s">
        <v>9881</v>
      </c>
      <c r="C17" s="76" t="s">
        <v>10257</v>
      </c>
      <c r="D17" s="77" t="s">
        <v>9655</v>
      </c>
      <c r="E17" s="78" t="s">
        <v>9681</v>
      </c>
      <c r="F17" s="79" t="s">
        <v>9687</v>
      </c>
      <c r="G17" s="79" t="s">
        <v>9719</v>
      </c>
      <c r="H17" s="15" t="s">
        <v>10144</v>
      </c>
      <c r="I17" s="100">
        <v>0.7</v>
      </c>
      <c r="J17" s="27">
        <v>0.7</v>
      </c>
      <c r="K17" s="114" t="s">
        <v>9951</v>
      </c>
      <c r="L17" s="115" t="s">
        <v>10583</v>
      </c>
      <c r="M17" s="115" t="s">
        <v>10587</v>
      </c>
      <c r="N17" s="79" t="str">
        <f t="shared" si="0"/>
        <v>Sim</v>
      </c>
      <c r="O17" s="105">
        <v>0</v>
      </c>
      <c r="P17" s="105">
        <v>100</v>
      </c>
    </row>
    <row r="18" spans="1:16" ht="17.25" customHeight="1" x14ac:dyDescent="0.4">
      <c r="A18" s="127"/>
      <c r="B18" s="76" t="s">
        <v>9881</v>
      </c>
      <c r="C18" s="76" t="s">
        <v>10257</v>
      </c>
      <c r="D18" s="77" t="s">
        <v>9656</v>
      </c>
      <c r="E18" s="78" t="s">
        <v>9682</v>
      </c>
      <c r="F18" s="79" t="s">
        <v>9687</v>
      </c>
      <c r="G18" s="79" t="s">
        <v>9719</v>
      </c>
      <c r="H18" s="15" t="s">
        <v>10144</v>
      </c>
      <c r="I18" s="100">
        <v>4</v>
      </c>
      <c r="J18" s="27">
        <v>4</v>
      </c>
      <c r="K18" s="114" t="s">
        <v>9951</v>
      </c>
      <c r="L18" s="115" t="s">
        <v>10583</v>
      </c>
      <c r="M18" s="115" t="s">
        <v>10588</v>
      </c>
      <c r="N18" s="79" t="str">
        <f t="shared" si="0"/>
        <v>Sim</v>
      </c>
      <c r="O18" s="105">
        <v>0</v>
      </c>
      <c r="P18" s="105">
        <v>100</v>
      </c>
    </row>
    <row r="19" spans="1:16" ht="17.25" customHeight="1" x14ac:dyDescent="0.4">
      <c r="A19" s="127"/>
      <c r="B19" s="76" t="s">
        <v>9881</v>
      </c>
      <c r="C19" s="76" t="s">
        <v>10257</v>
      </c>
      <c r="D19" s="77" t="s">
        <v>9657</v>
      </c>
      <c r="E19" s="78" t="s">
        <v>9683</v>
      </c>
      <c r="F19" s="79" t="s">
        <v>9687</v>
      </c>
      <c r="G19" s="79" t="s">
        <v>9719</v>
      </c>
      <c r="H19" s="15" t="s">
        <v>10144</v>
      </c>
      <c r="I19" s="100">
        <v>4.7</v>
      </c>
      <c r="J19" s="27">
        <v>4.7</v>
      </c>
      <c r="K19" s="114" t="s">
        <v>9951</v>
      </c>
      <c r="L19" s="115" t="s">
        <v>10583</v>
      </c>
      <c r="M19" s="115" t="s">
        <v>10589</v>
      </c>
      <c r="N19" s="79" t="str">
        <f t="shared" si="0"/>
        <v>Sim</v>
      </c>
      <c r="O19" s="105">
        <v>0</v>
      </c>
      <c r="P19" s="105">
        <v>100</v>
      </c>
    </row>
    <row r="20" spans="1:16" s="18" customFormat="1" ht="17.25" customHeight="1" x14ac:dyDescent="0.4">
      <c r="A20" s="127"/>
      <c r="B20" s="76" t="s">
        <v>9881</v>
      </c>
      <c r="C20" s="76" t="s">
        <v>10257</v>
      </c>
      <c r="D20" s="77" t="s">
        <v>9658</v>
      </c>
      <c r="E20" s="78" t="s">
        <v>9684</v>
      </c>
      <c r="F20" s="79" t="s">
        <v>9687</v>
      </c>
      <c r="G20" s="79" t="s">
        <v>9719</v>
      </c>
      <c r="H20" s="15" t="s">
        <v>10144</v>
      </c>
      <c r="I20" s="100">
        <v>0</v>
      </c>
      <c r="J20" s="27">
        <v>0</v>
      </c>
      <c r="K20" s="114" t="s">
        <v>9951</v>
      </c>
      <c r="L20" s="115" t="s">
        <v>10583</v>
      </c>
      <c r="M20" s="115" t="s">
        <v>10590</v>
      </c>
      <c r="N20" s="79" t="str">
        <f t="shared" si="0"/>
        <v>Sim</v>
      </c>
      <c r="O20" s="105">
        <v>0</v>
      </c>
      <c r="P20" s="105">
        <v>100</v>
      </c>
    </row>
    <row r="21" spans="1:16" ht="17.25" customHeight="1" x14ac:dyDescent="0.4">
      <c r="A21" s="127"/>
      <c r="B21" s="76" t="s">
        <v>9881</v>
      </c>
      <c r="C21" s="76" t="s">
        <v>10257</v>
      </c>
      <c r="D21" s="77" t="s">
        <v>9659</v>
      </c>
      <c r="E21" s="22" t="s">
        <v>9685</v>
      </c>
      <c r="F21" s="79" t="s">
        <v>9687</v>
      </c>
      <c r="G21" s="79" t="s">
        <v>9719</v>
      </c>
      <c r="H21" s="15" t="s">
        <v>10144</v>
      </c>
      <c r="I21" s="100">
        <v>4.7</v>
      </c>
      <c r="J21" s="27">
        <v>4.7</v>
      </c>
      <c r="K21" s="114" t="s">
        <v>9780</v>
      </c>
      <c r="L21" s="115" t="s">
        <v>9780</v>
      </c>
      <c r="M21" s="115" t="s">
        <v>9780</v>
      </c>
      <c r="N21" s="79" t="str">
        <f t="shared" si="0"/>
        <v>Sim</v>
      </c>
      <c r="O21" s="105">
        <v>0</v>
      </c>
      <c r="P21" s="105">
        <v>100</v>
      </c>
    </row>
    <row r="22" spans="1:16" ht="17.25" customHeight="1" x14ac:dyDescent="0.4">
      <c r="A22" s="127"/>
      <c r="B22" s="76" t="s">
        <v>9881</v>
      </c>
      <c r="C22" s="76" t="s">
        <v>10257</v>
      </c>
      <c r="D22" s="77" t="s">
        <v>10279</v>
      </c>
      <c r="E22" s="22" t="s">
        <v>10280</v>
      </c>
      <c r="F22" s="79" t="s">
        <v>9687</v>
      </c>
      <c r="G22" s="79" t="s">
        <v>9719</v>
      </c>
      <c r="H22" s="15" t="s">
        <v>10144</v>
      </c>
      <c r="I22" s="100">
        <v>100</v>
      </c>
      <c r="J22" s="27">
        <v>100</v>
      </c>
      <c r="K22" s="79" t="s">
        <v>9780</v>
      </c>
      <c r="L22" s="15" t="s">
        <v>9780</v>
      </c>
      <c r="M22" s="15" t="s">
        <v>9780</v>
      </c>
      <c r="N22" s="79" t="str">
        <f t="shared" si="0"/>
        <v>Sim</v>
      </c>
      <c r="O22" s="105">
        <v>100</v>
      </c>
      <c r="P22" s="105">
        <v>100</v>
      </c>
    </row>
    <row r="23" spans="1:16" ht="17.25" customHeight="1" x14ac:dyDescent="0.4">
      <c r="A23" s="127" t="s">
        <v>9697</v>
      </c>
      <c r="B23" s="76" t="s">
        <v>9881</v>
      </c>
      <c r="C23" s="76" t="s">
        <v>10259</v>
      </c>
      <c r="D23" s="77" t="s">
        <v>9689</v>
      </c>
      <c r="E23" s="78" t="s">
        <v>9703</v>
      </c>
      <c r="F23" s="79" t="s">
        <v>9687</v>
      </c>
      <c r="G23" s="79" t="s">
        <v>9719</v>
      </c>
      <c r="H23" s="79" t="s">
        <v>9634</v>
      </c>
      <c r="I23" s="100">
        <v>30</v>
      </c>
      <c r="J23" s="27">
        <v>30</v>
      </c>
      <c r="K23" s="27" t="s">
        <v>9780</v>
      </c>
      <c r="L23" s="27" t="s">
        <v>9780</v>
      </c>
      <c r="M23" s="27" t="s">
        <v>9780</v>
      </c>
      <c r="N23" s="79" t="str">
        <f t="shared" si="0"/>
        <v>Sim</v>
      </c>
      <c r="O23" s="102">
        <v>20</v>
      </c>
      <c r="P23" s="102">
        <v>80</v>
      </c>
    </row>
    <row r="24" spans="1:16" ht="17.25" customHeight="1" x14ac:dyDescent="0.4">
      <c r="A24" s="127"/>
      <c r="B24" s="76" t="s">
        <v>9881</v>
      </c>
      <c r="C24" s="76" t="s">
        <v>10259</v>
      </c>
      <c r="D24" s="77" t="s">
        <v>9690</v>
      </c>
      <c r="E24" s="78" t="s">
        <v>9704</v>
      </c>
      <c r="F24" s="79" t="s">
        <v>9687</v>
      </c>
      <c r="G24" s="79" t="s">
        <v>9719</v>
      </c>
      <c r="H24" s="79" t="s">
        <v>9962</v>
      </c>
      <c r="I24" s="100">
        <v>30</v>
      </c>
      <c r="J24" s="27">
        <v>30</v>
      </c>
      <c r="K24" s="114" t="s">
        <v>9780</v>
      </c>
      <c r="L24" s="115" t="s">
        <v>9780</v>
      </c>
      <c r="M24" s="115" t="s">
        <v>9780</v>
      </c>
      <c r="N24" s="79" t="str">
        <f t="shared" si="0"/>
        <v>Sim</v>
      </c>
      <c r="O24" s="102">
        <v>20</v>
      </c>
      <c r="P24" s="102">
        <v>35</v>
      </c>
    </row>
    <row r="25" spans="1:16" ht="17.25" customHeight="1" x14ac:dyDescent="0.4">
      <c r="A25" s="127"/>
      <c r="B25" s="76" t="s">
        <v>9881</v>
      </c>
      <c r="C25" s="76" t="s">
        <v>10259</v>
      </c>
      <c r="D25" s="77" t="s">
        <v>9691</v>
      </c>
      <c r="E25" s="78" t="s">
        <v>9705</v>
      </c>
      <c r="F25" s="79" t="s">
        <v>9687</v>
      </c>
      <c r="G25" s="79" t="s">
        <v>9719</v>
      </c>
      <c r="H25" s="79" t="s">
        <v>9634</v>
      </c>
      <c r="I25" s="100">
        <v>20</v>
      </c>
      <c r="J25" s="27">
        <v>20</v>
      </c>
      <c r="K25" s="114" t="s">
        <v>9780</v>
      </c>
      <c r="L25" s="115" t="s">
        <v>9780</v>
      </c>
      <c r="M25" s="115" t="s">
        <v>9780</v>
      </c>
      <c r="N25" s="79" t="str">
        <f t="shared" si="0"/>
        <v>Sim</v>
      </c>
      <c r="O25" s="102">
        <v>15</v>
      </c>
      <c r="P25" s="102">
        <v>40</v>
      </c>
    </row>
    <row r="26" spans="1:16" ht="17.25" customHeight="1" x14ac:dyDescent="0.4">
      <c r="A26" s="127"/>
      <c r="B26" s="76" t="s">
        <v>9881</v>
      </c>
      <c r="C26" s="76" t="s">
        <v>10259</v>
      </c>
      <c r="D26" s="81" t="s">
        <v>9945</v>
      </c>
      <c r="E26" s="78" t="s">
        <v>9963</v>
      </c>
      <c r="F26" s="79" t="s">
        <v>9687</v>
      </c>
      <c r="G26" s="79" t="s">
        <v>9719</v>
      </c>
      <c r="H26" s="79" t="s">
        <v>9947</v>
      </c>
      <c r="I26" s="100">
        <v>100</v>
      </c>
      <c r="J26" s="27">
        <v>100</v>
      </c>
      <c r="K26" s="27" t="s">
        <v>9951</v>
      </c>
      <c r="L26" s="15" t="s">
        <v>9949</v>
      </c>
      <c r="M26" s="15" t="s">
        <v>9950</v>
      </c>
      <c r="N26" s="79" t="str">
        <f t="shared" si="0"/>
        <v>Sim</v>
      </c>
      <c r="O26" s="102">
        <v>45</v>
      </c>
      <c r="P26" s="102">
        <v>300</v>
      </c>
    </row>
    <row r="27" spans="1:16" ht="17.25" customHeight="1" x14ac:dyDescent="0.4">
      <c r="A27" s="127"/>
      <c r="B27" s="76" t="s">
        <v>9881</v>
      </c>
      <c r="C27" s="76" t="s">
        <v>10259</v>
      </c>
      <c r="D27" s="81" t="s">
        <v>9964</v>
      </c>
      <c r="E27" s="78" t="s">
        <v>9967</v>
      </c>
      <c r="F27" s="79" t="s">
        <v>9687</v>
      </c>
      <c r="G27" s="79" t="s">
        <v>9719</v>
      </c>
      <c r="H27" s="79" t="s">
        <v>9948</v>
      </c>
      <c r="I27" s="100">
        <v>200</v>
      </c>
      <c r="J27" s="27">
        <v>200</v>
      </c>
      <c r="K27" s="27" t="s">
        <v>9968</v>
      </c>
      <c r="L27" s="15" t="s">
        <v>10490</v>
      </c>
      <c r="M27" s="15" t="s">
        <v>9839</v>
      </c>
      <c r="N27" s="79" t="str">
        <f t="shared" si="0"/>
        <v>Sim</v>
      </c>
      <c r="O27" s="102">
        <v>100</v>
      </c>
      <c r="P27" s="102">
        <v>1000</v>
      </c>
    </row>
    <row r="28" spans="1:16" ht="17.25" customHeight="1" x14ac:dyDescent="0.4">
      <c r="A28" s="127"/>
      <c r="B28" s="76" t="s">
        <v>9881</v>
      </c>
      <c r="C28" s="76" t="s">
        <v>10259</v>
      </c>
      <c r="D28" s="81" t="s">
        <v>9946</v>
      </c>
      <c r="E28" s="78" t="s">
        <v>9966</v>
      </c>
      <c r="F28" s="79" t="s">
        <v>9687</v>
      </c>
      <c r="G28" s="79" t="s">
        <v>9719</v>
      </c>
      <c r="H28" s="79" t="s">
        <v>9634</v>
      </c>
      <c r="I28" s="100">
        <v>2.5</v>
      </c>
      <c r="J28" s="27">
        <v>2.5</v>
      </c>
      <c r="K28" s="15" t="s">
        <v>9780</v>
      </c>
      <c r="L28" s="15" t="s">
        <v>9780</v>
      </c>
      <c r="M28" s="15" t="s">
        <v>9780</v>
      </c>
      <c r="N28" s="79" t="str">
        <f t="shared" si="0"/>
        <v>Sim</v>
      </c>
      <c r="O28" s="102">
        <v>0</v>
      </c>
      <c r="P28" s="102">
        <v>5</v>
      </c>
    </row>
    <row r="29" spans="1:16" s="18" customFormat="1" ht="17.25" customHeight="1" x14ac:dyDescent="0.4">
      <c r="A29" s="127"/>
      <c r="B29" s="76" t="s">
        <v>9881</v>
      </c>
      <c r="C29" s="76" t="s">
        <v>10259</v>
      </c>
      <c r="D29" s="77" t="s">
        <v>9692</v>
      </c>
      <c r="E29" s="78" t="s">
        <v>9809</v>
      </c>
      <c r="F29" s="79" t="s">
        <v>9687</v>
      </c>
      <c r="G29" s="79" t="s">
        <v>9719</v>
      </c>
      <c r="H29" s="79" t="s">
        <v>9698</v>
      </c>
      <c r="I29" s="100">
        <v>300</v>
      </c>
      <c r="J29" s="27">
        <v>300</v>
      </c>
      <c r="K29" s="114" t="s">
        <v>9780</v>
      </c>
      <c r="L29" s="115" t="s">
        <v>9780</v>
      </c>
      <c r="M29" s="115" t="s">
        <v>9780</v>
      </c>
      <c r="N29" s="79" t="str">
        <f t="shared" si="0"/>
        <v>Sim</v>
      </c>
      <c r="O29" s="102">
        <v>200</v>
      </c>
      <c r="P29" s="102">
        <v>1000</v>
      </c>
    </row>
    <row r="30" spans="1:16" s="18" customFormat="1" ht="17.25" customHeight="1" x14ac:dyDescent="0.4">
      <c r="A30" s="127"/>
      <c r="B30" s="76" t="s">
        <v>9881</v>
      </c>
      <c r="C30" s="76" t="s">
        <v>10259</v>
      </c>
      <c r="D30" s="77" t="s">
        <v>10539</v>
      </c>
      <c r="E30" s="82" t="s">
        <v>9706</v>
      </c>
      <c r="F30" s="79" t="s">
        <v>9687</v>
      </c>
      <c r="G30" s="79" t="s">
        <v>9719</v>
      </c>
      <c r="H30" s="79" t="s">
        <v>9634</v>
      </c>
      <c r="I30" s="100">
        <v>50</v>
      </c>
      <c r="J30" s="27">
        <v>50</v>
      </c>
      <c r="K30" s="79" t="s">
        <v>9780</v>
      </c>
      <c r="L30" s="15" t="s">
        <v>9780</v>
      </c>
      <c r="M30" s="15" t="s">
        <v>9780</v>
      </c>
      <c r="N30" s="79" t="str">
        <f t="shared" si="0"/>
        <v>Sim</v>
      </c>
      <c r="O30" s="102">
        <v>0</v>
      </c>
      <c r="P30" s="102">
        <v>500</v>
      </c>
    </row>
    <row r="31" spans="1:16" ht="17.25" customHeight="1" x14ac:dyDescent="0.4">
      <c r="A31" s="127"/>
      <c r="B31" s="76" t="s">
        <v>9881</v>
      </c>
      <c r="C31" s="76" t="s">
        <v>10259</v>
      </c>
      <c r="D31" s="77" t="s">
        <v>9693</v>
      </c>
      <c r="E31" s="82" t="s">
        <v>10540</v>
      </c>
      <c r="F31" s="79" t="s">
        <v>9687</v>
      </c>
      <c r="G31" s="79" t="s">
        <v>9720</v>
      </c>
      <c r="H31" s="79" t="s">
        <v>9634</v>
      </c>
      <c r="I31" s="101">
        <v>35</v>
      </c>
      <c r="J31" s="27">
        <f>(((J29-J27)+((J23/100)-(J28/100))*J26)/J29)*100</f>
        <v>42.5</v>
      </c>
      <c r="K31" s="79" t="s">
        <v>9780</v>
      </c>
      <c r="L31" s="15" t="s">
        <v>9780</v>
      </c>
      <c r="M31" s="15" t="s">
        <v>9780</v>
      </c>
      <c r="N31" s="79" t="str">
        <f t="shared" si="0"/>
        <v>Sim</v>
      </c>
      <c r="O31" s="102">
        <v>0</v>
      </c>
      <c r="P31" s="102">
        <v>100</v>
      </c>
    </row>
    <row r="32" spans="1:16" ht="17.25" customHeight="1" x14ac:dyDescent="0.4">
      <c r="A32" s="127" t="s">
        <v>9711</v>
      </c>
      <c r="B32" s="76" t="s">
        <v>9965</v>
      </c>
      <c r="C32" s="76" t="s">
        <v>10264</v>
      </c>
      <c r="D32" s="77" t="s">
        <v>10281</v>
      </c>
      <c r="E32" s="78" t="s">
        <v>9669</v>
      </c>
      <c r="F32" s="79" t="s">
        <v>9687</v>
      </c>
      <c r="G32" s="79" t="s">
        <v>9719</v>
      </c>
      <c r="H32" s="79" t="s">
        <v>9782</v>
      </c>
      <c r="I32" s="99">
        <v>1.24</v>
      </c>
      <c r="J32" s="80">
        <v>1.24</v>
      </c>
      <c r="K32" s="114" t="s">
        <v>9780</v>
      </c>
      <c r="L32" s="115" t="s">
        <v>9780</v>
      </c>
      <c r="M32" s="115" t="s">
        <v>9780</v>
      </c>
      <c r="N32" s="79" t="str">
        <f t="shared" si="0"/>
        <v>Sim</v>
      </c>
      <c r="O32" s="102">
        <v>0.5</v>
      </c>
      <c r="P32" s="102">
        <v>2.5</v>
      </c>
    </row>
    <row r="33" spans="1:16" ht="17.25" customHeight="1" x14ac:dyDescent="0.4">
      <c r="A33" s="127"/>
      <c r="B33" s="76" t="s">
        <v>9965</v>
      </c>
      <c r="C33" s="76" t="s">
        <v>10264</v>
      </c>
      <c r="D33" s="77" t="s">
        <v>9811</v>
      </c>
      <c r="E33" s="78" t="s">
        <v>9670</v>
      </c>
      <c r="F33" s="79" t="s">
        <v>9687</v>
      </c>
      <c r="G33" s="79" t="s">
        <v>9719</v>
      </c>
      <c r="H33" s="79" t="s">
        <v>9634</v>
      </c>
      <c r="I33" s="99">
        <v>30</v>
      </c>
      <c r="J33" s="80">
        <v>30</v>
      </c>
      <c r="K33" s="114" t="s">
        <v>9780</v>
      </c>
      <c r="L33" s="115" t="s">
        <v>9780</v>
      </c>
      <c r="M33" s="115" t="s">
        <v>9780</v>
      </c>
      <c r="N33" s="79" t="str">
        <f t="shared" si="0"/>
        <v>Sim</v>
      </c>
      <c r="O33" s="102">
        <v>0</v>
      </c>
      <c r="P33" s="102">
        <v>100</v>
      </c>
    </row>
    <row r="34" spans="1:16" ht="17.25" customHeight="1" x14ac:dyDescent="0.4">
      <c r="A34" s="127"/>
      <c r="B34" s="76" t="s">
        <v>9965</v>
      </c>
      <c r="C34" s="76" t="s">
        <v>10264</v>
      </c>
      <c r="D34" s="77" t="s">
        <v>10432</v>
      </c>
      <c r="E34" s="78" t="s">
        <v>10434</v>
      </c>
      <c r="F34" s="79" t="s">
        <v>9687</v>
      </c>
      <c r="G34" s="79" t="s">
        <v>9719</v>
      </c>
      <c r="H34" s="79" t="s">
        <v>10438</v>
      </c>
      <c r="I34" s="99">
        <v>150</v>
      </c>
      <c r="J34" s="80">
        <v>150</v>
      </c>
      <c r="K34" s="15" t="s">
        <v>9780</v>
      </c>
      <c r="L34" s="15" t="s">
        <v>9780</v>
      </c>
      <c r="M34" s="15" t="s">
        <v>9780</v>
      </c>
      <c r="N34" s="79" t="str">
        <f t="shared" si="0"/>
        <v>Sim</v>
      </c>
      <c r="O34" s="102">
        <v>0</v>
      </c>
      <c r="P34" s="102">
        <v>500</v>
      </c>
    </row>
    <row r="35" spans="1:16" ht="17.25" customHeight="1" x14ac:dyDescent="0.4">
      <c r="A35" s="127"/>
      <c r="B35" s="76" t="s">
        <v>9965</v>
      </c>
      <c r="C35" s="76" t="s">
        <v>10264</v>
      </c>
      <c r="D35" s="77" t="s">
        <v>10433</v>
      </c>
      <c r="E35" s="78" t="s">
        <v>10435</v>
      </c>
      <c r="F35" s="79" t="s">
        <v>9687</v>
      </c>
      <c r="G35" s="79" t="s">
        <v>9719</v>
      </c>
      <c r="H35" s="79" t="s">
        <v>10438</v>
      </c>
      <c r="I35" s="99">
        <v>25</v>
      </c>
      <c r="J35" s="80">
        <v>25</v>
      </c>
      <c r="K35" s="15" t="s">
        <v>9780</v>
      </c>
      <c r="L35" s="15" t="s">
        <v>9780</v>
      </c>
      <c r="M35" s="15" t="s">
        <v>9780</v>
      </c>
      <c r="N35" s="79" t="str">
        <f t="shared" si="0"/>
        <v>Sim</v>
      </c>
      <c r="O35" s="102">
        <v>0</v>
      </c>
      <c r="P35" s="102">
        <v>250</v>
      </c>
    </row>
    <row r="36" spans="1:16" ht="17.25" customHeight="1" x14ac:dyDescent="0.4">
      <c r="A36" s="127"/>
      <c r="B36" s="76" t="s">
        <v>9965</v>
      </c>
      <c r="C36" s="76" t="s">
        <v>10295</v>
      </c>
      <c r="D36" s="77" t="s">
        <v>10296</v>
      </c>
      <c r="E36" s="78" t="s">
        <v>10297</v>
      </c>
      <c r="F36" s="79" t="s">
        <v>9642</v>
      </c>
      <c r="G36" s="79" t="s">
        <v>9719</v>
      </c>
      <c r="H36" s="79" t="s">
        <v>9688</v>
      </c>
      <c r="I36" s="102" t="s">
        <v>9720</v>
      </c>
      <c r="J36" s="15" t="s">
        <v>9719</v>
      </c>
      <c r="K36" s="15" t="s">
        <v>9780</v>
      </c>
      <c r="L36" s="15" t="s">
        <v>9780</v>
      </c>
      <c r="M36" s="15" t="s">
        <v>9780</v>
      </c>
      <c r="N36" s="79" t="str">
        <f t="shared" si="0"/>
        <v>Sim</v>
      </c>
      <c r="O36" s="102" t="s">
        <v>9780</v>
      </c>
      <c r="P36" s="102" t="s">
        <v>9780</v>
      </c>
    </row>
    <row r="37" spans="1:16" ht="17.25" customHeight="1" x14ac:dyDescent="0.4">
      <c r="A37" s="127"/>
      <c r="B37" s="76" t="s">
        <v>10298</v>
      </c>
      <c r="C37" s="76" t="s">
        <v>10295</v>
      </c>
      <c r="D37" s="77" t="s">
        <v>10299</v>
      </c>
      <c r="E37" s="78" t="s">
        <v>10300</v>
      </c>
      <c r="F37" s="79" t="s">
        <v>9642</v>
      </c>
      <c r="G37" s="79" t="s">
        <v>9719</v>
      </c>
      <c r="H37" s="79" t="s">
        <v>9688</v>
      </c>
      <c r="I37" s="102" t="s">
        <v>9720</v>
      </c>
      <c r="J37" s="15" t="s">
        <v>9719</v>
      </c>
      <c r="K37" s="15" t="s">
        <v>9780</v>
      </c>
      <c r="L37" s="15" t="s">
        <v>9780</v>
      </c>
      <c r="M37" s="15" t="s">
        <v>9780</v>
      </c>
      <c r="N37" s="79" t="str">
        <f t="shared" si="0"/>
        <v>Sim</v>
      </c>
      <c r="O37" s="102" t="s">
        <v>9780</v>
      </c>
      <c r="P37" s="102" t="s">
        <v>9780</v>
      </c>
    </row>
    <row r="38" spans="1:16" ht="17.25" customHeight="1" x14ac:dyDescent="0.4">
      <c r="A38" s="127" t="s">
        <v>9956</v>
      </c>
      <c r="B38" s="15" t="s">
        <v>9965</v>
      </c>
      <c r="C38" s="15" t="s">
        <v>10260</v>
      </c>
      <c r="D38" s="81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2">
        <v>10</v>
      </c>
      <c r="J38" s="15">
        <v>10</v>
      </c>
      <c r="K38" s="15" t="s">
        <v>9780</v>
      </c>
      <c r="L38" s="15" t="s">
        <v>9780</v>
      </c>
      <c r="M38" s="15" t="s">
        <v>9780</v>
      </c>
      <c r="N38" s="79" t="str">
        <f t="shared" si="0"/>
        <v>Sim</v>
      </c>
      <c r="O38" s="102">
        <v>1</v>
      </c>
      <c r="P38" s="102">
        <v>25</v>
      </c>
    </row>
    <row r="39" spans="1:16" ht="17.25" customHeight="1" x14ac:dyDescent="0.4">
      <c r="A39" s="127"/>
      <c r="B39" s="15" t="s">
        <v>9965</v>
      </c>
      <c r="C39" s="15" t="s">
        <v>10260</v>
      </c>
      <c r="D39" s="81" t="s">
        <v>10542</v>
      </c>
      <c r="E39" s="22" t="s">
        <v>10543</v>
      </c>
      <c r="F39" s="15" t="s">
        <v>9687</v>
      </c>
      <c r="G39" s="15" t="s">
        <v>9719</v>
      </c>
      <c r="H39" s="15" t="s">
        <v>10544</v>
      </c>
      <c r="I39" s="102">
        <v>3</v>
      </c>
      <c r="J39" s="15">
        <v>2</v>
      </c>
      <c r="K39" s="15" t="s">
        <v>9780</v>
      </c>
      <c r="L39" s="15" t="s">
        <v>9780</v>
      </c>
      <c r="M39" s="15" t="s">
        <v>9780</v>
      </c>
      <c r="N39" s="79" t="str">
        <f t="shared" si="0"/>
        <v>Sim</v>
      </c>
      <c r="O39" s="102">
        <v>1</v>
      </c>
      <c r="P39" s="102">
        <v>3</v>
      </c>
    </row>
    <row r="40" spans="1:16" ht="17.25" customHeight="1" x14ac:dyDescent="0.4">
      <c r="A40" s="127"/>
      <c r="B40" s="15" t="s">
        <v>9965</v>
      </c>
      <c r="C40" s="15" t="s">
        <v>10260</v>
      </c>
      <c r="D40" s="81" t="s">
        <v>10546</v>
      </c>
      <c r="E40" s="22" t="s">
        <v>10547</v>
      </c>
      <c r="F40" s="15" t="s">
        <v>9687</v>
      </c>
      <c r="G40" s="15" t="s">
        <v>9719</v>
      </c>
      <c r="H40" s="15" t="s">
        <v>10544</v>
      </c>
      <c r="I40" s="102">
        <v>100</v>
      </c>
      <c r="J40" s="15">
        <v>100</v>
      </c>
      <c r="K40" s="15" t="s">
        <v>9780</v>
      </c>
      <c r="L40" s="15" t="s">
        <v>9780</v>
      </c>
      <c r="M40" s="15" t="s">
        <v>9780</v>
      </c>
      <c r="N40" s="79" t="str">
        <f t="shared" si="0"/>
        <v>Sim</v>
      </c>
      <c r="O40" s="102">
        <v>10</v>
      </c>
      <c r="P40" s="102">
        <v>1000</v>
      </c>
    </row>
    <row r="41" spans="1:16" ht="17.25" customHeight="1" x14ac:dyDescent="0.4">
      <c r="A41" s="127"/>
      <c r="B41" s="15" t="s">
        <v>9965</v>
      </c>
      <c r="C41" s="15" t="s">
        <v>10260</v>
      </c>
      <c r="D41" s="81" t="s">
        <v>9958</v>
      </c>
      <c r="E41" s="22" t="s">
        <v>9960</v>
      </c>
      <c r="F41" s="15" t="s">
        <v>9687</v>
      </c>
      <c r="G41" s="15" t="s">
        <v>9719</v>
      </c>
      <c r="H41" s="15" t="s">
        <v>9783</v>
      </c>
      <c r="I41" s="102">
        <v>0</v>
      </c>
      <c r="J41" s="15">
        <v>0</v>
      </c>
      <c r="K41" s="15" t="s">
        <v>9780</v>
      </c>
      <c r="L41" s="15" t="s">
        <v>9780</v>
      </c>
      <c r="M41" s="15" t="s">
        <v>9780</v>
      </c>
      <c r="N41" s="79" t="str">
        <f t="shared" si="0"/>
        <v>Sim</v>
      </c>
      <c r="O41" s="102">
        <v>0</v>
      </c>
      <c r="P41" s="102">
        <v>500</v>
      </c>
    </row>
    <row r="42" spans="1:16" ht="17.25" customHeight="1" x14ac:dyDescent="0.4">
      <c r="A42" s="127"/>
      <c r="B42" s="76" t="s">
        <v>9965</v>
      </c>
      <c r="C42" s="76" t="s">
        <v>10260</v>
      </c>
      <c r="D42" s="81" t="s">
        <v>9953</v>
      </c>
      <c r="E42" s="22" t="s">
        <v>9954</v>
      </c>
      <c r="F42" s="15" t="s">
        <v>9642</v>
      </c>
      <c r="G42" s="15" t="s">
        <v>9719</v>
      </c>
      <c r="H42" s="15" t="s">
        <v>9955</v>
      </c>
      <c r="I42" s="102" t="s">
        <v>10603</v>
      </c>
      <c r="J42" s="15" t="s">
        <v>9780</v>
      </c>
      <c r="K42" s="15" t="s">
        <v>9780</v>
      </c>
      <c r="L42" s="15" t="s">
        <v>9780</v>
      </c>
      <c r="M42" s="15" t="s">
        <v>9780</v>
      </c>
      <c r="N42" s="79" t="str">
        <f t="shared" si="0"/>
        <v>Sim</v>
      </c>
      <c r="O42" s="102" t="s">
        <v>9780</v>
      </c>
      <c r="P42" s="102" t="s">
        <v>9780</v>
      </c>
    </row>
    <row r="43" spans="1:16" ht="17.25" customHeight="1" x14ac:dyDescent="0.4">
      <c r="A43" s="127"/>
      <c r="B43" s="76" t="s">
        <v>9965</v>
      </c>
      <c r="C43" s="76" t="s">
        <v>10295</v>
      </c>
      <c r="D43" s="81" t="s">
        <v>10277</v>
      </c>
      <c r="E43" s="22" t="s">
        <v>10278</v>
      </c>
      <c r="F43" s="15" t="s">
        <v>9642</v>
      </c>
      <c r="G43" s="15" t="s">
        <v>9719</v>
      </c>
      <c r="H43" s="15" t="s">
        <v>9688</v>
      </c>
      <c r="I43" s="102" t="s">
        <v>9720</v>
      </c>
      <c r="J43" s="15" t="s">
        <v>9719</v>
      </c>
      <c r="K43" s="15" t="s">
        <v>9780</v>
      </c>
      <c r="L43" s="15" t="s">
        <v>9780</v>
      </c>
      <c r="M43" s="15" t="s">
        <v>9780</v>
      </c>
      <c r="N43" s="79" t="str">
        <f t="shared" si="0"/>
        <v>Sim</v>
      </c>
      <c r="O43" s="102" t="s">
        <v>9780</v>
      </c>
      <c r="P43" s="102" t="s">
        <v>9780</v>
      </c>
    </row>
    <row r="44" spans="1:16" ht="17.25" customHeight="1" x14ac:dyDescent="0.45">
      <c r="A44" s="127" t="s">
        <v>9990</v>
      </c>
      <c r="B44" s="76" t="s">
        <v>9865</v>
      </c>
      <c r="C44" s="76" t="s">
        <v>10267</v>
      </c>
      <c r="D44" s="81" t="s">
        <v>9991</v>
      </c>
      <c r="E44" s="22" t="s">
        <v>9997</v>
      </c>
      <c r="F44" s="15" t="s">
        <v>9687</v>
      </c>
      <c r="G44" s="15" t="s">
        <v>9719</v>
      </c>
      <c r="H44" s="15" t="s">
        <v>10144</v>
      </c>
      <c r="I44" s="102">
        <v>100</v>
      </c>
      <c r="J44" s="15">
        <v>100</v>
      </c>
      <c r="K44" s="79" t="s">
        <v>9951</v>
      </c>
      <c r="L44" s="83" t="s">
        <v>9993</v>
      </c>
      <c r="M44" s="83" t="s">
        <v>9994</v>
      </c>
      <c r="N44" s="79" t="str">
        <f t="shared" si="0"/>
        <v>Sim</v>
      </c>
      <c r="O44" s="102">
        <v>20</v>
      </c>
      <c r="P44" s="102">
        <v>100</v>
      </c>
    </row>
    <row r="45" spans="1:16" ht="17.25" customHeight="1" x14ac:dyDescent="0.45">
      <c r="A45" s="127"/>
      <c r="B45" s="76" t="s">
        <v>9865</v>
      </c>
      <c r="C45" s="76" t="s">
        <v>10267</v>
      </c>
      <c r="D45" s="81" t="s">
        <v>9992</v>
      </c>
      <c r="E45" s="22" t="s">
        <v>9996</v>
      </c>
      <c r="F45" s="15" t="s">
        <v>9687</v>
      </c>
      <c r="G45" s="15" t="s">
        <v>9719</v>
      </c>
      <c r="H45" s="15" t="s">
        <v>10144</v>
      </c>
      <c r="I45" s="102">
        <v>25</v>
      </c>
      <c r="J45" s="15">
        <v>25</v>
      </c>
      <c r="K45" s="79" t="s">
        <v>9951</v>
      </c>
      <c r="L45" s="83" t="s">
        <v>10145</v>
      </c>
      <c r="M45" s="83" t="s">
        <v>9995</v>
      </c>
      <c r="N45" s="79" t="str">
        <f t="shared" si="0"/>
        <v>Sim</v>
      </c>
      <c r="O45" s="102">
        <v>5</v>
      </c>
      <c r="P45" s="102">
        <v>50</v>
      </c>
    </row>
    <row r="46" spans="1:16" ht="17.25" customHeight="1" x14ac:dyDescent="0.4">
      <c r="A46" s="127" t="s">
        <v>9732</v>
      </c>
      <c r="B46" s="76" t="s">
        <v>9865</v>
      </c>
      <c r="C46" s="76" t="s">
        <v>10261</v>
      </c>
      <c r="D46" s="81" t="s">
        <v>9722</v>
      </c>
      <c r="E46" s="82" t="s">
        <v>9984</v>
      </c>
      <c r="F46" s="79" t="s">
        <v>9687</v>
      </c>
      <c r="G46" s="79" t="s">
        <v>9719</v>
      </c>
      <c r="H46" s="15" t="s">
        <v>9733</v>
      </c>
      <c r="I46" s="100">
        <v>6</v>
      </c>
      <c r="J46" s="27">
        <v>6</v>
      </c>
      <c r="K46" s="79" t="s">
        <v>9951</v>
      </c>
      <c r="L46" s="15" t="s">
        <v>9949</v>
      </c>
      <c r="M46" s="15" t="s">
        <v>9736</v>
      </c>
      <c r="N46" s="79" t="str">
        <f t="shared" si="0"/>
        <v>Sim</v>
      </c>
      <c r="O46" s="102">
        <v>1</v>
      </c>
      <c r="P46" s="102">
        <v>10</v>
      </c>
    </row>
    <row r="47" spans="1:16" ht="17.25" customHeight="1" x14ac:dyDescent="0.4">
      <c r="A47" s="127"/>
      <c r="B47" s="76" t="s">
        <v>9865</v>
      </c>
      <c r="C47" s="76" t="s">
        <v>10261</v>
      </c>
      <c r="D47" s="81" t="s">
        <v>9723</v>
      </c>
      <c r="E47" s="82" t="s">
        <v>9985</v>
      </c>
      <c r="F47" s="79" t="s">
        <v>9687</v>
      </c>
      <c r="G47" s="79" t="s">
        <v>9719</v>
      </c>
      <c r="H47" s="15" t="s">
        <v>10104</v>
      </c>
      <c r="I47" s="100">
        <v>5.5</v>
      </c>
      <c r="J47" s="27">
        <v>5.5</v>
      </c>
      <c r="K47" s="79" t="s">
        <v>9951</v>
      </c>
      <c r="L47" s="15" t="s">
        <v>9949</v>
      </c>
      <c r="M47" s="15" t="s">
        <v>9737</v>
      </c>
      <c r="N47" s="79" t="str">
        <f t="shared" si="0"/>
        <v>Sim</v>
      </c>
      <c r="O47" s="102">
        <v>1</v>
      </c>
      <c r="P47" s="102">
        <v>10</v>
      </c>
    </row>
    <row r="48" spans="1:16" ht="17.25" customHeight="1" x14ac:dyDescent="0.4">
      <c r="A48" s="127"/>
      <c r="B48" s="76" t="s">
        <v>9865</v>
      </c>
      <c r="C48" s="76" t="s">
        <v>10261</v>
      </c>
      <c r="D48" s="81" t="s">
        <v>9724</v>
      </c>
      <c r="E48" s="82" t="s">
        <v>10116</v>
      </c>
      <c r="F48" s="79" t="s">
        <v>9687</v>
      </c>
      <c r="G48" s="79" t="s">
        <v>9719</v>
      </c>
      <c r="H48" s="15" t="s">
        <v>9634</v>
      </c>
      <c r="I48" s="100">
        <v>40</v>
      </c>
      <c r="J48" s="27">
        <v>40</v>
      </c>
      <c r="K48" s="79" t="s">
        <v>9951</v>
      </c>
      <c r="L48" s="15" t="s">
        <v>9949</v>
      </c>
      <c r="M48" s="15" t="s">
        <v>9738</v>
      </c>
      <c r="N48" s="79" t="str">
        <f t="shared" si="0"/>
        <v>Sim</v>
      </c>
      <c r="O48" s="102">
        <v>10</v>
      </c>
      <c r="P48" s="102">
        <v>60</v>
      </c>
    </row>
    <row r="49" spans="1:16" s="18" customFormat="1" ht="17.25" customHeight="1" x14ac:dyDescent="0.4">
      <c r="A49" s="127"/>
      <c r="B49" s="76" t="s">
        <v>9865</v>
      </c>
      <c r="C49" s="76" t="s">
        <v>10261</v>
      </c>
      <c r="D49" s="81" t="s">
        <v>9725</v>
      </c>
      <c r="E49" s="82" t="s">
        <v>9987</v>
      </c>
      <c r="F49" s="79" t="s">
        <v>9687</v>
      </c>
      <c r="G49" s="79" t="s">
        <v>9719</v>
      </c>
      <c r="H49" s="15" t="s">
        <v>9734</v>
      </c>
      <c r="I49" s="100">
        <v>0</v>
      </c>
      <c r="J49" s="27">
        <v>0</v>
      </c>
      <c r="K49" s="79" t="s">
        <v>9951</v>
      </c>
      <c r="L49" s="15" t="s">
        <v>9949</v>
      </c>
      <c r="M49" s="15" t="s">
        <v>9739</v>
      </c>
      <c r="N49" s="79" t="str">
        <f t="shared" si="0"/>
        <v>Sim</v>
      </c>
      <c r="O49" s="102">
        <v>0</v>
      </c>
      <c r="P49" s="102">
        <v>1000</v>
      </c>
    </row>
    <row r="50" spans="1:16" ht="17.25" customHeight="1" x14ac:dyDescent="0.4">
      <c r="A50" s="127"/>
      <c r="B50" s="76" t="s">
        <v>9865</v>
      </c>
      <c r="C50" s="76" t="s">
        <v>10261</v>
      </c>
      <c r="D50" s="81" t="s">
        <v>9726</v>
      </c>
      <c r="E50" s="82" t="s">
        <v>9988</v>
      </c>
      <c r="F50" s="79" t="s">
        <v>9687</v>
      </c>
      <c r="G50" s="79" t="s">
        <v>9719</v>
      </c>
      <c r="H50" s="15" t="s">
        <v>9734</v>
      </c>
      <c r="I50" s="100">
        <v>25</v>
      </c>
      <c r="J50" s="27">
        <v>25</v>
      </c>
      <c r="K50" s="79" t="s">
        <v>9951</v>
      </c>
      <c r="L50" s="15" t="s">
        <v>9949</v>
      </c>
      <c r="M50" s="15" t="s">
        <v>9713</v>
      </c>
      <c r="N50" s="79" t="str">
        <f t="shared" si="0"/>
        <v>Sim</v>
      </c>
      <c r="O50" s="102">
        <v>0</v>
      </c>
      <c r="P50" s="102">
        <v>100</v>
      </c>
    </row>
    <row r="51" spans="1:16" ht="17.25" customHeight="1" x14ac:dyDescent="0.4">
      <c r="A51" s="127"/>
      <c r="B51" s="76" t="s">
        <v>9865</v>
      </c>
      <c r="C51" s="76" t="s">
        <v>10261</v>
      </c>
      <c r="D51" s="81" t="s">
        <v>9727</v>
      </c>
      <c r="E51" s="82" t="s">
        <v>9989</v>
      </c>
      <c r="F51" s="79" t="s">
        <v>9687</v>
      </c>
      <c r="G51" s="79" t="s">
        <v>9719</v>
      </c>
      <c r="H51" s="15" t="s">
        <v>9734</v>
      </c>
      <c r="I51" s="100">
        <v>500</v>
      </c>
      <c r="J51" s="27">
        <v>500</v>
      </c>
      <c r="K51" s="79" t="s">
        <v>9951</v>
      </c>
      <c r="L51" s="15" t="s">
        <v>9949</v>
      </c>
      <c r="M51" s="15" t="s">
        <v>9714</v>
      </c>
      <c r="N51" s="79" t="str">
        <f t="shared" si="0"/>
        <v>Sim</v>
      </c>
      <c r="O51" s="102">
        <v>0</v>
      </c>
      <c r="P51" s="102">
        <v>5000</v>
      </c>
    </row>
    <row r="52" spans="1:16" ht="17.25" customHeight="1" x14ac:dyDescent="0.4">
      <c r="A52" s="127"/>
      <c r="B52" s="76" t="s">
        <v>9865</v>
      </c>
      <c r="C52" s="76" t="s">
        <v>10261</v>
      </c>
      <c r="D52" s="81" t="s">
        <v>9728</v>
      </c>
      <c r="E52" s="82" t="s">
        <v>10099</v>
      </c>
      <c r="F52" s="79" t="s">
        <v>9687</v>
      </c>
      <c r="G52" s="79" t="s">
        <v>9719</v>
      </c>
      <c r="H52" s="15" t="s">
        <v>9634</v>
      </c>
      <c r="I52" s="100">
        <v>65</v>
      </c>
      <c r="J52" s="27">
        <v>65</v>
      </c>
      <c r="K52" s="79" t="s">
        <v>9951</v>
      </c>
      <c r="L52" s="15" t="s">
        <v>9949</v>
      </c>
      <c r="M52" s="15" t="s">
        <v>9715</v>
      </c>
      <c r="N52" s="79" t="str">
        <f t="shared" si="0"/>
        <v>Sim</v>
      </c>
      <c r="O52" s="102">
        <v>25</v>
      </c>
      <c r="P52" s="102">
        <v>100</v>
      </c>
    </row>
    <row r="53" spans="1:16" ht="17.25" customHeight="1" x14ac:dyDescent="0.4">
      <c r="A53" s="127"/>
      <c r="B53" s="76" t="s">
        <v>9865</v>
      </c>
      <c r="C53" s="76" t="s">
        <v>10261</v>
      </c>
      <c r="D53" s="81" t="s">
        <v>9729</v>
      </c>
      <c r="E53" s="82" t="s">
        <v>10100</v>
      </c>
      <c r="F53" s="79" t="s">
        <v>9687</v>
      </c>
      <c r="G53" s="79" t="s">
        <v>9719</v>
      </c>
      <c r="H53" s="15" t="s">
        <v>9735</v>
      </c>
      <c r="I53" s="100">
        <v>5000</v>
      </c>
      <c r="J53" s="27">
        <v>5000</v>
      </c>
      <c r="K53" s="79" t="s">
        <v>9951</v>
      </c>
      <c r="L53" s="15" t="s">
        <v>9949</v>
      </c>
      <c r="M53" s="15" t="s">
        <v>9740</v>
      </c>
      <c r="N53" s="79" t="str">
        <f t="shared" si="0"/>
        <v>Sim</v>
      </c>
      <c r="O53" s="102">
        <v>3000</v>
      </c>
      <c r="P53" s="102">
        <v>10000</v>
      </c>
    </row>
    <row r="54" spans="1:16" ht="17.25" customHeight="1" x14ac:dyDescent="0.4">
      <c r="A54" s="127"/>
      <c r="B54" s="76" t="s">
        <v>9865</v>
      </c>
      <c r="C54" s="76" t="s">
        <v>10261</v>
      </c>
      <c r="D54" s="81" t="s">
        <v>9730</v>
      </c>
      <c r="E54" s="82" t="s">
        <v>10101</v>
      </c>
      <c r="F54" s="79" t="s">
        <v>9687</v>
      </c>
      <c r="G54" s="79" t="s">
        <v>9719</v>
      </c>
      <c r="H54" s="15" t="s">
        <v>9734</v>
      </c>
      <c r="I54" s="100">
        <v>1500</v>
      </c>
      <c r="J54" s="27">
        <v>1500</v>
      </c>
      <c r="K54" s="79" t="s">
        <v>9951</v>
      </c>
      <c r="L54" s="15" t="s">
        <v>9949</v>
      </c>
      <c r="M54" s="15" t="s">
        <v>9741</v>
      </c>
      <c r="N54" s="79" t="str">
        <f t="shared" si="0"/>
        <v>Sim</v>
      </c>
      <c r="O54" s="102">
        <v>1000</v>
      </c>
      <c r="P54" s="102">
        <v>5000</v>
      </c>
    </row>
    <row r="55" spans="1:16" ht="17.25" customHeight="1" x14ac:dyDescent="0.4">
      <c r="A55" s="127"/>
      <c r="B55" s="76" t="s">
        <v>9865</v>
      </c>
      <c r="C55" s="76" t="s">
        <v>10261</v>
      </c>
      <c r="D55" s="81" t="s">
        <v>9731</v>
      </c>
      <c r="E55" s="82" t="s">
        <v>9986</v>
      </c>
      <c r="F55" s="79" t="s">
        <v>9687</v>
      </c>
      <c r="G55" s="79" t="s">
        <v>9719</v>
      </c>
      <c r="H55" s="15" t="s">
        <v>9634</v>
      </c>
      <c r="I55" s="100">
        <v>0</v>
      </c>
      <c r="J55" s="27">
        <v>0</v>
      </c>
      <c r="K55" s="79" t="s">
        <v>9951</v>
      </c>
      <c r="L55" s="15" t="s">
        <v>9949</v>
      </c>
      <c r="M55" s="15" t="s">
        <v>9742</v>
      </c>
      <c r="N55" s="79" t="str">
        <f t="shared" si="0"/>
        <v>Sim</v>
      </c>
      <c r="O55" s="102">
        <v>0</v>
      </c>
      <c r="P55" s="102">
        <v>100</v>
      </c>
    </row>
    <row r="56" spans="1:16" ht="17.25" customHeight="1" x14ac:dyDescent="0.4">
      <c r="A56" s="127"/>
      <c r="B56" s="76" t="s">
        <v>9865</v>
      </c>
      <c r="C56" s="76" t="s">
        <v>10261</v>
      </c>
      <c r="D56" s="81" t="s">
        <v>10282</v>
      </c>
      <c r="E56" s="82" t="s">
        <v>10102</v>
      </c>
      <c r="F56" s="79" t="s">
        <v>9687</v>
      </c>
      <c r="G56" s="79" t="s">
        <v>9719</v>
      </c>
      <c r="H56" s="15" t="s">
        <v>9634</v>
      </c>
      <c r="I56" s="100">
        <v>25</v>
      </c>
      <c r="J56" s="27">
        <v>25</v>
      </c>
      <c r="K56" s="79" t="s">
        <v>9951</v>
      </c>
      <c r="L56" s="15" t="s">
        <v>9949</v>
      </c>
      <c r="M56" s="15" t="s">
        <v>9743</v>
      </c>
      <c r="N56" s="79" t="str">
        <f t="shared" si="0"/>
        <v>Sim</v>
      </c>
      <c r="O56" s="102">
        <v>0</v>
      </c>
      <c r="P56" s="102">
        <v>50</v>
      </c>
    </row>
    <row r="57" spans="1:16" ht="17.25" customHeight="1" x14ac:dyDescent="0.4">
      <c r="A57" s="127"/>
      <c r="B57" s="76" t="s">
        <v>9865</v>
      </c>
      <c r="C57" s="76" t="s">
        <v>10261</v>
      </c>
      <c r="D57" s="81" t="s">
        <v>10283</v>
      </c>
      <c r="E57" s="82" t="s">
        <v>10103</v>
      </c>
      <c r="F57" s="79" t="s">
        <v>9687</v>
      </c>
      <c r="G57" s="79" t="s">
        <v>9719</v>
      </c>
      <c r="H57" s="15" t="s">
        <v>9634</v>
      </c>
      <c r="I57" s="100">
        <v>0</v>
      </c>
      <c r="J57" s="27">
        <v>0</v>
      </c>
      <c r="K57" s="79" t="s">
        <v>9951</v>
      </c>
      <c r="L57" s="15" t="s">
        <v>9949</v>
      </c>
      <c r="M57" s="15" t="s">
        <v>9744</v>
      </c>
      <c r="N57" s="79" t="str">
        <f t="shared" si="0"/>
        <v>Sim</v>
      </c>
      <c r="O57" s="102">
        <v>0</v>
      </c>
      <c r="P57" s="102">
        <v>25</v>
      </c>
    </row>
    <row r="58" spans="1:16" ht="17.25" customHeight="1" x14ac:dyDescent="0.4">
      <c r="A58" s="127"/>
      <c r="B58" s="76" t="s">
        <v>9865</v>
      </c>
      <c r="C58" s="76" t="s">
        <v>10261</v>
      </c>
      <c r="D58" s="81" t="s">
        <v>10284</v>
      </c>
      <c r="E58" s="82" t="s">
        <v>10107</v>
      </c>
      <c r="F58" s="79" t="s">
        <v>9687</v>
      </c>
      <c r="G58" s="79" t="s">
        <v>9719</v>
      </c>
      <c r="H58" s="15" t="s">
        <v>9634</v>
      </c>
      <c r="I58" s="100">
        <v>25</v>
      </c>
      <c r="J58" s="27">
        <v>25</v>
      </c>
      <c r="K58" s="79" t="s">
        <v>9951</v>
      </c>
      <c r="L58" s="15" t="s">
        <v>9949</v>
      </c>
      <c r="M58" s="15" t="s">
        <v>9745</v>
      </c>
      <c r="N58" s="79" t="str">
        <f t="shared" si="0"/>
        <v>Sim</v>
      </c>
      <c r="O58" s="102">
        <v>0</v>
      </c>
      <c r="P58" s="102">
        <v>50</v>
      </c>
    </row>
    <row r="59" spans="1:16" ht="17.25" customHeight="1" x14ac:dyDescent="0.4">
      <c r="A59" s="127"/>
      <c r="B59" s="76" t="s">
        <v>9865</v>
      </c>
      <c r="C59" s="76" t="s">
        <v>10261</v>
      </c>
      <c r="D59" s="81" t="s">
        <v>10285</v>
      </c>
      <c r="E59" s="82" t="s">
        <v>10108</v>
      </c>
      <c r="F59" s="79" t="s">
        <v>9687</v>
      </c>
      <c r="G59" s="79" t="s">
        <v>9719</v>
      </c>
      <c r="H59" s="15" t="s">
        <v>9634</v>
      </c>
      <c r="I59" s="100">
        <v>0</v>
      </c>
      <c r="J59" s="27">
        <v>0</v>
      </c>
      <c r="K59" s="79" t="s">
        <v>9951</v>
      </c>
      <c r="L59" s="15" t="s">
        <v>9949</v>
      </c>
      <c r="M59" s="15" t="s">
        <v>9746</v>
      </c>
      <c r="N59" s="79" t="str">
        <f t="shared" si="0"/>
        <v>Sim</v>
      </c>
      <c r="O59" s="102">
        <v>0</v>
      </c>
      <c r="P59" s="102">
        <v>25</v>
      </c>
    </row>
    <row r="60" spans="1:16" ht="17.25" customHeight="1" x14ac:dyDescent="0.4">
      <c r="A60" s="127"/>
      <c r="B60" s="76" t="s">
        <v>9865</v>
      </c>
      <c r="C60" s="76" t="s">
        <v>10261</v>
      </c>
      <c r="D60" s="81" t="s">
        <v>10286</v>
      </c>
      <c r="E60" s="82" t="s">
        <v>10105</v>
      </c>
      <c r="F60" s="79" t="s">
        <v>9687</v>
      </c>
      <c r="G60" s="79" t="s">
        <v>9719</v>
      </c>
      <c r="H60" s="15" t="s">
        <v>9634</v>
      </c>
      <c r="I60" s="100">
        <v>25</v>
      </c>
      <c r="J60" s="27">
        <v>25</v>
      </c>
      <c r="K60" s="79" t="s">
        <v>9951</v>
      </c>
      <c r="L60" s="15" t="s">
        <v>9949</v>
      </c>
      <c r="M60" s="15" t="s">
        <v>9747</v>
      </c>
      <c r="N60" s="79" t="str">
        <f t="shared" si="0"/>
        <v>Sim</v>
      </c>
      <c r="O60" s="102">
        <v>0</v>
      </c>
      <c r="P60" s="102">
        <v>50</v>
      </c>
    </row>
    <row r="61" spans="1:16" ht="17.25" customHeight="1" x14ac:dyDescent="0.4">
      <c r="A61" s="127"/>
      <c r="B61" s="76" t="s">
        <v>9865</v>
      </c>
      <c r="C61" s="76" t="s">
        <v>10261</v>
      </c>
      <c r="D61" s="81" t="s">
        <v>10287</v>
      </c>
      <c r="E61" s="82" t="s">
        <v>10106</v>
      </c>
      <c r="F61" s="79" t="s">
        <v>9687</v>
      </c>
      <c r="G61" s="79" t="s">
        <v>9719</v>
      </c>
      <c r="H61" s="15" t="s">
        <v>9634</v>
      </c>
      <c r="I61" s="100">
        <v>25</v>
      </c>
      <c r="J61" s="27">
        <v>25</v>
      </c>
      <c r="K61" s="79" t="s">
        <v>9951</v>
      </c>
      <c r="L61" s="15" t="s">
        <v>9949</v>
      </c>
      <c r="M61" s="15" t="s">
        <v>9748</v>
      </c>
      <c r="N61" s="79" t="str">
        <f t="shared" si="0"/>
        <v>Sim</v>
      </c>
      <c r="O61" s="102">
        <v>0</v>
      </c>
      <c r="P61" s="102">
        <v>25</v>
      </c>
    </row>
    <row r="62" spans="1:16" ht="17.25" customHeight="1" x14ac:dyDescent="0.4">
      <c r="A62" s="127"/>
      <c r="B62" s="76" t="s">
        <v>9865</v>
      </c>
      <c r="C62" s="76" t="s">
        <v>10261</v>
      </c>
      <c r="D62" s="81" t="s">
        <v>10288</v>
      </c>
      <c r="E62" s="82" t="s">
        <v>10109</v>
      </c>
      <c r="F62" s="79" t="s">
        <v>9687</v>
      </c>
      <c r="G62" s="79" t="s">
        <v>9719</v>
      </c>
      <c r="H62" s="15" t="s">
        <v>9634</v>
      </c>
      <c r="I62" s="100">
        <v>25</v>
      </c>
      <c r="J62" s="27">
        <v>25</v>
      </c>
      <c r="K62" s="79" t="s">
        <v>9951</v>
      </c>
      <c r="L62" s="15" t="s">
        <v>9949</v>
      </c>
      <c r="M62" s="15" t="s">
        <v>9749</v>
      </c>
      <c r="N62" s="79" t="str">
        <f t="shared" si="0"/>
        <v>Sim</v>
      </c>
      <c r="O62" s="102">
        <v>0</v>
      </c>
      <c r="P62" s="102">
        <v>50</v>
      </c>
    </row>
    <row r="63" spans="1:16" ht="17.25" customHeight="1" x14ac:dyDescent="0.4">
      <c r="A63" s="127"/>
      <c r="B63" s="76" t="s">
        <v>9865</v>
      </c>
      <c r="C63" s="76" t="s">
        <v>10261</v>
      </c>
      <c r="D63" s="81" t="s">
        <v>10289</v>
      </c>
      <c r="E63" s="82" t="s">
        <v>10110</v>
      </c>
      <c r="F63" s="79" t="s">
        <v>9687</v>
      </c>
      <c r="G63" s="79" t="s">
        <v>9719</v>
      </c>
      <c r="H63" s="15" t="s">
        <v>9634</v>
      </c>
      <c r="I63" s="100">
        <v>0</v>
      </c>
      <c r="J63" s="27">
        <v>0</v>
      </c>
      <c r="K63" s="79" t="s">
        <v>9951</v>
      </c>
      <c r="L63" s="15" t="s">
        <v>9949</v>
      </c>
      <c r="M63" s="15" t="s">
        <v>9750</v>
      </c>
      <c r="N63" s="79" t="str">
        <f t="shared" si="0"/>
        <v>Sim</v>
      </c>
      <c r="O63" s="102">
        <v>0</v>
      </c>
      <c r="P63" s="102">
        <v>25</v>
      </c>
    </row>
    <row r="64" spans="1:16" ht="17.25" customHeight="1" x14ac:dyDescent="0.4">
      <c r="A64" s="127"/>
      <c r="B64" s="76" t="s">
        <v>9865</v>
      </c>
      <c r="C64" s="76" t="s">
        <v>10261</v>
      </c>
      <c r="D64" s="81" t="s">
        <v>10290</v>
      </c>
      <c r="E64" s="82" t="s">
        <v>10111</v>
      </c>
      <c r="F64" s="79" t="s">
        <v>9687</v>
      </c>
      <c r="G64" s="79" t="s">
        <v>9719</v>
      </c>
      <c r="H64" s="15" t="s">
        <v>9634</v>
      </c>
      <c r="I64" s="100">
        <v>25</v>
      </c>
      <c r="J64" s="27">
        <v>25</v>
      </c>
      <c r="K64" s="79" t="s">
        <v>9951</v>
      </c>
      <c r="L64" s="15" t="s">
        <v>9949</v>
      </c>
      <c r="M64" s="15" t="s">
        <v>9751</v>
      </c>
      <c r="N64" s="79" t="str">
        <f t="shared" si="0"/>
        <v>Sim</v>
      </c>
      <c r="O64" s="102">
        <v>0</v>
      </c>
      <c r="P64" s="102">
        <v>80</v>
      </c>
    </row>
    <row r="65" spans="1:16" ht="17.25" customHeight="1" x14ac:dyDescent="0.4">
      <c r="A65" s="127"/>
      <c r="B65" s="76" t="s">
        <v>9865</v>
      </c>
      <c r="C65" s="76" t="s">
        <v>10261</v>
      </c>
      <c r="D65" s="81" t="s">
        <v>10291</v>
      </c>
      <c r="E65" s="82" t="s">
        <v>10112</v>
      </c>
      <c r="F65" s="79" t="s">
        <v>9687</v>
      </c>
      <c r="G65" s="79" t="s">
        <v>9719</v>
      </c>
      <c r="H65" s="15" t="s">
        <v>9634</v>
      </c>
      <c r="I65" s="100">
        <v>0</v>
      </c>
      <c r="J65" s="27">
        <v>0</v>
      </c>
      <c r="K65" s="79" t="s">
        <v>9951</v>
      </c>
      <c r="L65" s="15" t="s">
        <v>9949</v>
      </c>
      <c r="M65" s="15" t="s">
        <v>9752</v>
      </c>
      <c r="N65" s="79" t="str">
        <f t="shared" si="0"/>
        <v>Sim</v>
      </c>
      <c r="O65" s="102">
        <v>0</v>
      </c>
      <c r="P65" s="102">
        <v>25</v>
      </c>
    </row>
    <row r="66" spans="1:16" s="18" customFormat="1" ht="17.25" customHeight="1" x14ac:dyDescent="0.4">
      <c r="A66" s="127"/>
      <c r="B66" s="76" t="s">
        <v>9865</v>
      </c>
      <c r="C66" s="76" t="s">
        <v>10261</v>
      </c>
      <c r="D66" s="81" t="s">
        <v>10292</v>
      </c>
      <c r="E66" s="82" t="s">
        <v>10113</v>
      </c>
      <c r="F66" s="79" t="s">
        <v>9687</v>
      </c>
      <c r="G66" s="79" t="s">
        <v>9719</v>
      </c>
      <c r="H66" s="15" t="s">
        <v>9634</v>
      </c>
      <c r="I66" s="100">
        <v>25</v>
      </c>
      <c r="J66" s="27">
        <v>25</v>
      </c>
      <c r="K66" s="79" t="s">
        <v>9951</v>
      </c>
      <c r="L66" s="15" t="s">
        <v>9949</v>
      </c>
      <c r="M66" s="15" t="s">
        <v>9753</v>
      </c>
      <c r="N66" s="79" t="str">
        <f t="shared" si="0"/>
        <v>Sim</v>
      </c>
      <c r="O66" s="102">
        <v>0</v>
      </c>
      <c r="P66" s="102">
        <v>25</v>
      </c>
    </row>
    <row r="67" spans="1:16" ht="17.25" customHeight="1" x14ac:dyDescent="0.4">
      <c r="A67" s="127"/>
      <c r="B67" s="76" t="s">
        <v>9865</v>
      </c>
      <c r="C67" s="76" t="s">
        <v>10261</v>
      </c>
      <c r="D67" s="81" t="s">
        <v>10293</v>
      </c>
      <c r="E67" s="82" t="s">
        <v>10114</v>
      </c>
      <c r="F67" s="79" t="s">
        <v>9687</v>
      </c>
      <c r="G67" s="79" t="s">
        <v>9719</v>
      </c>
      <c r="H67" s="15" t="s">
        <v>9634</v>
      </c>
      <c r="I67" s="100">
        <v>0</v>
      </c>
      <c r="J67" s="27">
        <v>0</v>
      </c>
      <c r="K67" s="79" t="s">
        <v>9951</v>
      </c>
      <c r="L67" s="15" t="s">
        <v>9949</v>
      </c>
      <c r="M67" s="15" t="s">
        <v>9754</v>
      </c>
      <c r="N67" s="79" t="str">
        <f t="shared" si="0"/>
        <v>Sim</v>
      </c>
      <c r="O67" s="102">
        <v>0</v>
      </c>
      <c r="P67" s="102">
        <v>25</v>
      </c>
    </row>
    <row r="68" spans="1:16" ht="17.25" customHeight="1" x14ac:dyDescent="0.4">
      <c r="A68" s="127"/>
      <c r="B68" s="76" t="s">
        <v>9865</v>
      </c>
      <c r="C68" s="76" t="s">
        <v>10261</v>
      </c>
      <c r="D68" s="81" t="s">
        <v>10294</v>
      </c>
      <c r="E68" s="82" t="s">
        <v>10115</v>
      </c>
      <c r="F68" s="79" t="s">
        <v>9687</v>
      </c>
      <c r="G68" s="79" t="s">
        <v>9719</v>
      </c>
      <c r="H68" s="15" t="s">
        <v>9634</v>
      </c>
      <c r="I68" s="100">
        <v>0</v>
      </c>
      <c r="J68" s="27">
        <v>0</v>
      </c>
      <c r="K68" s="79" t="s">
        <v>9951</v>
      </c>
      <c r="L68" s="15" t="s">
        <v>9949</v>
      </c>
      <c r="M68" s="15" t="s">
        <v>9755</v>
      </c>
      <c r="N68" s="79" t="str">
        <f t="shared" si="0"/>
        <v>Sim</v>
      </c>
      <c r="O68" s="102">
        <v>0</v>
      </c>
      <c r="P68" s="102">
        <v>25</v>
      </c>
    </row>
    <row r="69" spans="1:16" ht="17.25" customHeight="1" x14ac:dyDescent="0.4">
      <c r="A69" s="127" t="s">
        <v>9756</v>
      </c>
      <c r="B69" s="76" t="s">
        <v>9865</v>
      </c>
      <c r="C69" s="76" t="s">
        <v>10266</v>
      </c>
      <c r="D69" s="81" t="s">
        <v>9757</v>
      </c>
      <c r="E69" s="82" t="s">
        <v>10117</v>
      </c>
      <c r="F69" s="79" t="s">
        <v>9687</v>
      </c>
      <c r="G69" s="79" t="s">
        <v>9719</v>
      </c>
      <c r="H69" s="15" t="s">
        <v>9812</v>
      </c>
      <c r="I69" s="100">
        <v>20000</v>
      </c>
      <c r="J69" s="27">
        <v>20000</v>
      </c>
      <c r="K69" s="79" t="s">
        <v>9951</v>
      </c>
      <c r="L69" s="15" t="s">
        <v>9949</v>
      </c>
      <c r="M69" s="15" t="s">
        <v>9820</v>
      </c>
      <c r="N69" s="79" t="str">
        <f t="shared" si="0"/>
        <v>Sim</v>
      </c>
      <c r="O69" s="102">
        <v>10000</v>
      </c>
      <c r="P69" s="102">
        <v>50000</v>
      </c>
    </row>
    <row r="70" spans="1:16" ht="17.25" customHeight="1" x14ac:dyDescent="0.4">
      <c r="A70" s="127"/>
      <c r="B70" s="76" t="s">
        <v>9865</v>
      </c>
      <c r="C70" s="76" t="s">
        <v>10266</v>
      </c>
      <c r="D70" s="81" t="s">
        <v>9758</v>
      </c>
      <c r="E70" s="82" t="s">
        <v>10118</v>
      </c>
      <c r="F70" s="79" t="s">
        <v>9687</v>
      </c>
      <c r="G70" s="79" t="s">
        <v>9719</v>
      </c>
      <c r="H70" s="15" t="s">
        <v>9812</v>
      </c>
      <c r="I70" s="100">
        <v>10000</v>
      </c>
      <c r="J70" s="27">
        <v>10000</v>
      </c>
      <c r="K70" s="79" t="s">
        <v>9951</v>
      </c>
      <c r="L70" s="15" t="s">
        <v>9949</v>
      </c>
      <c r="M70" s="15" t="s">
        <v>9821</v>
      </c>
      <c r="N70" s="79" t="str">
        <f t="shared" si="0"/>
        <v>Sim</v>
      </c>
      <c r="O70" s="102">
        <v>1000</v>
      </c>
      <c r="P70" s="102">
        <v>10000</v>
      </c>
    </row>
    <row r="71" spans="1:16" ht="17.25" customHeight="1" x14ac:dyDescent="0.4">
      <c r="A71" s="127"/>
      <c r="B71" s="76" t="s">
        <v>9865</v>
      </c>
      <c r="C71" s="76" t="s">
        <v>10266</v>
      </c>
      <c r="D71" s="81" t="s">
        <v>9759</v>
      </c>
      <c r="E71" s="82" t="s">
        <v>10119</v>
      </c>
      <c r="F71" s="79" t="s">
        <v>9687</v>
      </c>
      <c r="G71" s="79" t="s">
        <v>9719</v>
      </c>
      <c r="H71" s="15" t="s">
        <v>9812</v>
      </c>
      <c r="I71" s="100">
        <v>1500</v>
      </c>
      <c r="J71" s="27">
        <v>1500</v>
      </c>
      <c r="K71" s="79" t="s">
        <v>9951</v>
      </c>
      <c r="L71" s="15" t="s">
        <v>9949</v>
      </c>
      <c r="M71" s="15" t="s">
        <v>9822</v>
      </c>
      <c r="N71" s="79" t="str">
        <f t="shared" si="0"/>
        <v>Sim</v>
      </c>
      <c r="O71" s="102">
        <v>1000</v>
      </c>
      <c r="P71" s="102">
        <v>5000</v>
      </c>
    </row>
    <row r="72" spans="1:16" ht="17.25" customHeight="1" x14ac:dyDescent="0.4">
      <c r="A72" s="127"/>
      <c r="B72" s="76" t="s">
        <v>9865</v>
      </c>
      <c r="C72" s="76" t="s">
        <v>10266</v>
      </c>
      <c r="D72" s="81" t="s">
        <v>9760</v>
      </c>
      <c r="E72" s="82" t="s">
        <v>10120</v>
      </c>
      <c r="F72" s="79" t="s">
        <v>10251</v>
      </c>
      <c r="G72" s="79" t="s">
        <v>9719</v>
      </c>
      <c r="H72" s="15" t="s">
        <v>10254</v>
      </c>
      <c r="I72" s="100" t="s">
        <v>9774</v>
      </c>
      <c r="J72" s="27" t="s">
        <v>9774</v>
      </c>
      <c r="K72" s="79" t="s">
        <v>9951</v>
      </c>
      <c r="L72" s="15" t="s">
        <v>9949</v>
      </c>
      <c r="M72" s="15" t="s">
        <v>9823</v>
      </c>
      <c r="N72" s="79" t="str">
        <f t="shared" si="0"/>
        <v>Sim</v>
      </c>
      <c r="O72" s="102" t="s">
        <v>9780</v>
      </c>
      <c r="P72" s="102" t="s">
        <v>9780</v>
      </c>
    </row>
    <row r="73" spans="1:16" ht="17.25" customHeight="1" x14ac:dyDescent="0.4">
      <c r="A73" s="127"/>
      <c r="B73" s="76" t="s">
        <v>9865</v>
      </c>
      <c r="C73" s="76" t="s">
        <v>10266</v>
      </c>
      <c r="D73" s="81" t="s">
        <v>9761</v>
      </c>
      <c r="E73" s="82" t="s">
        <v>10121</v>
      </c>
      <c r="F73" s="79" t="s">
        <v>9687</v>
      </c>
      <c r="G73" s="79" t="s">
        <v>9719</v>
      </c>
      <c r="H73" s="15" t="s">
        <v>9812</v>
      </c>
      <c r="I73" s="100">
        <v>1250</v>
      </c>
      <c r="J73" s="27">
        <v>1250</v>
      </c>
      <c r="K73" s="79" t="s">
        <v>9951</v>
      </c>
      <c r="L73" s="15" t="s">
        <v>9949</v>
      </c>
      <c r="M73" s="15" t="s">
        <v>9824</v>
      </c>
      <c r="N73" s="79" t="str">
        <f t="shared" si="0"/>
        <v>Sim</v>
      </c>
      <c r="O73" s="102">
        <v>1000</v>
      </c>
      <c r="P73" s="102">
        <v>5000</v>
      </c>
    </row>
    <row r="74" spans="1:16" ht="17.25" customHeight="1" x14ac:dyDescent="0.4">
      <c r="A74" s="127"/>
      <c r="B74" s="76" t="s">
        <v>9865</v>
      </c>
      <c r="C74" s="76" t="s">
        <v>10266</v>
      </c>
      <c r="D74" s="81" t="s">
        <v>9762</v>
      </c>
      <c r="E74" s="82" t="s">
        <v>10122</v>
      </c>
      <c r="F74" s="79" t="s">
        <v>9687</v>
      </c>
      <c r="G74" s="79" t="s">
        <v>9719</v>
      </c>
      <c r="H74" s="15" t="s">
        <v>9813</v>
      </c>
      <c r="I74" s="100">
        <v>450</v>
      </c>
      <c r="J74" s="27">
        <v>450</v>
      </c>
      <c r="K74" s="79" t="s">
        <v>9951</v>
      </c>
      <c r="L74" s="15" t="s">
        <v>9949</v>
      </c>
      <c r="M74" s="15" t="s">
        <v>9825</v>
      </c>
      <c r="N74" s="79" t="str">
        <f t="shared" ref="N74:N153" si="1">IF(F74="String",IF(I74&lt;&gt;"","Sim","Não"),IF(F74="List",IF(I74&lt;&gt;"","Sim","Não"),IF(AND(I74&gt;=O74,I74&lt;=P74,I74&lt;&gt;""),"Sim","Não")))</f>
        <v>Sim</v>
      </c>
      <c r="O74" s="102">
        <v>250</v>
      </c>
      <c r="P74" s="102">
        <v>750</v>
      </c>
    </row>
    <row r="75" spans="1:16" ht="17.25" customHeight="1" x14ac:dyDescent="0.4">
      <c r="A75" s="127"/>
      <c r="B75" s="76" t="s">
        <v>9865</v>
      </c>
      <c r="C75" s="76" t="s">
        <v>10266</v>
      </c>
      <c r="D75" s="81" t="s">
        <v>9763</v>
      </c>
      <c r="E75" s="82" t="s">
        <v>10123</v>
      </c>
      <c r="F75" s="79" t="s">
        <v>9687</v>
      </c>
      <c r="G75" s="79" t="s">
        <v>9719</v>
      </c>
      <c r="H75" s="15" t="s">
        <v>9814</v>
      </c>
      <c r="I75" s="100">
        <v>5000</v>
      </c>
      <c r="J75" s="27">
        <v>5000</v>
      </c>
      <c r="K75" s="79" t="s">
        <v>9951</v>
      </c>
      <c r="L75" s="15" t="s">
        <v>9949</v>
      </c>
      <c r="M75" s="15" t="s">
        <v>9826</v>
      </c>
      <c r="N75" s="79" t="str">
        <f t="shared" si="1"/>
        <v>Sim</v>
      </c>
      <c r="O75" s="102">
        <v>2000</v>
      </c>
      <c r="P75" s="102">
        <v>10000</v>
      </c>
    </row>
    <row r="76" spans="1:16" ht="17.25" customHeight="1" x14ac:dyDescent="0.4">
      <c r="A76" s="127"/>
      <c r="B76" s="76" t="s">
        <v>9865</v>
      </c>
      <c r="C76" s="76" t="s">
        <v>10266</v>
      </c>
      <c r="D76" s="81" t="s">
        <v>9764</v>
      </c>
      <c r="E76" s="82" t="s">
        <v>10124</v>
      </c>
      <c r="F76" s="79" t="s">
        <v>9687</v>
      </c>
      <c r="G76" s="79" t="s">
        <v>9719</v>
      </c>
      <c r="H76" s="15" t="s">
        <v>9812</v>
      </c>
      <c r="I76" s="100">
        <v>100000</v>
      </c>
      <c r="J76" s="27">
        <v>100000</v>
      </c>
      <c r="K76" s="79" t="s">
        <v>9951</v>
      </c>
      <c r="L76" s="15" t="s">
        <v>9949</v>
      </c>
      <c r="M76" s="15" t="s">
        <v>9827</v>
      </c>
      <c r="N76" s="79" t="str">
        <f t="shared" si="1"/>
        <v>Sim</v>
      </c>
      <c r="O76" s="102">
        <v>50000</v>
      </c>
      <c r="P76" s="102">
        <v>500000</v>
      </c>
    </row>
    <row r="77" spans="1:16" ht="17.25" customHeight="1" x14ac:dyDescent="0.4">
      <c r="A77" s="127"/>
      <c r="B77" s="76" t="s">
        <v>9865</v>
      </c>
      <c r="C77" s="76" t="s">
        <v>10266</v>
      </c>
      <c r="D77" s="81" t="s">
        <v>9765</v>
      </c>
      <c r="E77" s="82" t="s">
        <v>10125</v>
      </c>
      <c r="F77" s="79" t="s">
        <v>9687</v>
      </c>
      <c r="G77" s="79" t="s">
        <v>9719</v>
      </c>
      <c r="H77" s="15" t="s">
        <v>9815</v>
      </c>
      <c r="I77" s="100">
        <v>25000</v>
      </c>
      <c r="J77" s="27">
        <v>25000</v>
      </c>
      <c r="K77" s="79" t="s">
        <v>9951</v>
      </c>
      <c r="L77" s="15" t="s">
        <v>9949</v>
      </c>
      <c r="M77" s="15" t="s">
        <v>9828</v>
      </c>
      <c r="N77" s="79" t="str">
        <f t="shared" si="1"/>
        <v>Sim</v>
      </c>
      <c r="O77" s="102">
        <v>10000</v>
      </c>
      <c r="P77" s="102">
        <v>50000</v>
      </c>
    </row>
    <row r="78" spans="1:16" ht="17.25" customHeight="1" x14ac:dyDescent="0.4">
      <c r="A78" s="127"/>
      <c r="B78" s="76" t="s">
        <v>9865</v>
      </c>
      <c r="C78" s="76" t="s">
        <v>10266</v>
      </c>
      <c r="D78" s="81" t="s">
        <v>9766</v>
      </c>
      <c r="E78" s="82" t="s">
        <v>10126</v>
      </c>
      <c r="F78" s="79" t="s">
        <v>9687</v>
      </c>
      <c r="G78" s="79" t="s">
        <v>9719</v>
      </c>
      <c r="H78" s="15" t="s">
        <v>9816</v>
      </c>
      <c r="I78" s="100">
        <v>100</v>
      </c>
      <c r="J78" s="27">
        <v>100</v>
      </c>
      <c r="K78" s="79" t="s">
        <v>9951</v>
      </c>
      <c r="L78" s="15" t="s">
        <v>9949</v>
      </c>
      <c r="M78" s="15" t="s">
        <v>9829</v>
      </c>
      <c r="N78" s="79" t="str">
        <f t="shared" si="1"/>
        <v>Sim</v>
      </c>
      <c r="O78" s="102">
        <v>20</v>
      </c>
      <c r="P78" s="102">
        <v>500</v>
      </c>
    </row>
    <row r="79" spans="1:16" ht="17.25" customHeight="1" x14ac:dyDescent="0.4">
      <c r="A79" s="127"/>
      <c r="B79" s="76" t="s">
        <v>9865</v>
      </c>
      <c r="C79" s="76" t="s">
        <v>10266</v>
      </c>
      <c r="D79" s="81" t="s">
        <v>9767</v>
      </c>
      <c r="E79" s="82" t="s">
        <v>10127</v>
      </c>
      <c r="F79" s="79" t="s">
        <v>9687</v>
      </c>
      <c r="G79" s="79" t="s">
        <v>9719</v>
      </c>
      <c r="H79" s="15" t="s">
        <v>9735</v>
      </c>
      <c r="I79" s="100">
        <v>53</v>
      </c>
      <c r="J79" s="27">
        <v>53</v>
      </c>
      <c r="K79" s="79" t="s">
        <v>9951</v>
      </c>
      <c r="L79" s="15" t="s">
        <v>9949</v>
      </c>
      <c r="M79" s="15" t="s">
        <v>9830</v>
      </c>
      <c r="N79" s="79" t="str">
        <f t="shared" si="1"/>
        <v>Sim</v>
      </c>
      <c r="O79" s="102">
        <v>25</v>
      </c>
      <c r="P79" s="102">
        <v>500</v>
      </c>
    </row>
    <row r="80" spans="1:16" ht="17.25" customHeight="1" x14ac:dyDescent="0.4">
      <c r="A80" s="127"/>
      <c r="B80" s="76" t="s">
        <v>9865</v>
      </c>
      <c r="C80" s="76" t="s">
        <v>10266</v>
      </c>
      <c r="D80" s="81" t="s">
        <v>9768</v>
      </c>
      <c r="E80" s="82" t="s">
        <v>10128</v>
      </c>
      <c r="F80" s="79" t="s">
        <v>9687</v>
      </c>
      <c r="G80" s="79" t="s">
        <v>9719</v>
      </c>
      <c r="H80" s="15" t="s">
        <v>9817</v>
      </c>
      <c r="I80" s="100">
        <v>3</v>
      </c>
      <c r="J80" s="27">
        <v>3</v>
      </c>
      <c r="K80" s="79" t="s">
        <v>9951</v>
      </c>
      <c r="L80" s="15" t="s">
        <v>9949</v>
      </c>
      <c r="M80" s="15" t="s">
        <v>9831</v>
      </c>
      <c r="N80" s="79" t="str">
        <f t="shared" si="1"/>
        <v>Sim</v>
      </c>
      <c r="O80" s="102">
        <v>2.5</v>
      </c>
      <c r="P80" s="102">
        <v>10</v>
      </c>
    </row>
    <row r="81" spans="1:16" ht="17.25" customHeight="1" x14ac:dyDescent="0.4">
      <c r="A81" s="127"/>
      <c r="B81" s="76" t="s">
        <v>9865</v>
      </c>
      <c r="C81" s="76" t="s">
        <v>10266</v>
      </c>
      <c r="D81" s="81" t="s">
        <v>9769</v>
      </c>
      <c r="E81" s="82" t="s">
        <v>10129</v>
      </c>
      <c r="F81" s="79" t="s">
        <v>9687</v>
      </c>
      <c r="G81" s="79" t="s">
        <v>9719</v>
      </c>
      <c r="H81" s="15" t="s">
        <v>9818</v>
      </c>
      <c r="I81" s="100">
        <v>1.681</v>
      </c>
      <c r="J81" s="27">
        <v>1.681</v>
      </c>
      <c r="K81" s="79" t="s">
        <v>9951</v>
      </c>
      <c r="L81" s="15" t="s">
        <v>9949</v>
      </c>
      <c r="M81" s="15" t="s">
        <v>9832</v>
      </c>
      <c r="N81" s="79" t="str">
        <f t="shared" si="1"/>
        <v>Sim</v>
      </c>
      <c r="O81" s="102">
        <v>1</v>
      </c>
      <c r="P81" s="102">
        <v>10</v>
      </c>
    </row>
    <row r="82" spans="1:16" ht="17.25" customHeight="1" x14ac:dyDescent="0.4">
      <c r="A82" s="127"/>
      <c r="B82" s="76" t="s">
        <v>9865</v>
      </c>
      <c r="C82" s="76" t="s">
        <v>10266</v>
      </c>
      <c r="D82" s="81" t="s">
        <v>9770</v>
      </c>
      <c r="E82" s="82" t="s">
        <v>10130</v>
      </c>
      <c r="F82" s="79" t="s">
        <v>9687</v>
      </c>
      <c r="G82" s="79" t="s">
        <v>9719</v>
      </c>
      <c r="H82" s="15" t="s">
        <v>9818</v>
      </c>
      <c r="I82" s="100">
        <v>1.0780000000000001</v>
      </c>
      <c r="J82" s="27">
        <v>1.0780000000000001</v>
      </c>
      <c r="K82" s="79" t="s">
        <v>9951</v>
      </c>
      <c r="L82" s="15" t="s">
        <v>9949</v>
      </c>
      <c r="M82" s="15" t="s">
        <v>9833</v>
      </c>
      <c r="N82" s="79" t="str">
        <f t="shared" si="1"/>
        <v>Sim</v>
      </c>
      <c r="O82" s="102">
        <v>1</v>
      </c>
      <c r="P82" s="102">
        <v>10</v>
      </c>
    </row>
    <row r="83" spans="1:16" s="18" customFormat="1" ht="17.25" customHeight="1" x14ac:dyDescent="0.4">
      <c r="A83" s="127"/>
      <c r="B83" s="76" t="s">
        <v>9865</v>
      </c>
      <c r="C83" s="76" t="s">
        <v>10266</v>
      </c>
      <c r="D83" s="81" t="s">
        <v>9771</v>
      </c>
      <c r="E83" s="82" t="s">
        <v>10131</v>
      </c>
      <c r="F83" s="79" t="s">
        <v>9687</v>
      </c>
      <c r="G83" s="79" t="s">
        <v>9719</v>
      </c>
      <c r="H83" s="15" t="s">
        <v>9818</v>
      </c>
      <c r="I83" s="100">
        <v>7.26</v>
      </c>
      <c r="J83" s="27">
        <v>7.26</v>
      </c>
      <c r="K83" s="79" t="s">
        <v>9951</v>
      </c>
      <c r="L83" s="15" t="s">
        <v>9949</v>
      </c>
      <c r="M83" s="15" t="s">
        <v>9834</v>
      </c>
      <c r="N83" s="79" t="str">
        <f t="shared" si="1"/>
        <v>Sim</v>
      </c>
      <c r="O83" s="102">
        <v>2.5</v>
      </c>
      <c r="P83" s="102">
        <v>10</v>
      </c>
    </row>
    <row r="84" spans="1:16" ht="17.25" customHeight="1" x14ac:dyDescent="0.4">
      <c r="A84" s="127"/>
      <c r="B84" s="76" t="s">
        <v>9865</v>
      </c>
      <c r="C84" s="76" t="s">
        <v>10266</v>
      </c>
      <c r="D84" s="81" t="s">
        <v>9772</v>
      </c>
      <c r="E84" s="82" t="s">
        <v>10132</v>
      </c>
      <c r="F84" s="79" t="s">
        <v>9687</v>
      </c>
      <c r="G84" s="79" t="s">
        <v>9719</v>
      </c>
      <c r="H84" s="15" t="s">
        <v>9819</v>
      </c>
      <c r="I84" s="100">
        <v>2.2000000000000002</v>
      </c>
      <c r="J84" s="27">
        <v>2.2000000000000002</v>
      </c>
      <c r="K84" s="79" t="s">
        <v>9951</v>
      </c>
      <c r="L84" s="15" t="s">
        <v>9949</v>
      </c>
      <c r="M84" s="15" t="s">
        <v>9835</v>
      </c>
      <c r="N84" s="79" t="str">
        <f t="shared" si="1"/>
        <v>Sim</v>
      </c>
      <c r="O84" s="102">
        <v>0</v>
      </c>
      <c r="P84" s="102">
        <v>15</v>
      </c>
    </row>
    <row r="85" spans="1:16" ht="17.25" customHeight="1" x14ac:dyDescent="0.4">
      <c r="A85" s="127"/>
      <c r="B85" s="76" t="s">
        <v>9865</v>
      </c>
      <c r="C85" s="76" t="s">
        <v>10266</v>
      </c>
      <c r="D85" s="81" t="s">
        <v>9773</v>
      </c>
      <c r="E85" s="82" t="s">
        <v>10133</v>
      </c>
      <c r="F85" s="79" t="s">
        <v>9687</v>
      </c>
      <c r="G85" s="79" t="s">
        <v>9719</v>
      </c>
      <c r="H85" s="15" t="s">
        <v>9735</v>
      </c>
      <c r="I85" s="100">
        <v>15</v>
      </c>
      <c r="J85" s="27">
        <v>15</v>
      </c>
      <c r="K85" s="79" t="s">
        <v>9951</v>
      </c>
      <c r="L85" s="15" t="s">
        <v>9949</v>
      </c>
      <c r="M85" s="15" t="s">
        <v>9836</v>
      </c>
      <c r="N85" s="79" t="str">
        <f t="shared" si="1"/>
        <v>Sim</v>
      </c>
      <c r="O85" s="102">
        <v>0</v>
      </c>
      <c r="P85" s="102">
        <v>50</v>
      </c>
    </row>
    <row r="86" spans="1:16" ht="17.25" customHeight="1" x14ac:dyDescent="0.4">
      <c r="A86" s="127" t="s">
        <v>9775</v>
      </c>
      <c r="B86" s="76" t="s">
        <v>9865</v>
      </c>
      <c r="C86" s="76" t="s">
        <v>10265</v>
      </c>
      <c r="D86" s="81" t="s">
        <v>9776</v>
      </c>
      <c r="E86" s="82" t="s">
        <v>10134</v>
      </c>
      <c r="F86" s="79" t="s">
        <v>9687</v>
      </c>
      <c r="G86" s="79" t="s">
        <v>9719</v>
      </c>
      <c r="H86" s="15" t="s">
        <v>9634</v>
      </c>
      <c r="I86" s="100">
        <v>5</v>
      </c>
      <c r="J86" s="27">
        <v>5</v>
      </c>
      <c r="K86" s="79" t="s">
        <v>9951</v>
      </c>
      <c r="L86" s="15" t="s">
        <v>9837</v>
      </c>
      <c r="M86" s="15" t="s">
        <v>9838</v>
      </c>
      <c r="N86" s="79" t="str">
        <f t="shared" si="1"/>
        <v>Sim</v>
      </c>
      <c r="O86" s="102">
        <v>0</v>
      </c>
      <c r="P86" s="102">
        <v>20</v>
      </c>
    </row>
    <row r="87" spans="1:16" ht="17.25" customHeight="1" x14ac:dyDescent="0.4">
      <c r="A87" s="127"/>
      <c r="B87" s="76" t="s">
        <v>9865</v>
      </c>
      <c r="C87" s="76" t="s">
        <v>10265</v>
      </c>
      <c r="D87" s="81" t="s">
        <v>9777</v>
      </c>
      <c r="E87" s="82" t="s">
        <v>10135</v>
      </c>
      <c r="F87" s="79" t="s">
        <v>9687</v>
      </c>
      <c r="G87" s="79" t="s">
        <v>9719</v>
      </c>
      <c r="H87" s="15" t="s">
        <v>9634</v>
      </c>
      <c r="I87" s="100">
        <v>12</v>
      </c>
      <c r="J87" s="27">
        <v>12</v>
      </c>
      <c r="K87" s="79" t="s">
        <v>9951</v>
      </c>
      <c r="L87" s="15" t="s">
        <v>9837</v>
      </c>
      <c r="M87" s="15" t="s">
        <v>9839</v>
      </c>
      <c r="N87" s="79" t="str">
        <f t="shared" si="1"/>
        <v>Sim</v>
      </c>
      <c r="O87" s="102">
        <v>0</v>
      </c>
      <c r="P87" s="102">
        <v>30</v>
      </c>
    </row>
    <row r="88" spans="1:16" ht="17.25" customHeight="1" x14ac:dyDescent="0.4">
      <c r="A88" s="127"/>
      <c r="B88" s="76" t="s">
        <v>9865</v>
      </c>
      <c r="C88" s="76" t="s">
        <v>10265</v>
      </c>
      <c r="D88" s="81" t="s">
        <v>9778</v>
      </c>
      <c r="E88" s="82" t="s">
        <v>10136</v>
      </c>
      <c r="F88" s="79" t="s">
        <v>9687</v>
      </c>
      <c r="G88" s="79" t="s">
        <v>9719</v>
      </c>
      <c r="H88" s="15" t="s">
        <v>9634</v>
      </c>
      <c r="I88" s="100">
        <v>9</v>
      </c>
      <c r="J88" s="27">
        <v>9</v>
      </c>
      <c r="K88" s="79" t="s">
        <v>9951</v>
      </c>
      <c r="L88" s="15" t="s">
        <v>9837</v>
      </c>
      <c r="M88" s="15" t="s">
        <v>9840</v>
      </c>
      <c r="N88" s="79" t="str">
        <f t="shared" si="1"/>
        <v>Sim</v>
      </c>
      <c r="O88" s="102">
        <v>0</v>
      </c>
      <c r="P88" s="102">
        <v>20</v>
      </c>
    </row>
    <row r="89" spans="1:16" ht="17.25" customHeight="1" x14ac:dyDescent="0.4">
      <c r="A89" s="127"/>
      <c r="B89" s="76" t="s">
        <v>9865</v>
      </c>
      <c r="C89" s="76" t="s">
        <v>10265</v>
      </c>
      <c r="D89" s="81" t="s">
        <v>9779</v>
      </c>
      <c r="E89" s="82" t="s">
        <v>10137</v>
      </c>
      <c r="F89" s="79" t="s">
        <v>9687</v>
      </c>
      <c r="G89" s="79" t="s">
        <v>9719</v>
      </c>
      <c r="H89" s="15" t="s">
        <v>9634</v>
      </c>
      <c r="I89" s="100">
        <v>25</v>
      </c>
      <c r="J89" s="27">
        <v>25</v>
      </c>
      <c r="K89" s="79" t="s">
        <v>9951</v>
      </c>
      <c r="L89" s="15" t="s">
        <v>9837</v>
      </c>
      <c r="M89" s="15" t="s">
        <v>9841</v>
      </c>
      <c r="N89" s="79" t="str">
        <f t="shared" si="1"/>
        <v>Sim</v>
      </c>
      <c r="O89" s="102">
        <v>0</v>
      </c>
      <c r="P89" s="102">
        <v>40</v>
      </c>
    </row>
    <row r="90" spans="1:16" ht="17.25" customHeight="1" x14ac:dyDescent="0.4">
      <c r="A90" s="127" t="s">
        <v>9784</v>
      </c>
      <c r="B90" s="76" t="s">
        <v>9865</v>
      </c>
      <c r="C90" s="76" t="s">
        <v>10262</v>
      </c>
      <c r="D90" s="81" t="s">
        <v>9785</v>
      </c>
      <c r="E90" s="82" t="s">
        <v>10150</v>
      </c>
      <c r="F90" s="79" t="s">
        <v>9687</v>
      </c>
      <c r="G90" s="79" t="s">
        <v>9719</v>
      </c>
      <c r="H90" s="15" t="s">
        <v>9794</v>
      </c>
      <c r="I90" s="103">
        <v>498</v>
      </c>
      <c r="J90" s="28">
        <v>498</v>
      </c>
      <c r="K90" s="79" t="s">
        <v>9951</v>
      </c>
      <c r="L90" s="15" t="s">
        <v>9949</v>
      </c>
      <c r="M90" s="15" t="s">
        <v>9842</v>
      </c>
      <c r="N90" s="79" t="str">
        <f t="shared" si="1"/>
        <v>Sim</v>
      </c>
      <c r="O90" s="102">
        <v>0</v>
      </c>
      <c r="P90" s="102">
        <v>1000</v>
      </c>
    </row>
    <row r="91" spans="1:16" ht="17.25" customHeight="1" x14ac:dyDescent="0.4">
      <c r="A91" s="127"/>
      <c r="B91" s="76" t="s">
        <v>9865</v>
      </c>
      <c r="C91" s="76" t="s">
        <v>10262</v>
      </c>
      <c r="D91" s="81" t="s">
        <v>9786</v>
      </c>
      <c r="E91" s="82" t="s">
        <v>10151</v>
      </c>
      <c r="F91" s="79" t="s">
        <v>9687</v>
      </c>
      <c r="G91" s="79" t="s">
        <v>9719</v>
      </c>
      <c r="H91" s="15" t="s">
        <v>9794</v>
      </c>
      <c r="I91" s="104">
        <v>0</v>
      </c>
      <c r="J91" s="84">
        <v>0</v>
      </c>
      <c r="K91" s="79" t="s">
        <v>9951</v>
      </c>
      <c r="L91" s="15" t="s">
        <v>9949</v>
      </c>
      <c r="M91" s="15" t="s">
        <v>9843</v>
      </c>
      <c r="N91" s="79" t="str">
        <f t="shared" si="1"/>
        <v>Sim</v>
      </c>
      <c r="O91" s="102">
        <v>0</v>
      </c>
      <c r="P91" s="102">
        <v>1000</v>
      </c>
    </row>
    <row r="92" spans="1:16" ht="17.25" customHeight="1" x14ac:dyDescent="0.4">
      <c r="A92" s="127"/>
      <c r="B92" s="76" t="s">
        <v>9865</v>
      </c>
      <c r="C92" s="76" t="s">
        <v>10262</v>
      </c>
      <c r="D92" s="81" t="s">
        <v>9787</v>
      </c>
      <c r="E92" s="82" t="s">
        <v>10152</v>
      </c>
      <c r="F92" s="79" t="s">
        <v>9687</v>
      </c>
      <c r="G92" s="79" t="s">
        <v>9719</v>
      </c>
      <c r="H92" s="15" t="s">
        <v>9794</v>
      </c>
      <c r="I92" s="104">
        <v>42.8</v>
      </c>
      <c r="J92" s="84">
        <v>42.8</v>
      </c>
      <c r="K92" s="79" t="s">
        <v>9951</v>
      </c>
      <c r="L92" s="15" t="s">
        <v>9949</v>
      </c>
      <c r="M92" s="15" t="s">
        <v>9844</v>
      </c>
      <c r="N92" s="79" t="str">
        <f t="shared" si="1"/>
        <v>Sim</v>
      </c>
      <c r="O92" s="102">
        <v>0</v>
      </c>
      <c r="P92" s="102">
        <v>500</v>
      </c>
    </row>
    <row r="93" spans="1:16" ht="17.25" customHeight="1" x14ac:dyDescent="0.4">
      <c r="A93" s="127"/>
      <c r="B93" s="76" t="s">
        <v>9865</v>
      </c>
      <c r="C93" s="76" t="s">
        <v>10262</v>
      </c>
      <c r="D93" s="81" t="s">
        <v>9788</v>
      </c>
      <c r="E93" s="22" t="s">
        <v>10154</v>
      </c>
      <c r="F93" s="79" t="s">
        <v>9687</v>
      </c>
      <c r="G93" s="79" t="s">
        <v>9719</v>
      </c>
      <c r="H93" s="15" t="s">
        <v>9794</v>
      </c>
      <c r="I93" s="104">
        <v>250</v>
      </c>
      <c r="J93" s="84">
        <v>250</v>
      </c>
      <c r="K93" s="79" t="s">
        <v>9951</v>
      </c>
      <c r="L93" s="15" t="s">
        <v>9949</v>
      </c>
      <c r="M93" s="15" t="s">
        <v>9845</v>
      </c>
      <c r="N93" s="79" t="str">
        <f t="shared" si="1"/>
        <v>Sim</v>
      </c>
      <c r="O93" s="102">
        <v>0</v>
      </c>
      <c r="P93" s="102">
        <v>500</v>
      </c>
    </row>
    <row r="94" spans="1:16" ht="17.25" customHeight="1" x14ac:dyDescent="0.4">
      <c r="A94" s="127"/>
      <c r="B94" s="76" t="s">
        <v>9865</v>
      </c>
      <c r="C94" s="76" t="s">
        <v>10262</v>
      </c>
      <c r="D94" s="81" t="s">
        <v>9789</v>
      </c>
      <c r="E94" s="82" t="s">
        <v>10153</v>
      </c>
      <c r="F94" s="79" t="s">
        <v>9687</v>
      </c>
      <c r="G94" s="79" t="s">
        <v>9719</v>
      </c>
      <c r="H94" s="15" t="s">
        <v>9634</v>
      </c>
      <c r="I94" s="103">
        <v>0.47</v>
      </c>
      <c r="J94" s="28">
        <v>0.47</v>
      </c>
      <c r="K94" s="112" t="s">
        <v>9780</v>
      </c>
      <c r="L94" s="112" t="s">
        <v>9780</v>
      </c>
      <c r="M94" s="112" t="s">
        <v>9780</v>
      </c>
      <c r="N94" s="79" t="str">
        <f t="shared" si="1"/>
        <v>Sim</v>
      </c>
      <c r="O94" s="102">
        <v>0</v>
      </c>
      <c r="P94" s="102">
        <v>5</v>
      </c>
    </row>
    <row r="95" spans="1:16" ht="17.25" customHeight="1" x14ac:dyDescent="0.4">
      <c r="A95" s="127"/>
      <c r="B95" s="76" t="s">
        <v>9865</v>
      </c>
      <c r="C95" s="76" t="s">
        <v>10262</v>
      </c>
      <c r="D95" s="81" t="s">
        <v>9790</v>
      </c>
      <c r="E95" s="82" t="s">
        <v>10155</v>
      </c>
      <c r="F95" s="79" t="s">
        <v>9687</v>
      </c>
      <c r="G95" s="79" t="s">
        <v>9719</v>
      </c>
      <c r="H95" s="15" t="s">
        <v>9795</v>
      </c>
      <c r="I95" s="104">
        <v>5</v>
      </c>
      <c r="J95" s="84">
        <v>5</v>
      </c>
      <c r="K95" s="79" t="s">
        <v>9951</v>
      </c>
      <c r="L95" s="15" t="s">
        <v>9949</v>
      </c>
      <c r="M95" s="15" t="s">
        <v>9847</v>
      </c>
      <c r="N95" s="79" t="str">
        <f t="shared" si="1"/>
        <v>Sim</v>
      </c>
      <c r="O95" s="102">
        <v>0</v>
      </c>
      <c r="P95" s="102">
        <v>20</v>
      </c>
    </row>
    <row r="96" spans="1:16" ht="17.25" customHeight="1" x14ac:dyDescent="0.4">
      <c r="A96" s="127"/>
      <c r="B96" s="76" t="s">
        <v>9865</v>
      </c>
      <c r="C96" s="76" t="s">
        <v>10262</v>
      </c>
      <c r="D96" s="81" t="s">
        <v>9791</v>
      </c>
      <c r="E96" s="82" t="s">
        <v>10156</v>
      </c>
      <c r="F96" s="79" t="s">
        <v>9687</v>
      </c>
      <c r="G96" s="79" t="s">
        <v>9719</v>
      </c>
      <c r="H96" s="15" t="s">
        <v>9796</v>
      </c>
      <c r="I96" s="104">
        <v>10</v>
      </c>
      <c r="J96" s="84">
        <v>10</v>
      </c>
      <c r="K96" s="79" t="s">
        <v>9951</v>
      </c>
      <c r="L96" s="15" t="s">
        <v>9949</v>
      </c>
      <c r="M96" s="15" t="s">
        <v>9848</v>
      </c>
      <c r="N96" s="79" t="str">
        <f t="shared" si="1"/>
        <v>Sim</v>
      </c>
      <c r="O96" s="102">
        <v>0</v>
      </c>
      <c r="P96" s="102">
        <v>30</v>
      </c>
    </row>
    <row r="97" spans="1:16" ht="17.25" customHeight="1" x14ac:dyDescent="0.4">
      <c r="A97" s="127"/>
      <c r="B97" s="76" t="s">
        <v>9865</v>
      </c>
      <c r="C97" s="76" t="s">
        <v>10262</v>
      </c>
      <c r="D97" s="81" t="s">
        <v>9792</v>
      </c>
      <c r="E97" s="82" t="s">
        <v>10157</v>
      </c>
      <c r="F97" s="79" t="s">
        <v>9687</v>
      </c>
      <c r="G97" s="79" t="s">
        <v>9719</v>
      </c>
      <c r="H97" s="15" t="s">
        <v>9796</v>
      </c>
      <c r="I97" s="104">
        <v>0</v>
      </c>
      <c r="J97" s="84">
        <v>0</v>
      </c>
      <c r="K97" s="79" t="s">
        <v>9951</v>
      </c>
      <c r="L97" s="15" t="s">
        <v>9949</v>
      </c>
      <c r="M97" s="15" t="s">
        <v>9849</v>
      </c>
      <c r="N97" s="79" t="str">
        <f t="shared" si="1"/>
        <v>Sim</v>
      </c>
      <c r="O97" s="102">
        <v>0</v>
      </c>
      <c r="P97" s="102">
        <v>50</v>
      </c>
    </row>
    <row r="98" spans="1:16" ht="17.25" customHeight="1" x14ac:dyDescent="0.4">
      <c r="A98" s="127"/>
      <c r="B98" s="76" t="s">
        <v>9865</v>
      </c>
      <c r="C98" s="76" t="s">
        <v>10262</v>
      </c>
      <c r="D98" s="81" t="s">
        <v>9793</v>
      </c>
      <c r="E98" s="82" t="s">
        <v>10158</v>
      </c>
      <c r="F98" s="79" t="s">
        <v>9687</v>
      </c>
      <c r="G98" s="79" t="s">
        <v>9719</v>
      </c>
      <c r="H98" s="15" t="s">
        <v>9783</v>
      </c>
      <c r="I98" s="104">
        <v>50.5</v>
      </c>
      <c r="J98" s="84">
        <v>50.5</v>
      </c>
      <c r="K98" s="79" t="s">
        <v>9951</v>
      </c>
      <c r="L98" s="15" t="s">
        <v>9949</v>
      </c>
      <c r="M98" s="15" t="s">
        <v>9850</v>
      </c>
      <c r="N98" s="79" t="str">
        <f t="shared" si="1"/>
        <v>Sim</v>
      </c>
      <c r="O98" s="102">
        <v>0</v>
      </c>
      <c r="P98" s="102">
        <v>100</v>
      </c>
    </row>
    <row r="99" spans="1:16" ht="17.25" customHeight="1" x14ac:dyDescent="0.4">
      <c r="A99" s="127" t="s">
        <v>10001</v>
      </c>
      <c r="B99" s="76" t="s">
        <v>9865</v>
      </c>
      <c r="C99" s="76" t="s">
        <v>10263</v>
      </c>
      <c r="D99" s="81" t="s">
        <v>10022</v>
      </c>
      <c r="E99" s="82" t="s">
        <v>10241</v>
      </c>
      <c r="F99" s="79" t="s">
        <v>9687</v>
      </c>
      <c r="G99" s="79" t="s">
        <v>9719</v>
      </c>
      <c r="H99" s="15" t="s">
        <v>9962</v>
      </c>
      <c r="I99" s="104">
        <v>30</v>
      </c>
      <c r="J99" s="84">
        <v>35</v>
      </c>
      <c r="K99" s="79" t="s">
        <v>9951</v>
      </c>
      <c r="L99" s="15" t="s">
        <v>9949</v>
      </c>
      <c r="M99" s="15" t="s">
        <v>10023</v>
      </c>
      <c r="N99" s="79" t="str">
        <f t="shared" si="1"/>
        <v>Sim</v>
      </c>
      <c r="O99" s="102">
        <v>20</v>
      </c>
      <c r="P99" s="102">
        <v>35</v>
      </c>
    </row>
    <row r="100" spans="1:16" s="18" customFormat="1" ht="17.25" customHeight="1" x14ac:dyDescent="0.4">
      <c r="A100" s="127"/>
      <c r="B100" s="76" t="s">
        <v>9865</v>
      </c>
      <c r="C100" s="76" t="s">
        <v>10263</v>
      </c>
      <c r="D100" s="81" t="s">
        <v>10002</v>
      </c>
      <c r="E100" s="82" t="s">
        <v>10235</v>
      </c>
      <c r="F100" s="79" t="s">
        <v>9687</v>
      </c>
      <c r="G100" s="79" t="s">
        <v>9719</v>
      </c>
      <c r="H100" s="15" t="s">
        <v>9634</v>
      </c>
      <c r="I100" s="104">
        <v>70</v>
      </c>
      <c r="J100" s="84">
        <v>70</v>
      </c>
      <c r="K100" s="79" t="s">
        <v>9951</v>
      </c>
      <c r="L100" s="15" t="s">
        <v>9837</v>
      </c>
      <c r="M100" s="15" t="s">
        <v>10021</v>
      </c>
      <c r="N100" s="79" t="str">
        <f t="shared" si="1"/>
        <v>Sim</v>
      </c>
      <c r="O100" s="102">
        <v>0</v>
      </c>
      <c r="P100" s="102">
        <v>100</v>
      </c>
    </row>
    <row r="101" spans="1:16" ht="17.25" customHeight="1" x14ac:dyDescent="0.4">
      <c r="A101" s="127"/>
      <c r="B101" s="76" t="s">
        <v>9865</v>
      </c>
      <c r="C101" s="76" t="s">
        <v>10263</v>
      </c>
      <c r="D101" s="81" t="s">
        <v>10003</v>
      </c>
      <c r="E101" s="82" t="s">
        <v>10236</v>
      </c>
      <c r="F101" s="79" t="s">
        <v>10251</v>
      </c>
      <c r="G101" s="79" t="s">
        <v>9719</v>
      </c>
      <c r="H101" s="15" t="s">
        <v>10025</v>
      </c>
      <c r="I101" s="104" t="s">
        <v>10026</v>
      </c>
      <c r="J101" s="84" t="s">
        <v>10026</v>
      </c>
      <c r="K101" s="79" t="s">
        <v>9951</v>
      </c>
      <c r="L101" s="15" t="s">
        <v>9837</v>
      </c>
      <c r="M101" s="15" t="s">
        <v>10027</v>
      </c>
      <c r="N101" s="79" t="str">
        <f t="shared" si="1"/>
        <v>Sim</v>
      </c>
      <c r="O101" s="102" t="s">
        <v>9780</v>
      </c>
      <c r="P101" s="102" t="s">
        <v>9780</v>
      </c>
    </row>
    <row r="102" spans="1:16" ht="17.25" customHeight="1" x14ac:dyDescent="0.4">
      <c r="A102" s="127"/>
      <c r="B102" s="76" t="s">
        <v>9865</v>
      </c>
      <c r="C102" s="76" t="s">
        <v>10263</v>
      </c>
      <c r="D102" s="81" t="s">
        <v>10004</v>
      </c>
      <c r="E102" s="82" t="s">
        <v>10249</v>
      </c>
      <c r="F102" s="79" t="s">
        <v>9687</v>
      </c>
      <c r="G102" s="79" t="s">
        <v>9719</v>
      </c>
      <c r="H102" s="15" t="s">
        <v>9634</v>
      </c>
      <c r="I102" s="104">
        <v>12.5</v>
      </c>
      <c r="J102" s="84">
        <v>12.5</v>
      </c>
      <c r="K102" s="79" t="s">
        <v>9951</v>
      </c>
      <c r="L102" s="15" t="s">
        <v>9837</v>
      </c>
      <c r="M102" s="15" t="s">
        <v>9970</v>
      </c>
      <c r="N102" s="79" t="str">
        <f t="shared" si="1"/>
        <v>Sim</v>
      </c>
      <c r="O102" s="102">
        <v>0</v>
      </c>
      <c r="P102" s="102">
        <v>35</v>
      </c>
    </row>
    <row r="103" spans="1:16" ht="17.25" customHeight="1" x14ac:dyDescent="0.4">
      <c r="A103" s="127"/>
      <c r="B103" s="76" t="s">
        <v>9865</v>
      </c>
      <c r="C103" s="76" t="s">
        <v>10263</v>
      </c>
      <c r="D103" s="81" t="s">
        <v>10005</v>
      </c>
      <c r="E103" s="82" t="s">
        <v>10237</v>
      </c>
      <c r="F103" s="79" t="s">
        <v>9687</v>
      </c>
      <c r="G103" s="79" t="s">
        <v>9719</v>
      </c>
      <c r="H103" s="15" t="s">
        <v>9634</v>
      </c>
      <c r="I103" s="104">
        <v>4.3499999999999996</v>
      </c>
      <c r="J103" s="84">
        <v>4.3499999999999996</v>
      </c>
      <c r="K103" s="79" t="s">
        <v>9951</v>
      </c>
      <c r="L103" s="15" t="s">
        <v>9837</v>
      </c>
      <c r="M103" s="15" t="s">
        <v>10028</v>
      </c>
      <c r="N103" s="79" t="str">
        <f t="shared" si="1"/>
        <v>Sim</v>
      </c>
      <c r="O103" s="102">
        <v>0</v>
      </c>
      <c r="P103" s="102">
        <v>25</v>
      </c>
    </row>
    <row r="104" spans="1:16" ht="17.25" customHeight="1" x14ac:dyDescent="0.4">
      <c r="A104" s="127"/>
      <c r="B104" s="76" t="s">
        <v>9865</v>
      </c>
      <c r="C104" s="76" t="s">
        <v>10263</v>
      </c>
      <c r="D104" s="81" t="s">
        <v>10006</v>
      </c>
      <c r="E104" s="82" t="s">
        <v>10238</v>
      </c>
      <c r="F104" s="79" t="s">
        <v>10011</v>
      </c>
      <c r="G104" s="79" t="s">
        <v>9719</v>
      </c>
      <c r="H104" s="15" t="s">
        <v>9962</v>
      </c>
      <c r="I104" s="104">
        <v>20</v>
      </c>
      <c r="J104" s="84">
        <v>20</v>
      </c>
      <c r="K104" s="79" t="s">
        <v>9951</v>
      </c>
      <c r="L104" s="15" t="s">
        <v>9837</v>
      </c>
      <c r="M104" s="15" t="s">
        <v>10029</v>
      </c>
      <c r="N104" s="79" t="str">
        <f t="shared" si="1"/>
        <v>Sim</v>
      </c>
      <c r="O104" s="102">
        <v>5</v>
      </c>
      <c r="P104" s="102">
        <v>35</v>
      </c>
    </row>
    <row r="105" spans="1:16" ht="17.25" customHeight="1" x14ac:dyDescent="0.4">
      <c r="A105" s="127"/>
      <c r="B105" s="76" t="s">
        <v>9865</v>
      </c>
      <c r="C105" s="76" t="s">
        <v>10263</v>
      </c>
      <c r="D105" s="81" t="s">
        <v>10007</v>
      </c>
      <c r="E105" s="82" t="s">
        <v>10239</v>
      </c>
      <c r="F105" s="79" t="s">
        <v>10011</v>
      </c>
      <c r="G105" s="79" t="s">
        <v>9719</v>
      </c>
      <c r="H105" s="15" t="s">
        <v>9962</v>
      </c>
      <c r="I105" s="104">
        <v>2</v>
      </c>
      <c r="J105" s="84">
        <v>2</v>
      </c>
      <c r="K105" s="79" t="s">
        <v>9951</v>
      </c>
      <c r="L105" s="15" t="s">
        <v>9837</v>
      </c>
      <c r="M105" s="15" t="s">
        <v>10030</v>
      </c>
      <c r="N105" s="79" t="str">
        <f t="shared" si="1"/>
        <v>Sim</v>
      </c>
      <c r="O105" s="102">
        <v>0</v>
      </c>
      <c r="P105" s="102">
        <v>5</v>
      </c>
    </row>
    <row r="106" spans="1:16" ht="17.25" customHeight="1" x14ac:dyDescent="0.4">
      <c r="A106" s="127"/>
      <c r="B106" s="76" t="s">
        <v>9865</v>
      </c>
      <c r="C106" s="76" t="s">
        <v>10263</v>
      </c>
      <c r="D106" s="81" t="s">
        <v>10458</v>
      </c>
      <c r="E106" s="82" t="s">
        <v>10466</v>
      </c>
      <c r="F106" s="79" t="s">
        <v>9687</v>
      </c>
      <c r="G106" s="79" t="s">
        <v>9720</v>
      </c>
      <c r="H106" s="15" t="s">
        <v>9634</v>
      </c>
      <c r="I106" s="104">
        <f>J106</f>
        <v>5</v>
      </c>
      <c r="J106" s="84">
        <v>5</v>
      </c>
      <c r="K106" s="79" t="s">
        <v>9780</v>
      </c>
      <c r="L106" s="79" t="s">
        <v>9780</v>
      </c>
      <c r="M106" s="79" t="s">
        <v>9780</v>
      </c>
      <c r="N106" s="79" t="str">
        <f t="shared" si="1"/>
        <v>Sim</v>
      </c>
      <c r="O106" s="102">
        <v>0</v>
      </c>
      <c r="P106" s="102">
        <v>35</v>
      </c>
    </row>
    <row r="107" spans="1:16" ht="17.25" customHeight="1" x14ac:dyDescent="0.4">
      <c r="A107" s="127"/>
      <c r="B107" s="76" t="s">
        <v>9865</v>
      </c>
      <c r="C107" s="76" t="s">
        <v>10263</v>
      </c>
      <c r="D107" s="81" t="s">
        <v>10459</v>
      </c>
      <c r="E107" s="82" t="s">
        <v>10467</v>
      </c>
      <c r="F107" s="79" t="s">
        <v>9687</v>
      </c>
      <c r="G107" s="79" t="s">
        <v>9720</v>
      </c>
      <c r="H107" s="15" t="s">
        <v>9634</v>
      </c>
      <c r="I107" s="104">
        <f t="shared" ref="I107:I113" si="2">J107</f>
        <v>5</v>
      </c>
      <c r="J107" s="84">
        <v>5</v>
      </c>
      <c r="K107" s="79" t="s">
        <v>9780</v>
      </c>
      <c r="L107" s="79" t="s">
        <v>9780</v>
      </c>
      <c r="M107" s="79" t="s">
        <v>9780</v>
      </c>
      <c r="N107" s="79" t="str">
        <f t="shared" si="1"/>
        <v>Sim</v>
      </c>
      <c r="O107" s="102">
        <v>0</v>
      </c>
      <c r="P107" s="102">
        <v>25</v>
      </c>
    </row>
    <row r="108" spans="1:16" ht="17.25" customHeight="1" x14ac:dyDescent="0.4">
      <c r="A108" s="127"/>
      <c r="B108" s="76" t="s">
        <v>9865</v>
      </c>
      <c r="C108" s="76" t="s">
        <v>10263</v>
      </c>
      <c r="D108" s="81" t="s">
        <v>10460</v>
      </c>
      <c r="E108" s="82" t="s">
        <v>10468</v>
      </c>
      <c r="F108" s="79" t="s">
        <v>10011</v>
      </c>
      <c r="G108" s="79" t="s">
        <v>9720</v>
      </c>
      <c r="H108" s="15" t="s">
        <v>9962</v>
      </c>
      <c r="I108" s="104">
        <f t="shared" si="2"/>
        <v>5</v>
      </c>
      <c r="J108" s="84">
        <v>5</v>
      </c>
      <c r="K108" s="79" t="s">
        <v>9780</v>
      </c>
      <c r="L108" s="79" t="s">
        <v>9780</v>
      </c>
      <c r="M108" s="79" t="s">
        <v>9780</v>
      </c>
      <c r="N108" s="79" t="str">
        <f t="shared" si="1"/>
        <v>Sim</v>
      </c>
      <c r="O108" s="102">
        <v>5</v>
      </c>
      <c r="P108" s="102">
        <v>35</v>
      </c>
    </row>
    <row r="109" spans="1:16" ht="17.25" customHeight="1" x14ac:dyDescent="0.4">
      <c r="A109" s="127"/>
      <c r="B109" s="76" t="s">
        <v>9865</v>
      </c>
      <c r="C109" s="76" t="s">
        <v>10263</v>
      </c>
      <c r="D109" s="81" t="s">
        <v>10461</v>
      </c>
      <c r="E109" s="82" t="s">
        <v>10469</v>
      </c>
      <c r="F109" s="79" t="s">
        <v>10011</v>
      </c>
      <c r="G109" s="79" t="s">
        <v>9720</v>
      </c>
      <c r="H109" s="15" t="s">
        <v>9962</v>
      </c>
      <c r="I109" s="104">
        <f t="shared" si="2"/>
        <v>5</v>
      </c>
      <c r="J109" s="84">
        <v>5</v>
      </c>
      <c r="K109" s="79" t="s">
        <v>9780</v>
      </c>
      <c r="L109" s="79" t="s">
        <v>9780</v>
      </c>
      <c r="M109" s="79" t="s">
        <v>9780</v>
      </c>
      <c r="N109" s="79" t="str">
        <f t="shared" si="1"/>
        <v>Sim</v>
      </c>
      <c r="O109" s="102">
        <v>0</v>
      </c>
      <c r="P109" s="102">
        <v>5</v>
      </c>
    </row>
    <row r="110" spans="1:16" ht="17.25" customHeight="1" x14ac:dyDescent="0.4">
      <c r="A110" s="127"/>
      <c r="B110" s="76" t="s">
        <v>9865</v>
      </c>
      <c r="C110" s="76" t="s">
        <v>10263</v>
      </c>
      <c r="D110" s="81" t="s">
        <v>10462</v>
      </c>
      <c r="E110" s="82" t="s">
        <v>10470</v>
      </c>
      <c r="F110" s="79" t="s">
        <v>9687</v>
      </c>
      <c r="G110" s="79" t="s">
        <v>9720</v>
      </c>
      <c r="H110" s="15" t="s">
        <v>9634</v>
      </c>
      <c r="I110" s="104">
        <f t="shared" si="2"/>
        <v>10</v>
      </c>
      <c r="J110" s="84">
        <v>10</v>
      </c>
      <c r="K110" s="79" t="s">
        <v>9780</v>
      </c>
      <c r="L110" s="79" t="s">
        <v>9780</v>
      </c>
      <c r="M110" s="79" t="s">
        <v>9780</v>
      </c>
      <c r="N110" s="79" t="str">
        <f t="shared" si="1"/>
        <v>Sim</v>
      </c>
      <c r="O110" s="102">
        <v>0</v>
      </c>
      <c r="P110" s="102">
        <v>35</v>
      </c>
    </row>
    <row r="111" spans="1:16" ht="17.25" customHeight="1" x14ac:dyDescent="0.4">
      <c r="A111" s="127"/>
      <c r="B111" s="76" t="s">
        <v>9865</v>
      </c>
      <c r="C111" s="76" t="s">
        <v>10263</v>
      </c>
      <c r="D111" s="81" t="s">
        <v>10463</v>
      </c>
      <c r="E111" s="82" t="s">
        <v>10471</v>
      </c>
      <c r="F111" s="79" t="s">
        <v>9687</v>
      </c>
      <c r="G111" s="79" t="s">
        <v>9720</v>
      </c>
      <c r="H111" s="15" t="s">
        <v>9634</v>
      </c>
      <c r="I111" s="104">
        <f t="shared" si="2"/>
        <v>10</v>
      </c>
      <c r="J111" s="84">
        <v>10</v>
      </c>
      <c r="K111" s="79" t="s">
        <v>9780</v>
      </c>
      <c r="L111" s="79" t="s">
        <v>9780</v>
      </c>
      <c r="M111" s="79" t="s">
        <v>9780</v>
      </c>
      <c r="N111" s="79" t="str">
        <f t="shared" si="1"/>
        <v>Sim</v>
      </c>
      <c r="O111" s="102">
        <v>0</v>
      </c>
      <c r="P111" s="102">
        <v>25</v>
      </c>
    </row>
    <row r="112" spans="1:16" ht="17.25" customHeight="1" x14ac:dyDescent="0.4">
      <c r="A112" s="127"/>
      <c r="B112" s="76" t="s">
        <v>9865</v>
      </c>
      <c r="C112" s="76" t="s">
        <v>10263</v>
      </c>
      <c r="D112" s="81" t="s">
        <v>10464</v>
      </c>
      <c r="E112" s="82" t="s">
        <v>10472</v>
      </c>
      <c r="F112" s="79" t="s">
        <v>10011</v>
      </c>
      <c r="G112" s="79" t="s">
        <v>9720</v>
      </c>
      <c r="H112" s="15" t="s">
        <v>9962</v>
      </c>
      <c r="I112" s="104">
        <f t="shared" si="2"/>
        <v>10</v>
      </c>
      <c r="J112" s="84">
        <v>10</v>
      </c>
      <c r="K112" s="79" t="s">
        <v>9780</v>
      </c>
      <c r="L112" s="79" t="s">
        <v>9780</v>
      </c>
      <c r="M112" s="79" t="s">
        <v>9780</v>
      </c>
      <c r="N112" s="79" t="str">
        <f t="shared" si="1"/>
        <v>Sim</v>
      </c>
      <c r="O112" s="102">
        <v>5</v>
      </c>
      <c r="P112" s="102">
        <v>35</v>
      </c>
    </row>
    <row r="113" spans="1:16" ht="17.25" customHeight="1" x14ac:dyDescent="0.4">
      <c r="A113" s="127"/>
      <c r="B113" s="76" t="s">
        <v>9865</v>
      </c>
      <c r="C113" s="76" t="s">
        <v>10263</v>
      </c>
      <c r="D113" s="81" t="s">
        <v>10465</v>
      </c>
      <c r="E113" s="82" t="s">
        <v>10473</v>
      </c>
      <c r="F113" s="79" t="s">
        <v>10011</v>
      </c>
      <c r="G113" s="79" t="s">
        <v>9720</v>
      </c>
      <c r="H113" s="15" t="s">
        <v>9962</v>
      </c>
      <c r="I113" s="104">
        <f t="shared" si="2"/>
        <v>0</v>
      </c>
      <c r="J113" s="84">
        <v>0</v>
      </c>
      <c r="K113" s="79" t="s">
        <v>9780</v>
      </c>
      <c r="L113" s="79" t="s">
        <v>9780</v>
      </c>
      <c r="M113" s="79" t="s">
        <v>9780</v>
      </c>
      <c r="N113" s="79" t="str">
        <f t="shared" si="1"/>
        <v>Sim</v>
      </c>
      <c r="O113" s="102">
        <v>0</v>
      </c>
      <c r="P113" s="102">
        <v>5</v>
      </c>
    </row>
    <row r="114" spans="1:16" ht="17.25" customHeight="1" x14ac:dyDescent="0.4">
      <c r="A114" s="127"/>
      <c r="B114" s="76" t="s">
        <v>9865</v>
      </c>
      <c r="C114" s="76" t="s">
        <v>10263</v>
      </c>
      <c r="D114" s="81" t="s">
        <v>10008</v>
      </c>
      <c r="E114" s="82" t="s">
        <v>10240</v>
      </c>
      <c r="F114" s="79" t="s">
        <v>9687</v>
      </c>
      <c r="G114" s="79" t="s">
        <v>9719</v>
      </c>
      <c r="H114" s="15" t="s">
        <v>9634</v>
      </c>
      <c r="I114" s="104">
        <v>4.3499999999999996</v>
      </c>
      <c r="J114" s="84">
        <v>4.3499999999999996</v>
      </c>
      <c r="K114" s="79" t="s">
        <v>9951</v>
      </c>
      <c r="L114" s="15" t="s">
        <v>9837</v>
      </c>
      <c r="M114" s="15" t="s">
        <v>10024</v>
      </c>
      <c r="N114" s="79" t="str">
        <f t="shared" si="1"/>
        <v>Sim</v>
      </c>
      <c r="O114" s="102">
        <v>0</v>
      </c>
      <c r="P114" s="102">
        <v>25</v>
      </c>
    </row>
    <row r="115" spans="1:16" ht="17.25" customHeight="1" x14ac:dyDescent="0.4">
      <c r="A115" s="127"/>
      <c r="B115" s="76" t="s">
        <v>9865</v>
      </c>
      <c r="C115" s="76" t="s">
        <v>10263</v>
      </c>
      <c r="D115" s="81" t="s">
        <v>10010</v>
      </c>
      <c r="E115" s="82" t="s">
        <v>10040</v>
      </c>
      <c r="F115" s="79" t="s">
        <v>10251</v>
      </c>
      <c r="G115" s="79" t="s">
        <v>9719</v>
      </c>
      <c r="H115" s="15" t="s">
        <v>10253</v>
      </c>
      <c r="I115" s="104" t="s">
        <v>10146</v>
      </c>
      <c r="J115" s="84" t="s">
        <v>10146</v>
      </c>
      <c r="K115" s="79" t="s">
        <v>9780</v>
      </c>
      <c r="L115" s="15" t="s">
        <v>9780</v>
      </c>
      <c r="M115" s="15" t="s">
        <v>9780</v>
      </c>
      <c r="N115" s="79" t="str">
        <f t="shared" si="1"/>
        <v>Sim</v>
      </c>
      <c r="O115" s="102" t="s">
        <v>9780</v>
      </c>
      <c r="P115" s="102" t="s">
        <v>9780</v>
      </c>
    </row>
    <row r="116" spans="1:16" ht="17.25" customHeight="1" x14ac:dyDescent="0.4">
      <c r="A116" s="127"/>
      <c r="B116" s="76" t="s">
        <v>9865</v>
      </c>
      <c r="C116" s="76" t="s">
        <v>10263</v>
      </c>
      <c r="D116" s="81" t="s">
        <v>10009</v>
      </c>
      <c r="E116" s="82" t="s">
        <v>10041</v>
      </c>
      <c r="F116" s="79" t="s">
        <v>9687</v>
      </c>
      <c r="G116" s="79" t="s">
        <v>9719</v>
      </c>
      <c r="H116" s="15" t="s">
        <v>9780</v>
      </c>
      <c r="I116" s="104">
        <v>0</v>
      </c>
      <c r="J116" s="84">
        <v>0</v>
      </c>
      <c r="K116" s="79" t="s">
        <v>9780</v>
      </c>
      <c r="L116" s="15" t="s">
        <v>9780</v>
      </c>
      <c r="M116" s="15" t="s">
        <v>9780</v>
      </c>
      <c r="N116" s="79" t="str">
        <f t="shared" si="1"/>
        <v>Sim</v>
      </c>
      <c r="O116" s="102">
        <v>0</v>
      </c>
      <c r="P116" s="102">
        <v>100000000</v>
      </c>
    </row>
    <row r="117" spans="1:16" s="18" customFormat="1" ht="17.25" customHeight="1" x14ac:dyDescent="0.4">
      <c r="A117" s="127"/>
      <c r="B117" s="76" t="s">
        <v>9865</v>
      </c>
      <c r="C117" s="76" t="s">
        <v>10263</v>
      </c>
      <c r="D117" s="81" t="s">
        <v>10012</v>
      </c>
      <c r="E117" s="82" t="s">
        <v>10242</v>
      </c>
      <c r="F117" s="79" t="s">
        <v>9687</v>
      </c>
      <c r="G117" s="79" t="s">
        <v>9719</v>
      </c>
      <c r="H117" s="15" t="s">
        <v>9634</v>
      </c>
      <c r="I117" s="104">
        <v>30</v>
      </c>
      <c r="J117" s="84">
        <v>30</v>
      </c>
      <c r="K117" s="79" t="s">
        <v>9951</v>
      </c>
      <c r="L117" s="15" t="s">
        <v>9837</v>
      </c>
      <c r="M117" s="15" t="s">
        <v>10031</v>
      </c>
      <c r="N117" s="79" t="str">
        <f t="shared" si="1"/>
        <v>Sim</v>
      </c>
      <c r="O117" s="102">
        <v>0</v>
      </c>
      <c r="P117" s="102">
        <v>100</v>
      </c>
    </row>
    <row r="118" spans="1:16" ht="17.25" customHeight="1" x14ac:dyDescent="0.4">
      <c r="A118" s="127"/>
      <c r="B118" s="76" t="s">
        <v>9865</v>
      </c>
      <c r="C118" s="76" t="s">
        <v>10263</v>
      </c>
      <c r="D118" s="81" t="s">
        <v>10013</v>
      </c>
      <c r="E118" s="82" t="s">
        <v>10243</v>
      </c>
      <c r="F118" s="79" t="s">
        <v>9642</v>
      </c>
      <c r="G118" s="79" t="s">
        <v>9719</v>
      </c>
      <c r="H118" s="15" t="s">
        <v>10025</v>
      </c>
      <c r="I118" s="104" t="s">
        <v>10026</v>
      </c>
      <c r="J118" s="84" t="s">
        <v>10026</v>
      </c>
      <c r="K118" s="79" t="s">
        <v>9951</v>
      </c>
      <c r="L118" s="15" t="s">
        <v>9837</v>
      </c>
      <c r="M118" s="15" t="s">
        <v>10032</v>
      </c>
      <c r="N118" s="79" t="str">
        <f t="shared" si="1"/>
        <v>Sim</v>
      </c>
      <c r="O118" s="102" t="s">
        <v>9780</v>
      </c>
      <c r="P118" s="102" t="s">
        <v>9780</v>
      </c>
    </row>
    <row r="119" spans="1:16" ht="17.25" customHeight="1" x14ac:dyDescent="0.4">
      <c r="A119" s="127"/>
      <c r="B119" s="76" t="s">
        <v>9865</v>
      </c>
      <c r="C119" s="76" t="s">
        <v>10263</v>
      </c>
      <c r="D119" s="81" t="s">
        <v>10014</v>
      </c>
      <c r="E119" s="82" t="s">
        <v>10250</v>
      </c>
      <c r="F119" s="79" t="s">
        <v>9687</v>
      </c>
      <c r="G119" s="79" t="s">
        <v>9719</v>
      </c>
      <c r="H119" s="15" t="s">
        <v>9634</v>
      </c>
      <c r="I119" s="104">
        <v>12.5</v>
      </c>
      <c r="J119" s="84">
        <v>12.5</v>
      </c>
      <c r="K119" s="79" t="s">
        <v>9951</v>
      </c>
      <c r="L119" s="15" t="s">
        <v>9837</v>
      </c>
      <c r="M119" s="15" t="s">
        <v>10033</v>
      </c>
      <c r="N119" s="79" t="str">
        <f t="shared" si="1"/>
        <v>Sim</v>
      </c>
      <c r="O119" s="102">
        <v>0</v>
      </c>
      <c r="P119" s="102">
        <v>35</v>
      </c>
    </row>
    <row r="120" spans="1:16" ht="17.25" customHeight="1" x14ac:dyDescent="0.4">
      <c r="A120" s="127"/>
      <c r="B120" s="76" t="s">
        <v>9865</v>
      </c>
      <c r="C120" s="76" t="s">
        <v>10263</v>
      </c>
      <c r="D120" s="81" t="s">
        <v>10015</v>
      </c>
      <c r="E120" s="82" t="s">
        <v>10244</v>
      </c>
      <c r="F120" s="79" t="s">
        <v>9687</v>
      </c>
      <c r="G120" s="79" t="s">
        <v>9719</v>
      </c>
      <c r="H120" s="15" t="s">
        <v>9634</v>
      </c>
      <c r="I120" s="104">
        <v>4.3499999999999996</v>
      </c>
      <c r="J120" s="84">
        <v>4.3499999999999996</v>
      </c>
      <c r="K120" s="79" t="s">
        <v>9951</v>
      </c>
      <c r="L120" s="15" t="s">
        <v>9837</v>
      </c>
      <c r="M120" s="15" t="s">
        <v>10034</v>
      </c>
      <c r="N120" s="79" t="str">
        <f t="shared" si="1"/>
        <v>Sim</v>
      </c>
      <c r="O120" s="102">
        <v>0</v>
      </c>
      <c r="P120" s="102">
        <v>25</v>
      </c>
    </row>
    <row r="121" spans="1:16" ht="17.25" customHeight="1" x14ac:dyDescent="0.4">
      <c r="A121" s="127"/>
      <c r="B121" s="76" t="s">
        <v>9865</v>
      </c>
      <c r="C121" s="76" t="s">
        <v>10263</v>
      </c>
      <c r="D121" s="81" t="s">
        <v>10016</v>
      </c>
      <c r="E121" s="82" t="s">
        <v>10245</v>
      </c>
      <c r="F121" s="79" t="s">
        <v>10011</v>
      </c>
      <c r="G121" s="79" t="s">
        <v>9719</v>
      </c>
      <c r="H121" s="15" t="s">
        <v>9962</v>
      </c>
      <c r="I121" s="104">
        <v>20</v>
      </c>
      <c r="J121" s="84">
        <v>20</v>
      </c>
      <c r="K121" s="79" t="s">
        <v>9951</v>
      </c>
      <c r="L121" s="15" t="s">
        <v>9837</v>
      </c>
      <c r="M121" s="15" t="s">
        <v>10035</v>
      </c>
      <c r="N121" s="79" t="str">
        <f t="shared" si="1"/>
        <v>Sim</v>
      </c>
      <c r="O121" s="102">
        <v>5</v>
      </c>
      <c r="P121" s="102">
        <v>35</v>
      </c>
    </row>
    <row r="122" spans="1:16" ht="17.25" customHeight="1" x14ac:dyDescent="0.4">
      <c r="A122" s="127"/>
      <c r="B122" s="76" t="s">
        <v>9865</v>
      </c>
      <c r="C122" s="76" t="s">
        <v>10263</v>
      </c>
      <c r="D122" s="81" t="s">
        <v>10017</v>
      </c>
      <c r="E122" s="82" t="s">
        <v>10246</v>
      </c>
      <c r="F122" s="79" t="s">
        <v>10011</v>
      </c>
      <c r="G122" s="79" t="s">
        <v>9719</v>
      </c>
      <c r="H122" s="15" t="s">
        <v>9962</v>
      </c>
      <c r="I122" s="104">
        <v>2</v>
      </c>
      <c r="J122" s="84">
        <v>2</v>
      </c>
      <c r="K122" s="79" t="s">
        <v>9951</v>
      </c>
      <c r="L122" s="15" t="s">
        <v>9837</v>
      </c>
      <c r="M122" s="15" t="s">
        <v>10036</v>
      </c>
      <c r="N122" s="79" t="str">
        <f t="shared" si="1"/>
        <v>Sim</v>
      </c>
      <c r="O122" s="102">
        <v>0</v>
      </c>
      <c r="P122" s="102">
        <v>5</v>
      </c>
    </row>
    <row r="123" spans="1:16" ht="17.25" customHeight="1" x14ac:dyDescent="0.4">
      <c r="A123" s="127"/>
      <c r="B123" s="76" t="s">
        <v>9865</v>
      </c>
      <c r="C123" s="76" t="s">
        <v>10263</v>
      </c>
      <c r="D123" s="81" t="s">
        <v>10474</v>
      </c>
      <c r="E123" s="82" t="s">
        <v>10482</v>
      </c>
      <c r="F123" s="79" t="s">
        <v>9687</v>
      </c>
      <c r="G123" s="79" t="s">
        <v>9720</v>
      </c>
      <c r="H123" s="15" t="s">
        <v>9634</v>
      </c>
      <c r="I123" s="104">
        <f>J123</f>
        <v>5</v>
      </c>
      <c r="J123" s="84">
        <v>5</v>
      </c>
      <c r="K123" s="79" t="s">
        <v>9780</v>
      </c>
      <c r="L123" s="79" t="s">
        <v>9780</v>
      </c>
      <c r="M123" s="79" t="s">
        <v>9780</v>
      </c>
      <c r="N123" s="79" t="str">
        <f t="shared" si="1"/>
        <v>Sim</v>
      </c>
      <c r="O123" s="102">
        <v>0</v>
      </c>
      <c r="P123" s="102">
        <v>35</v>
      </c>
    </row>
    <row r="124" spans="1:16" ht="17.25" customHeight="1" x14ac:dyDescent="0.4">
      <c r="A124" s="127"/>
      <c r="B124" s="76" t="s">
        <v>9865</v>
      </c>
      <c r="C124" s="76" t="s">
        <v>10263</v>
      </c>
      <c r="D124" s="81" t="s">
        <v>10475</v>
      </c>
      <c r="E124" s="82" t="s">
        <v>10483</v>
      </c>
      <c r="F124" s="79" t="s">
        <v>9687</v>
      </c>
      <c r="G124" s="79" t="s">
        <v>9720</v>
      </c>
      <c r="H124" s="15" t="s">
        <v>9634</v>
      </c>
      <c r="I124" s="104">
        <f t="shared" ref="I124:I130" si="3">J124</f>
        <v>5</v>
      </c>
      <c r="J124" s="84">
        <v>5</v>
      </c>
      <c r="K124" s="79" t="s">
        <v>9780</v>
      </c>
      <c r="L124" s="79" t="s">
        <v>9780</v>
      </c>
      <c r="M124" s="79" t="s">
        <v>9780</v>
      </c>
      <c r="N124" s="79" t="str">
        <f t="shared" si="1"/>
        <v>Sim</v>
      </c>
      <c r="O124" s="102">
        <v>0</v>
      </c>
      <c r="P124" s="102">
        <v>25</v>
      </c>
    </row>
    <row r="125" spans="1:16" ht="17.25" customHeight="1" x14ac:dyDescent="0.4">
      <c r="A125" s="127"/>
      <c r="B125" s="76" t="s">
        <v>9865</v>
      </c>
      <c r="C125" s="76" t="s">
        <v>10263</v>
      </c>
      <c r="D125" s="81" t="s">
        <v>10476</v>
      </c>
      <c r="E125" s="82" t="s">
        <v>10484</v>
      </c>
      <c r="F125" s="79" t="s">
        <v>10011</v>
      </c>
      <c r="G125" s="79" t="s">
        <v>9720</v>
      </c>
      <c r="H125" s="15" t="s">
        <v>9962</v>
      </c>
      <c r="I125" s="104">
        <f t="shared" si="3"/>
        <v>5</v>
      </c>
      <c r="J125" s="84">
        <v>5</v>
      </c>
      <c r="K125" s="79" t="s">
        <v>9780</v>
      </c>
      <c r="L125" s="79" t="s">
        <v>9780</v>
      </c>
      <c r="M125" s="79" t="s">
        <v>9780</v>
      </c>
      <c r="N125" s="79" t="str">
        <f t="shared" si="1"/>
        <v>Sim</v>
      </c>
      <c r="O125" s="102">
        <v>5</v>
      </c>
      <c r="P125" s="102">
        <v>35</v>
      </c>
    </row>
    <row r="126" spans="1:16" ht="17.25" customHeight="1" x14ac:dyDescent="0.4">
      <c r="A126" s="127"/>
      <c r="B126" s="76" t="s">
        <v>9865</v>
      </c>
      <c r="C126" s="76" t="s">
        <v>10263</v>
      </c>
      <c r="D126" s="81" t="s">
        <v>10477</v>
      </c>
      <c r="E126" s="82" t="s">
        <v>10485</v>
      </c>
      <c r="F126" s="79" t="s">
        <v>10011</v>
      </c>
      <c r="G126" s="79" t="s">
        <v>9720</v>
      </c>
      <c r="H126" s="15" t="s">
        <v>9962</v>
      </c>
      <c r="I126" s="104">
        <f t="shared" si="3"/>
        <v>5</v>
      </c>
      <c r="J126" s="84">
        <v>5</v>
      </c>
      <c r="K126" s="79" t="s">
        <v>9780</v>
      </c>
      <c r="L126" s="79" t="s">
        <v>9780</v>
      </c>
      <c r="M126" s="79" t="s">
        <v>9780</v>
      </c>
      <c r="N126" s="79" t="str">
        <f t="shared" si="1"/>
        <v>Sim</v>
      </c>
      <c r="O126" s="102">
        <v>0</v>
      </c>
      <c r="P126" s="102">
        <v>5</v>
      </c>
    </row>
    <row r="127" spans="1:16" ht="17.25" customHeight="1" x14ac:dyDescent="0.4">
      <c r="A127" s="127"/>
      <c r="B127" s="76" t="s">
        <v>9865</v>
      </c>
      <c r="C127" s="76" t="s">
        <v>10263</v>
      </c>
      <c r="D127" s="81" t="s">
        <v>10478</v>
      </c>
      <c r="E127" s="82" t="s">
        <v>10486</v>
      </c>
      <c r="F127" s="79" t="s">
        <v>9687</v>
      </c>
      <c r="G127" s="79" t="s">
        <v>9720</v>
      </c>
      <c r="H127" s="15" t="s">
        <v>9634</v>
      </c>
      <c r="I127" s="104">
        <f t="shared" si="3"/>
        <v>10</v>
      </c>
      <c r="J127" s="84">
        <v>10</v>
      </c>
      <c r="K127" s="79" t="s">
        <v>9780</v>
      </c>
      <c r="L127" s="79" t="s">
        <v>9780</v>
      </c>
      <c r="M127" s="79" t="s">
        <v>9780</v>
      </c>
      <c r="N127" s="79" t="str">
        <f t="shared" si="1"/>
        <v>Sim</v>
      </c>
      <c r="O127" s="102">
        <v>0</v>
      </c>
      <c r="P127" s="102">
        <v>35</v>
      </c>
    </row>
    <row r="128" spans="1:16" ht="17.25" customHeight="1" x14ac:dyDescent="0.4">
      <c r="A128" s="127"/>
      <c r="B128" s="76" t="s">
        <v>9865</v>
      </c>
      <c r="C128" s="76" t="s">
        <v>10263</v>
      </c>
      <c r="D128" s="81" t="s">
        <v>10479</v>
      </c>
      <c r="E128" s="82" t="s">
        <v>10487</v>
      </c>
      <c r="F128" s="79" t="s">
        <v>9687</v>
      </c>
      <c r="G128" s="79" t="s">
        <v>9720</v>
      </c>
      <c r="H128" s="15" t="s">
        <v>9634</v>
      </c>
      <c r="I128" s="104">
        <f t="shared" si="3"/>
        <v>10</v>
      </c>
      <c r="J128" s="84">
        <v>10</v>
      </c>
      <c r="K128" s="79" t="s">
        <v>9780</v>
      </c>
      <c r="L128" s="79" t="s">
        <v>9780</v>
      </c>
      <c r="M128" s="79" t="s">
        <v>9780</v>
      </c>
      <c r="N128" s="79" t="str">
        <f t="shared" si="1"/>
        <v>Sim</v>
      </c>
      <c r="O128" s="102">
        <v>0</v>
      </c>
      <c r="P128" s="102">
        <v>25</v>
      </c>
    </row>
    <row r="129" spans="1:16" ht="17.25" customHeight="1" x14ac:dyDescent="0.4">
      <c r="A129" s="127"/>
      <c r="B129" s="76" t="s">
        <v>9865</v>
      </c>
      <c r="C129" s="76" t="s">
        <v>10263</v>
      </c>
      <c r="D129" s="81" t="s">
        <v>10480</v>
      </c>
      <c r="E129" s="82" t="s">
        <v>10488</v>
      </c>
      <c r="F129" s="79" t="s">
        <v>10011</v>
      </c>
      <c r="G129" s="79" t="s">
        <v>9720</v>
      </c>
      <c r="H129" s="15" t="s">
        <v>9962</v>
      </c>
      <c r="I129" s="104">
        <f t="shared" si="3"/>
        <v>10</v>
      </c>
      <c r="J129" s="84">
        <v>10</v>
      </c>
      <c r="K129" s="79" t="s">
        <v>9780</v>
      </c>
      <c r="L129" s="79" t="s">
        <v>9780</v>
      </c>
      <c r="M129" s="79" t="s">
        <v>9780</v>
      </c>
      <c r="N129" s="79" t="str">
        <f t="shared" si="1"/>
        <v>Sim</v>
      </c>
      <c r="O129" s="102">
        <v>5</v>
      </c>
      <c r="P129" s="102">
        <v>35</v>
      </c>
    </row>
    <row r="130" spans="1:16" ht="17.25" customHeight="1" x14ac:dyDescent="0.4">
      <c r="A130" s="127"/>
      <c r="B130" s="76" t="s">
        <v>9865</v>
      </c>
      <c r="C130" s="76" t="s">
        <v>10263</v>
      </c>
      <c r="D130" s="81" t="s">
        <v>10481</v>
      </c>
      <c r="E130" s="82" t="s">
        <v>10489</v>
      </c>
      <c r="F130" s="79" t="s">
        <v>10011</v>
      </c>
      <c r="G130" s="79" t="s">
        <v>9720</v>
      </c>
      <c r="H130" s="15" t="s">
        <v>9962</v>
      </c>
      <c r="I130" s="104">
        <f t="shared" si="3"/>
        <v>0</v>
      </c>
      <c r="J130" s="84">
        <v>0</v>
      </c>
      <c r="K130" s="79" t="s">
        <v>9780</v>
      </c>
      <c r="L130" s="79" t="s">
        <v>9780</v>
      </c>
      <c r="M130" s="79" t="s">
        <v>9780</v>
      </c>
      <c r="N130" s="79" t="str">
        <f t="shared" si="1"/>
        <v>Sim</v>
      </c>
      <c r="O130" s="102">
        <v>0</v>
      </c>
      <c r="P130" s="102">
        <v>5</v>
      </c>
    </row>
    <row r="131" spans="1:16" ht="17.25" customHeight="1" x14ac:dyDescent="0.4">
      <c r="A131" s="127"/>
      <c r="B131" s="76" t="s">
        <v>9865</v>
      </c>
      <c r="C131" s="76" t="s">
        <v>10263</v>
      </c>
      <c r="D131" s="81" t="s">
        <v>10018</v>
      </c>
      <c r="E131" s="82" t="s">
        <v>10247</v>
      </c>
      <c r="F131" s="79" t="s">
        <v>9687</v>
      </c>
      <c r="G131" s="79" t="s">
        <v>9719</v>
      </c>
      <c r="H131" s="15" t="s">
        <v>9634</v>
      </c>
      <c r="I131" s="104">
        <v>4.3499999999999996</v>
      </c>
      <c r="J131" s="84">
        <v>4.3499999999999996</v>
      </c>
      <c r="K131" s="79" t="s">
        <v>9951</v>
      </c>
      <c r="L131" s="15" t="s">
        <v>9837</v>
      </c>
      <c r="M131" s="15" t="s">
        <v>10037</v>
      </c>
      <c r="N131" s="79" t="str">
        <f t="shared" si="1"/>
        <v>Sim</v>
      </c>
      <c r="O131" s="102">
        <v>0</v>
      </c>
      <c r="P131" s="102">
        <v>25</v>
      </c>
    </row>
    <row r="132" spans="1:16" ht="17.25" customHeight="1" x14ac:dyDescent="0.4">
      <c r="A132" s="127"/>
      <c r="B132" s="76" t="s">
        <v>9865</v>
      </c>
      <c r="C132" s="76" t="s">
        <v>10263</v>
      </c>
      <c r="D132" s="81" t="s">
        <v>10019</v>
      </c>
      <c r="E132" s="82" t="s">
        <v>10038</v>
      </c>
      <c r="F132" s="79" t="s">
        <v>10251</v>
      </c>
      <c r="G132" s="79" t="s">
        <v>9719</v>
      </c>
      <c r="H132" s="15" t="s">
        <v>10253</v>
      </c>
      <c r="I132" s="104" t="s">
        <v>10146</v>
      </c>
      <c r="J132" s="84" t="s">
        <v>10146</v>
      </c>
      <c r="K132" s="79" t="s">
        <v>9780</v>
      </c>
      <c r="L132" s="15" t="s">
        <v>9780</v>
      </c>
      <c r="M132" s="15" t="s">
        <v>9780</v>
      </c>
      <c r="N132" s="79" t="str">
        <f t="shared" si="1"/>
        <v>Sim</v>
      </c>
      <c r="O132" s="102" t="s">
        <v>9780</v>
      </c>
      <c r="P132" s="102" t="s">
        <v>9780</v>
      </c>
    </row>
    <row r="133" spans="1:16" ht="17.25" customHeight="1" x14ac:dyDescent="0.4">
      <c r="A133" s="127"/>
      <c r="B133" s="76" t="s">
        <v>9865</v>
      </c>
      <c r="C133" s="76" t="s">
        <v>10263</v>
      </c>
      <c r="D133" s="81" t="s">
        <v>10020</v>
      </c>
      <c r="E133" s="82" t="s">
        <v>10039</v>
      </c>
      <c r="F133" s="79" t="s">
        <v>9687</v>
      </c>
      <c r="G133" s="79" t="s">
        <v>9719</v>
      </c>
      <c r="H133" s="15" t="s">
        <v>9780</v>
      </c>
      <c r="I133" s="104">
        <v>0</v>
      </c>
      <c r="J133" s="84">
        <v>0</v>
      </c>
      <c r="K133" s="79" t="s">
        <v>9780</v>
      </c>
      <c r="L133" s="15" t="s">
        <v>9780</v>
      </c>
      <c r="M133" s="15" t="s">
        <v>9780</v>
      </c>
      <c r="N133" s="79" t="str">
        <f t="shared" si="1"/>
        <v>Sim</v>
      </c>
      <c r="O133" s="102">
        <v>0</v>
      </c>
      <c r="P133" s="102">
        <v>100000000</v>
      </c>
    </row>
    <row r="134" spans="1:16" s="18" customFormat="1" ht="17.25" customHeight="1" x14ac:dyDescent="0.4">
      <c r="A134" s="127" t="s">
        <v>9808</v>
      </c>
      <c r="B134" s="76" t="s">
        <v>9865</v>
      </c>
      <c r="C134" s="76" t="s">
        <v>10268</v>
      </c>
      <c r="D134" s="81" t="s">
        <v>9797</v>
      </c>
      <c r="E134" s="82" t="s">
        <v>10159</v>
      </c>
      <c r="F134" s="79" t="s">
        <v>9687</v>
      </c>
      <c r="G134" s="79" t="s">
        <v>9719</v>
      </c>
      <c r="H134" s="15" t="s">
        <v>9863</v>
      </c>
      <c r="I134" s="104">
        <v>155</v>
      </c>
      <c r="J134" s="84">
        <v>155</v>
      </c>
      <c r="K134" s="79" t="s">
        <v>9951</v>
      </c>
      <c r="L134" s="15" t="s">
        <v>9851</v>
      </c>
      <c r="M134" s="15" t="s">
        <v>9852</v>
      </c>
      <c r="N134" s="79" t="str">
        <f t="shared" si="1"/>
        <v>Sim</v>
      </c>
      <c r="O134" s="102">
        <v>140</v>
      </c>
      <c r="P134" s="102">
        <v>160</v>
      </c>
    </row>
    <row r="135" spans="1:16" ht="17.25" customHeight="1" x14ac:dyDescent="0.4">
      <c r="A135" s="127"/>
      <c r="B135" s="76" t="s">
        <v>9865</v>
      </c>
      <c r="C135" s="76" t="s">
        <v>10268</v>
      </c>
      <c r="D135" s="81" t="s">
        <v>9798</v>
      </c>
      <c r="E135" s="82" t="s">
        <v>10160</v>
      </c>
      <c r="F135" s="79" t="s">
        <v>9687</v>
      </c>
      <c r="G135" s="79" t="s">
        <v>9719</v>
      </c>
      <c r="H135" s="15" t="s">
        <v>9634</v>
      </c>
      <c r="I135" s="103">
        <v>100</v>
      </c>
      <c r="J135" s="28">
        <v>100</v>
      </c>
      <c r="K135" s="79" t="s">
        <v>9951</v>
      </c>
      <c r="L135" s="15" t="s">
        <v>9851</v>
      </c>
      <c r="M135" s="15" t="s">
        <v>9853</v>
      </c>
      <c r="N135" s="79" t="str">
        <f t="shared" si="1"/>
        <v>Sim</v>
      </c>
      <c r="O135" s="102">
        <v>50</v>
      </c>
      <c r="P135" s="102">
        <v>100</v>
      </c>
    </row>
    <row r="136" spans="1:16" ht="17.25" customHeight="1" x14ac:dyDescent="0.4">
      <c r="A136" s="127"/>
      <c r="B136" s="76" t="s">
        <v>9865</v>
      </c>
      <c r="C136" s="76" t="s">
        <v>10268</v>
      </c>
      <c r="D136" s="81" t="s">
        <v>9799</v>
      </c>
      <c r="E136" s="82" t="s">
        <v>10161</v>
      </c>
      <c r="F136" s="79" t="s">
        <v>9687</v>
      </c>
      <c r="G136" s="79" t="s">
        <v>9719</v>
      </c>
      <c r="H136" s="15" t="s">
        <v>9634</v>
      </c>
      <c r="I136" s="103">
        <v>1</v>
      </c>
      <c r="J136" s="28">
        <v>1</v>
      </c>
      <c r="K136" s="79" t="s">
        <v>9951</v>
      </c>
      <c r="L136" s="15" t="s">
        <v>9851</v>
      </c>
      <c r="M136" s="15" t="s">
        <v>9854</v>
      </c>
      <c r="N136" s="79" t="str">
        <f t="shared" si="1"/>
        <v>Sim</v>
      </c>
      <c r="O136" s="102">
        <v>0</v>
      </c>
      <c r="P136" s="102">
        <v>10</v>
      </c>
    </row>
    <row r="137" spans="1:16" ht="17.25" customHeight="1" x14ac:dyDescent="0.4">
      <c r="A137" s="127"/>
      <c r="B137" s="76" t="s">
        <v>9865</v>
      </c>
      <c r="C137" s="76" t="s">
        <v>10268</v>
      </c>
      <c r="D137" s="81" t="s">
        <v>9800</v>
      </c>
      <c r="E137" s="82" t="s">
        <v>10162</v>
      </c>
      <c r="F137" s="79" t="s">
        <v>9687</v>
      </c>
      <c r="G137" s="79" t="s">
        <v>9719</v>
      </c>
      <c r="H137" s="15" t="s">
        <v>9634</v>
      </c>
      <c r="I137" s="103">
        <v>5</v>
      </c>
      <c r="J137" s="28">
        <v>5</v>
      </c>
      <c r="K137" s="79" t="s">
        <v>9951</v>
      </c>
      <c r="L137" s="15" t="s">
        <v>9851</v>
      </c>
      <c r="M137" s="15" t="s">
        <v>9855</v>
      </c>
      <c r="N137" s="79" t="str">
        <f t="shared" si="1"/>
        <v>Sim</v>
      </c>
      <c r="O137" s="102">
        <v>0</v>
      </c>
      <c r="P137" s="102">
        <v>15</v>
      </c>
    </row>
    <row r="138" spans="1:16" ht="17.25" customHeight="1" x14ac:dyDescent="0.4">
      <c r="A138" s="127"/>
      <c r="B138" s="76" t="s">
        <v>9865</v>
      </c>
      <c r="C138" s="76" t="s">
        <v>10268</v>
      </c>
      <c r="D138" s="81" t="s">
        <v>9801</v>
      </c>
      <c r="E138" s="82" t="s">
        <v>10169</v>
      </c>
      <c r="F138" s="79" t="s">
        <v>9687</v>
      </c>
      <c r="G138" s="79" t="s">
        <v>9719</v>
      </c>
      <c r="H138" s="15" t="s">
        <v>9634</v>
      </c>
      <c r="I138" s="103">
        <v>2.5</v>
      </c>
      <c r="J138" s="28">
        <v>2.5</v>
      </c>
      <c r="K138" s="79" t="s">
        <v>9951</v>
      </c>
      <c r="L138" s="15" t="s">
        <v>9851</v>
      </c>
      <c r="M138" s="15" t="s">
        <v>9856</v>
      </c>
      <c r="N138" s="79" t="str">
        <f t="shared" si="1"/>
        <v>Sim</v>
      </c>
      <c r="O138" s="102">
        <v>0</v>
      </c>
      <c r="P138" s="102">
        <v>10</v>
      </c>
    </row>
    <row r="139" spans="1:16" ht="17.25" customHeight="1" x14ac:dyDescent="0.4">
      <c r="A139" s="127"/>
      <c r="B139" s="76" t="s">
        <v>9865</v>
      </c>
      <c r="C139" s="76" t="s">
        <v>10268</v>
      </c>
      <c r="D139" s="81" t="s">
        <v>9802</v>
      </c>
      <c r="E139" s="82" t="s">
        <v>10163</v>
      </c>
      <c r="F139" s="79" t="s">
        <v>9687</v>
      </c>
      <c r="G139" s="79" t="s">
        <v>9719</v>
      </c>
      <c r="H139" s="15" t="s">
        <v>9864</v>
      </c>
      <c r="I139" s="103">
        <v>300000</v>
      </c>
      <c r="J139" s="28">
        <v>300000</v>
      </c>
      <c r="K139" s="79" t="s">
        <v>9951</v>
      </c>
      <c r="L139" s="15" t="s">
        <v>9851</v>
      </c>
      <c r="M139" s="15" t="s">
        <v>9857</v>
      </c>
      <c r="N139" s="79" t="str">
        <f t="shared" si="1"/>
        <v>Sim</v>
      </c>
      <c r="O139" s="102">
        <v>0</v>
      </c>
      <c r="P139" s="102">
        <v>1000000</v>
      </c>
    </row>
    <row r="140" spans="1:16" ht="17.25" customHeight="1" x14ac:dyDescent="0.4">
      <c r="A140" s="127"/>
      <c r="B140" s="76" t="s">
        <v>9865</v>
      </c>
      <c r="C140" s="76" t="s">
        <v>10268</v>
      </c>
      <c r="D140" s="81" t="s">
        <v>9803</v>
      </c>
      <c r="E140" s="82" t="s">
        <v>10164</v>
      </c>
      <c r="F140" s="79" t="s">
        <v>9687</v>
      </c>
      <c r="G140" s="79" t="s">
        <v>9719</v>
      </c>
      <c r="H140" s="15" t="s">
        <v>9634</v>
      </c>
      <c r="I140" s="103">
        <v>30</v>
      </c>
      <c r="J140" s="28">
        <v>30</v>
      </c>
      <c r="K140" s="79" t="s">
        <v>9951</v>
      </c>
      <c r="L140" s="15" t="s">
        <v>9851</v>
      </c>
      <c r="M140" s="15" t="s">
        <v>9858</v>
      </c>
      <c r="N140" s="79" t="str">
        <f t="shared" si="1"/>
        <v>Sim</v>
      </c>
      <c r="O140" s="102">
        <v>0</v>
      </c>
      <c r="P140" s="102">
        <v>75</v>
      </c>
    </row>
    <row r="141" spans="1:16" ht="17.25" customHeight="1" x14ac:dyDescent="0.4">
      <c r="A141" s="127"/>
      <c r="B141" s="76" t="s">
        <v>9865</v>
      </c>
      <c r="C141" s="76" t="s">
        <v>10268</v>
      </c>
      <c r="D141" s="81" t="s">
        <v>9804</v>
      </c>
      <c r="E141" s="82" t="s">
        <v>10165</v>
      </c>
      <c r="F141" s="79" t="s">
        <v>9687</v>
      </c>
      <c r="G141" s="79" t="s">
        <v>9719</v>
      </c>
      <c r="H141" s="15" t="s">
        <v>9634</v>
      </c>
      <c r="I141" s="103">
        <v>50</v>
      </c>
      <c r="J141" s="28">
        <v>50</v>
      </c>
      <c r="K141" s="79" t="s">
        <v>9951</v>
      </c>
      <c r="L141" s="15" t="s">
        <v>9851</v>
      </c>
      <c r="M141" s="15" t="s">
        <v>9859</v>
      </c>
      <c r="N141" s="79" t="str">
        <f t="shared" si="1"/>
        <v>Sim</v>
      </c>
      <c r="O141" s="102">
        <v>0</v>
      </c>
      <c r="P141" s="102">
        <v>100</v>
      </c>
    </row>
    <row r="142" spans="1:16" ht="17.25" customHeight="1" x14ac:dyDescent="0.4">
      <c r="A142" s="127"/>
      <c r="B142" s="76" t="s">
        <v>9865</v>
      </c>
      <c r="C142" s="76" t="s">
        <v>10268</v>
      </c>
      <c r="D142" s="81" t="s">
        <v>9805</v>
      </c>
      <c r="E142" s="82" t="s">
        <v>10166</v>
      </c>
      <c r="F142" s="79" t="s">
        <v>9687</v>
      </c>
      <c r="G142" s="79" t="s">
        <v>9719</v>
      </c>
      <c r="H142" s="15" t="s">
        <v>9864</v>
      </c>
      <c r="I142" s="103">
        <v>10000</v>
      </c>
      <c r="J142" s="28">
        <v>10000</v>
      </c>
      <c r="K142" s="79" t="s">
        <v>9951</v>
      </c>
      <c r="L142" s="15" t="s">
        <v>9851</v>
      </c>
      <c r="M142" s="15" t="s">
        <v>9860</v>
      </c>
      <c r="N142" s="79" t="str">
        <f t="shared" si="1"/>
        <v>Sim</v>
      </c>
      <c r="O142" s="102">
        <v>0</v>
      </c>
      <c r="P142" s="102">
        <v>100000</v>
      </c>
    </row>
    <row r="143" spans="1:16" ht="17.25" customHeight="1" x14ac:dyDescent="0.4">
      <c r="A143" s="127"/>
      <c r="B143" s="76" t="s">
        <v>9865</v>
      </c>
      <c r="C143" s="76" t="s">
        <v>10268</v>
      </c>
      <c r="D143" s="81" t="s">
        <v>9806</v>
      </c>
      <c r="E143" s="82" t="s">
        <v>10167</v>
      </c>
      <c r="F143" s="79" t="s">
        <v>9687</v>
      </c>
      <c r="G143" s="79" t="s">
        <v>9719</v>
      </c>
      <c r="H143" s="15" t="s">
        <v>9864</v>
      </c>
      <c r="I143" s="103">
        <v>100</v>
      </c>
      <c r="J143" s="28">
        <v>100</v>
      </c>
      <c r="K143" s="79" t="s">
        <v>9951</v>
      </c>
      <c r="L143" s="15" t="s">
        <v>9851</v>
      </c>
      <c r="M143" s="15" t="s">
        <v>9861</v>
      </c>
      <c r="N143" s="79" t="str">
        <f t="shared" si="1"/>
        <v>Sim</v>
      </c>
      <c r="O143" s="102">
        <v>0</v>
      </c>
      <c r="P143" s="102">
        <v>10000</v>
      </c>
    </row>
    <row r="144" spans="1:16" ht="17.25" customHeight="1" x14ac:dyDescent="0.4">
      <c r="A144" s="127"/>
      <c r="B144" s="76" t="s">
        <v>9865</v>
      </c>
      <c r="C144" s="76" t="s">
        <v>10268</v>
      </c>
      <c r="D144" s="81" t="s">
        <v>9807</v>
      </c>
      <c r="E144" s="82" t="s">
        <v>10168</v>
      </c>
      <c r="F144" s="79" t="s">
        <v>9687</v>
      </c>
      <c r="G144" s="79" t="s">
        <v>9719</v>
      </c>
      <c r="H144" s="15" t="s">
        <v>9864</v>
      </c>
      <c r="I144" s="103">
        <v>103</v>
      </c>
      <c r="J144" s="28">
        <v>103</v>
      </c>
      <c r="K144" s="79" t="s">
        <v>9951</v>
      </c>
      <c r="L144" s="15" t="s">
        <v>9851</v>
      </c>
      <c r="M144" s="15" t="s">
        <v>9862</v>
      </c>
      <c r="N144" s="79" t="str">
        <f t="shared" si="1"/>
        <v>Sim</v>
      </c>
      <c r="O144" s="102">
        <v>0</v>
      </c>
      <c r="P144" s="102">
        <v>50000</v>
      </c>
    </row>
    <row r="145" spans="1:16" ht="17.25" customHeight="1" x14ac:dyDescent="0.4">
      <c r="A145" s="75" t="s">
        <v>10232</v>
      </c>
      <c r="B145" s="76" t="s">
        <v>9866</v>
      </c>
      <c r="C145" s="76" t="s">
        <v>10269</v>
      </c>
      <c r="D145" s="81" t="s">
        <v>10233</v>
      </c>
      <c r="E145" s="82" t="s">
        <v>10234</v>
      </c>
      <c r="F145" s="79" t="s">
        <v>9687</v>
      </c>
      <c r="G145" s="79" t="s">
        <v>9719</v>
      </c>
      <c r="H145" s="15" t="s">
        <v>9634</v>
      </c>
      <c r="I145" s="103">
        <v>100</v>
      </c>
      <c r="J145" s="28">
        <v>100</v>
      </c>
      <c r="K145" s="116" t="s">
        <v>9968</v>
      </c>
      <c r="L145" s="115" t="s">
        <v>9874</v>
      </c>
      <c r="M145" s="115" t="s">
        <v>9969</v>
      </c>
      <c r="N145" s="79" t="str">
        <f t="shared" si="1"/>
        <v>Sim</v>
      </c>
      <c r="O145" s="102">
        <v>0</v>
      </c>
      <c r="P145" s="102">
        <v>100</v>
      </c>
    </row>
    <row r="146" spans="1:16" ht="17.25" customHeight="1" x14ac:dyDescent="0.4">
      <c r="A146" s="127"/>
      <c r="B146" s="76" t="s">
        <v>9866</v>
      </c>
      <c r="C146" s="76" t="s">
        <v>10270</v>
      </c>
      <c r="D146" s="81" t="s">
        <v>10042</v>
      </c>
      <c r="E146" s="82" t="s">
        <v>10170</v>
      </c>
      <c r="F146" s="79" t="s">
        <v>9687</v>
      </c>
      <c r="G146" s="79" t="s">
        <v>9719</v>
      </c>
      <c r="H146" s="15" t="s">
        <v>9813</v>
      </c>
      <c r="I146" s="104">
        <v>390</v>
      </c>
      <c r="J146" s="84">
        <v>390</v>
      </c>
      <c r="K146" s="27" t="s">
        <v>9968</v>
      </c>
      <c r="L146" s="15" t="s">
        <v>9874</v>
      </c>
      <c r="M146" s="15" t="s">
        <v>9971</v>
      </c>
      <c r="N146" s="79" t="str">
        <f t="shared" si="1"/>
        <v>Sim</v>
      </c>
      <c r="O146" s="102">
        <v>250</v>
      </c>
      <c r="P146" s="102">
        <v>750</v>
      </c>
    </row>
    <row r="147" spans="1:16" ht="17.25" customHeight="1" x14ac:dyDescent="0.4">
      <c r="A147" s="127"/>
      <c r="B147" s="76" t="s">
        <v>9866</v>
      </c>
      <c r="C147" s="76" t="s">
        <v>10270</v>
      </c>
      <c r="D147" s="81" t="s">
        <v>10043</v>
      </c>
      <c r="E147" s="82" t="s">
        <v>10171</v>
      </c>
      <c r="F147" s="79" t="s">
        <v>9687</v>
      </c>
      <c r="G147" s="79" t="s">
        <v>9719</v>
      </c>
      <c r="H147" s="15" t="s">
        <v>9813</v>
      </c>
      <c r="I147" s="104">
        <v>549.4</v>
      </c>
      <c r="J147" s="84">
        <v>549.4</v>
      </c>
      <c r="K147" s="27" t="s">
        <v>9968</v>
      </c>
      <c r="L147" s="15" t="s">
        <v>9874</v>
      </c>
      <c r="M147" s="15" t="s">
        <v>10147</v>
      </c>
      <c r="N147" s="79" t="str">
        <f t="shared" si="1"/>
        <v>Sim</v>
      </c>
      <c r="O147" s="102">
        <v>250</v>
      </c>
      <c r="P147" s="102">
        <v>750</v>
      </c>
    </row>
    <row r="148" spans="1:16" ht="17.25" customHeight="1" x14ac:dyDescent="0.4">
      <c r="A148" s="127"/>
      <c r="B148" s="76" t="s">
        <v>9866</v>
      </c>
      <c r="C148" s="76" t="s">
        <v>10270</v>
      </c>
      <c r="D148" s="81" t="s">
        <v>10044</v>
      </c>
      <c r="E148" s="82" t="s">
        <v>10172</v>
      </c>
      <c r="F148" s="79" t="s">
        <v>9687</v>
      </c>
      <c r="G148" s="79" t="s">
        <v>9719</v>
      </c>
      <c r="H148" s="15" t="s">
        <v>9867</v>
      </c>
      <c r="I148" s="104">
        <v>2</v>
      </c>
      <c r="J148" s="84">
        <v>2</v>
      </c>
      <c r="K148" s="27" t="s">
        <v>9968</v>
      </c>
      <c r="L148" s="15" t="s">
        <v>9874</v>
      </c>
      <c r="M148" s="15" t="s">
        <v>10148</v>
      </c>
      <c r="N148" s="79" t="str">
        <f t="shared" si="1"/>
        <v>Sim</v>
      </c>
      <c r="O148" s="102">
        <v>1</v>
      </c>
      <c r="P148" s="102">
        <v>10</v>
      </c>
    </row>
    <row r="149" spans="1:16" ht="17.25" customHeight="1" x14ac:dyDescent="0.4">
      <c r="A149" s="127"/>
      <c r="B149" s="76" t="s">
        <v>9866</v>
      </c>
      <c r="C149" s="76" t="s">
        <v>10270</v>
      </c>
      <c r="D149" s="81" t="s">
        <v>10045</v>
      </c>
      <c r="E149" s="82" t="s">
        <v>10173</v>
      </c>
      <c r="F149" s="79" t="s">
        <v>9687</v>
      </c>
      <c r="G149" s="79" t="s">
        <v>9719</v>
      </c>
      <c r="H149" s="15" t="s">
        <v>9794</v>
      </c>
      <c r="I149" s="104">
        <v>0</v>
      </c>
      <c r="J149" s="84">
        <v>0</v>
      </c>
      <c r="K149" s="27" t="s">
        <v>9968</v>
      </c>
      <c r="L149" s="15" t="s">
        <v>9874</v>
      </c>
      <c r="M149" s="15" t="s">
        <v>9972</v>
      </c>
      <c r="N149" s="79" t="str">
        <f t="shared" si="1"/>
        <v>Sim</v>
      </c>
      <c r="O149" s="102">
        <v>0</v>
      </c>
      <c r="P149" s="102">
        <v>500</v>
      </c>
    </row>
    <row r="150" spans="1:16" ht="17.25" customHeight="1" x14ac:dyDescent="0.4">
      <c r="A150" s="127"/>
      <c r="B150" s="76" t="s">
        <v>9866</v>
      </c>
      <c r="C150" s="76" t="s">
        <v>10270</v>
      </c>
      <c r="D150" s="81" t="s">
        <v>10046</v>
      </c>
      <c r="E150" s="82" t="s">
        <v>10174</v>
      </c>
      <c r="F150" s="79" t="s">
        <v>9687</v>
      </c>
      <c r="G150" s="79" t="s">
        <v>9719</v>
      </c>
      <c r="H150" s="15" t="s">
        <v>9794</v>
      </c>
      <c r="I150" s="104">
        <v>0</v>
      </c>
      <c r="J150" s="84">
        <v>0</v>
      </c>
      <c r="K150" s="27" t="s">
        <v>9968</v>
      </c>
      <c r="L150" s="15" t="s">
        <v>9874</v>
      </c>
      <c r="M150" s="15" t="s">
        <v>10149</v>
      </c>
      <c r="N150" s="79" t="str">
        <f t="shared" si="1"/>
        <v>Sim</v>
      </c>
      <c r="O150" s="102">
        <v>0</v>
      </c>
      <c r="P150" s="102">
        <v>50</v>
      </c>
    </row>
    <row r="151" spans="1:16" s="18" customFormat="1" ht="17.25" customHeight="1" x14ac:dyDescent="0.4">
      <c r="A151" s="127"/>
      <c r="B151" s="76" t="s">
        <v>9866</v>
      </c>
      <c r="C151" s="76" t="s">
        <v>10270</v>
      </c>
      <c r="D151" s="81" t="s">
        <v>10047</v>
      </c>
      <c r="E151" s="82" t="s">
        <v>10175</v>
      </c>
      <c r="F151" s="79" t="s">
        <v>10251</v>
      </c>
      <c r="G151" s="79" t="s">
        <v>9719</v>
      </c>
      <c r="H151" s="15" t="s">
        <v>10252</v>
      </c>
      <c r="I151" s="103" t="s">
        <v>9719</v>
      </c>
      <c r="J151" s="28" t="s">
        <v>9719</v>
      </c>
      <c r="K151" s="112" t="s">
        <v>9951</v>
      </c>
      <c r="L151" s="113" t="s">
        <v>9949</v>
      </c>
      <c r="M151" s="113" t="s">
        <v>10561</v>
      </c>
      <c r="N151" s="79" t="str">
        <f t="shared" si="1"/>
        <v>Sim</v>
      </c>
      <c r="O151" s="102" t="s">
        <v>9780</v>
      </c>
      <c r="P151" s="102" t="s">
        <v>10248</v>
      </c>
    </row>
    <row r="152" spans="1:16" ht="17.25" customHeight="1" x14ac:dyDescent="0.4">
      <c r="A152" s="127"/>
      <c r="B152" s="76" t="s">
        <v>9866</v>
      </c>
      <c r="C152" s="76" t="s">
        <v>10270</v>
      </c>
      <c r="D152" s="81" t="s">
        <v>10048</v>
      </c>
      <c r="E152" s="82" t="s">
        <v>10176</v>
      </c>
      <c r="F152" s="79" t="s">
        <v>9687</v>
      </c>
      <c r="G152" s="79" t="s">
        <v>9719</v>
      </c>
      <c r="H152" s="15" t="s">
        <v>9634</v>
      </c>
      <c r="I152" s="104">
        <v>0.25</v>
      </c>
      <c r="J152" s="84">
        <v>0.25</v>
      </c>
      <c r="K152" s="27" t="s">
        <v>9968</v>
      </c>
      <c r="L152" s="15" t="s">
        <v>9874</v>
      </c>
      <c r="M152" s="15" t="s">
        <v>9973</v>
      </c>
      <c r="N152" s="79" t="str">
        <f t="shared" si="1"/>
        <v>Sim</v>
      </c>
      <c r="O152" s="102">
        <v>0</v>
      </c>
      <c r="P152" s="102">
        <v>100</v>
      </c>
    </row>
    <row r="153" spans="1:16" ht="17.25" customHeight="1" x14ac:dyDescent="0.4">
      <c r="A153" s="127"/>
      <c r="B153" s="76" t="s">
        <v>9866</v>
      </c>
      <c r="C153" s="76" t="s">
        <v>10270</v>
      </c>
      <c r="D153" s="81" t="s">
        <v>10049</v>
      </c>
      <c r="E153" s="82" t="s">
        <v>10177</v>
      </c>
      <c r="F153" s="79" t="s">
        <v>9687</v>
      </c>
      <c r="G153" s="79" t="s">
        <v>9719</v>
      </c>
      <c r="H153" s="15" t="s">
        <v>9634</v>
      </c>
      <c r="I153" s="104">
        <v>0</v>
      </c>
      <c r="J153" s="84">
        <v>0</v>
      </c>
      <c r="K153" s="112" t="s">
        <v>9951</v>
      </c>
      <c r="L153" s="113" t="s">
        <v>9949</v>
      </c>
      <c r="M153" s="113" t="s">
        <v>10602</v>
      </c>
      <c r="N153" s="79" t="str">
        <f t="shared" si="1"/>
        <v>Sim</v>
      </c>
      <c r="O153" s="102">
        <v>0</v>
      </c>
      <c r="P153" s="102">
        <v>100</v>
      </c>
    </row>
    <row r="154" spans="1:16" ht="17.25" customHeight="1" x14ac:dyDescent="0.4">
      <c r="A154" s="127"/>
      <c r="B154" s="76" t="s">
        <v>9866</v>
      </c>
      <c r="C154" s="76" t="s">
        <v>10270</v>
      </c>
      <c r="D154" s="81" t="s">
        <v>10050</v>
      </c>
      <c r="E154" s="82" t="s">
        <v>10178</v>
      </c>
      <c r="F154" s="79" t="s">
        <v>9687</v>
      </c>
      <c r="G154" s="79" t="s">
        <v>9719</v>
      </c>
      <c r="H154" s="15" t="s">
        <v>9794</v>
      </c>
      <c r="I154" s="104">
        <v>950</v>
      </c>
      <c r="J154" s="84">
        <v>950</v>
      </c>
      <c r="K154" s="27" t="s">
        <v>9968</v>
      </c>
      <c r="L154" s="15" t="s">
        <v>9874</v>
      </c>
      <c r="M154" s="15" t="s">
        <v>9975</v>
      </c>
      <c r="N154" s="79" t="str">
        <f t="shared" ref="N154:N208" si="4">IF(F154="String",IF(I154&lt;&gt;"","Sim","Não"),IF(F154="List",IF(I154&lt;&gt;"","Sim","Não"),IF(AND(I154&gt;=O154,I154&lt;=P154,I154&lt;&gt;""),"Sim","Não")))</f>
        <v>Sim</v>
      </c>
      <c r="O154" s="102">
        <v>0</v>
      </c>
      <c r="P154" s="102">
        <v>5000</v>
      </c>
    </row>
    <row r="155" spans="1:16" ht="17.25" customHeight="1" x14ac:dyDescent="0.4">
      <c r="A155" s="127"/>
      <c r="B155" s="76" t="s">
        <v>9866</v>
      </c>
      <c r="C155" s="76" t="s">
        <v>10270</v>
      </c>
      <c r="D155" s="81" t="s">
        <v>10051</v>
      </c>
      <c r="E155" s="82" t="s">
        <v>10179</v>
      </c>
      <c r="F155" s="79" t="s">
        <v>9687</v>
      </c>
      <c r="G155" s="79" t="s">
        <v>9719</v>
      </c>
      <c r="H155" s="15" t="s">
        <v>9794</v>
      </c>
      <c r="I155" s="103">
        <v>2000</v>
      </c>
      <c r="J155" s="28">
        <v>2000</v>
      </c>
      <c r="K155" s="27" t="s">
        <v>9968</v>
      </c>
      <c r="L155" s="15" t="s">
        <v>9874</v>
      </c>
      <c r="M155" s="15" t="s">
        <v>9976</v>
      </c>
      <c r="N155" s="79" t="str">
        <f t="shared" si="4"/>
        <v>Sim</v>
      </c>
      <c r="O155" s="102">
        <v>0</v>
      </c>
      <c r="P155" s="102">
        <v>5000</v>
      </c>
    </row>
    <row r="156" spans="1:16" ht="17.25" customHeight="1" x14ac:dyDescent="0.4">
      <c r="A156" s="127"/>
      <c r="B156" s="76" t="s">
        <v>9866</v>
      </c>
      <c r="C156" s="76" t="s">
        <v>10270</v>
      </c>
      <c r="D156" s="81" t="s">
        <v>10052</v>
      </c>
      <c r="E156" s="82" t="s">
        <v>10181</v>
      </c>
      <c r="F156" s="79" t="s">
        <v>9687</v>
      </c>
      <c r="G156" s="79" t="s">
        <v>9719</v>
      </c>
      <c r="H156" s="15" t="s">
        <v>9794</v>
      </c>
      <c r="I156" s="104">
        <v>2750</v>
      </c>
      <c r="J156" s="84">
        <v>2750</v>
      </c>
      <c r="K156" s="27" t="s">
        <v>9968</v>
      </c>
      <c r="L156" s="15" t="s">
        <v>9874</v>
      </c>
      <c r="M156" s="15" t="s">
        <v>9977</v>
      </c>
      <c r="N156" s="79" t="str">
        <f t="shared" si="4"/>
        <v>Sim</v>
      </c>
      <c r="O156" s="102">
        <v>0</v>
      </c>
      <c r="P156" s="102">
        <v>5000</v>
      </c>
    </row>
    <row r="157" spans="1:16" ht="17.25" customHeight="1" x14ac:dyDescent="0.4">
      <c r="A157" s="127"/>
      <c r="B157" s="76" t="s">
        <v>9866</v>
      </c>
      <c r="C157" s="76" t="s">
        <v>10270</v>
      </c>
      <c r="D157" s="81" t="s">
        <v>10053</v>
      </c>
      <c r="E157" s="82" t="s">
        <v>10180</v>
      </c>
      <c r="F157" s="79" t="s">
        <v>9687</v>
      </c>
      <c r="G157" s="79" t="s">
        <v>9719</v>
      </c>
      <c r="H157" s="15" t="s">
        <v>9794</v>
      </c>
      <c r="I157" s="104">
        <v>300</v>
      </c>
      <c r="J157" s="84">
        <v>300</v>
      </c>
      <c r="K157" s="27" t="s">
        <v>9968</v>
      </c>
      <c r="L157" s="15" t="s">
        <v>9874</v>
      </c>
      <c r="M157" s="15" t="s">
        <v>9978</v>
      </c>
      <c r="N157" s="79" t="str">
        <f t="shared" si="4"/>
        <v>Sim</v>
      </c>
      <c r="O157" s="102">
        <v>0</v>
      </c>
      <c r="P157" s="102">
        <v>1000</v>
      </c>
    </row>
    <row r="158" spans="1:16" ht="17.25" customHeight="1" x14ac:dyDescent="0.4">
      <c r="A158" s="127"/>
      <c r="B158" s="76" t="s">
        <v>9866</v>
      </c>
      <c r="C158" s="76" t="s">
        <v>10270</v>
      </c>
      <c r="D158" s="81" t="s">
        <v>10054</v>
      </c>
      <c r="E158" s="82" t="s">
        <v>10182</v>
      </c>
      <c r="F158" s="79" t="s">
        <v>9687</v>
      </c>
      <c r="G158" s="79" t="s">
        <v>9719</v>
      </c>
      <c r="H158" s="15" t="s">
        <v>9794</v>
      </c>
      <c r="I158" s="104">
        <v>1500</v>
      </c>
      <c r="J158" s="84">
        <v>1500</v>
      </c>
      <c r="K158" s="27" t="s">
        <v>9968</v>
      </c>
      <c r="L158" s="15" t="s">
        <v>9874</v>
      </c>
      <c r="M158" s="15" t="s">
        <v>9979</v>
      </c>
      <c r="N158" s="79" t="str">
        <f t="shared" si="4"/>
        <v>Sim</v>
      </c>
      <c r="O158" s="102">
        <v>0</v>
      </c>
      <c r="P158" s="102">
        <v>10000</v>
      </c>
    </row>
    <row r="159" spans="1:16" ht="17.25" customHeight="1" x14ac:dyDescent="0.4">
      <c r="A159" s="127"/>
      <c r="B159" s="76" t="s">
        <v>9866</v>
      </c>
      <c r="C159" s="76" t="s">
        <v>10270</v>
      </c>
      <c r="D159" s="81" t="s">
        <v>10055</v>
      </c>
      <c r="E159" s="82" t="s">
        <v>10183</v>
      </c>
      <c r="F159" s="79" t="s">
        <v>9687</v>
      </c>
      <c r="G159" s="79" t="s">
        <v>9719</v>
      </c>
      <c r="H159" s="15" t="s">
        <v>9794</v>
      </c>
      <c r="I159" s="104">
        <v>2250</v>
      </c>
      <c r="J159" s="84">
        <v>2250</v>
      </c>
      <c r="K159" s="27" t="s">
        <v>9968</v>
      </c>
      <c r="L159" s="15" t="s">
        <v>9874</v>
      </c>
      <c r="M159" s="15" t="s">
        <v>10143</v>
      </c>
      <c r="N159" s="79" t="str">
        <f t="shared" si="4"/>
        <v>Sim</v>
      </c>
      <c r="O159" s="102">
        <v>0</v>
      </c>
      <c r="P159" s="102">
        <v>10000</v>
      </c>
    </row>
    <row r="160" spans="1:16" ht="17.25" customHeight="1" x14ac:dyDescent="0.4">
      <c r="A160" s="127"/>
      <c r="B160" s="76" t="s">
        <v>9866</v>
      </c>
      <c r="C160" s="76" t="s">
        <v>10272</v>
      </c>
      <c r="D160" s="81" t="s">
        <v>10056</v>
      </c>
      <c r="E160" s="82" t="s">
        <v>10184</v>
      </c>
      <c r="F160" s="79" t="s">
        <v>9687</v>
      </c>
      <c r="G160" s="79" t="s">
        <v>9719</v>
      </c>
      <c r="H160" s="15" t="s">
        <v>9813</v>
      </c>
      <c r="I160" s="104">
        <v>500</v>
      </c>
      <c r="J160" s="84">
        <v>500</v>
      </c>
      <c r="K160" s="116" t="s">
        <v>9968</v>
      </c>
      <c r="L160" s="115" t="s">
        <v>9874</v>
      </c>
      <c r="M160" s="115" t="s">
        <v>10591</v>
      </c>
      <c r="N160" s="79" t="str">
        <f t="shared" si="4"/>
        <v>Sim</v>
      </c>
      <c r="O160" s="102">
        <v>300</v>
      </c>
      <c r="P160" s="102">
        <v>750</v>
      </c>
    </row>
    <row r="161" spans="1:16" ht="17.25" customHeight="1" x14ac:dyDescent="0.4">
      <c r="A161" s="127"/>
      <c r="B161" s="76" t="s">
        <v>9866</v>
      </c>
      <c r="C161" s="76" t="s">
        <v>10272</v>
      </c>
      <c r="D161" s="81" t="s">
        <v>10057</v>
      </c>
      <c r="E161" s="82" t="s">
        <v>10189</v>
      </c>
      <c r="F161" s="79" t="s">
        <v>9687</v>
      </c>
      <c r="G161" s="79" t="s">
        <v>9719</v>
      </c>
      <c r="H161" s="15" t="s">
        <v>9868</v>
      </c>
      <c r="I161" s="104">
        <v>5.21</v>
      </c>
      <c r="J161" s="84">
        <v>5.21</v>
      </c>
      <c r="K161" s="116" t="s">
        <v>9968</v>
      </c>
      <c r="L161" s="115" t="s">
        <v>9874</v>
      </c>
      <c r="M161" s="115" t="s">
        <v>10592</v>
      </c>
      <c r="N161" s="79" t="str">
        <f t="shared" si="4"/>
        <v>Sim</v>
      </c>
      <c r="O161" s="102">
        <v>0</v>
      </c>
      <c r="P161" s="102">
        <v>10</v>
      </c>
    </row>
    <row r="162" spans="1:16" ht="17.25" customHeight="1" x14ac:dyDescent="0.4">
      <c r="A162" s="127"/>
      <c r="B162" s="76" t="s">
        <v>9866</v>
      </c>
      <c r="C162" s="76" t="s">
        <v>10272</v>
      </c>
      <c r="D162" s="81" t="s">
        <v>10058</v>
      </c>
      <c r="E162" s="82" t="s">
        <v>10190</v>
      </c>
      <c r="F162" s="79" t="s">
        <v>9687</v>
      </c>
      <c r="G162" s="79" t="s">
        <v>9719</v>
      </c>
      <c r="H162" s="15" t="s">
        <v>9868</v>
      </c>
      <c r="I162" s="104">
        <v>5.21</v>
      </c>
      <c r="J162" s="84">
        <v>5.21</v>
      </c>
      <c r="K162" s="116" t="s">
        <v>9968</v>
      </c>
      <c r="L162" s="115" t="s">
        <v>9874</v>
      </c>
      <c r="M162" s="115" t="s">
        <v>10593</v>
      </c>
      <c r="N162" s="79" t="str">
        <f t="shared" si="4"/>
        <v>Sim</v>
      </c>
      <c r="O162" s="102">
        <v>0</v>
      </c>
      <c r="P162" s="102">
        <v>10</v>
      </c>
    </row>
    <row r="163" spans="1:16" ht="17.25" customHeight="1" x14ac:dyDescent="0.4">
      <c r="A163" s="127"/>
      <c r="B163" s="76" t="s">
        <v>9866</v>
      </c>
      <c r="C163" s="76" t="s">
        <v>10273</v>
      </c>
      <c r="D163" s="81" t="s">
        <v>10059</v>
      </c>
      <c r="E163" s="82" t="s">
        <v>10187</v>
      </c>
      <c r="F163" s="79" t="s">
        <v>9687</v>
      </c>
      <c r="G163" s="79" t="s">
        <v>9719</v>
      </c>
      <c r="H163" s="15" t="s">
        <v>9813</v>
      </c>
      <c r="I163" s="104">
        <v>520</v>
      </c>
      <c r="J163" s="84">
        <v>520</v>
      </c>
      <c r="K163" s="116" t="s">
        <v>9968</v>
      </c>
      <c r="L163" s="115" t="s">
        <v>9874</v>
      </c>
      <c r="M163" s="115" t="s">
        <v>10594</v>
      </c>
      <c r="N163" s="79" t="str">
        <f t="shared" si="4"/>
        <v>Sim</v>
      </c>
      <c r="O163" s="102">
        <v>300</v>
      </c>
      <c r="P163" s="102">
        <v>750</v>
      </c>
    </row>
    <row r="164" spans="1:16" ht="17.25" customHeight="1" x14ac:dyDescent="0.4">
      <c r="A164" s="127"/>
      <c r="B164" s="76" t="s">
        <v>9866</v>
      </c>
      <c r="C164" s="76" t="s">
        <v>10273</v>
      </c>
      <c r="D164" s="81" t="s">
        <v>10271</v>
      </c>
      <c r="E164" s="82" t="s">
        <v>10188</v>
      </c>
      <c r="F164" s="79" t="s">
        <v>9687</v>
      </c>
      <c r="G164" s="79" t="s">
        <v>9719</v>
      </c>
      <c r="H164" s="15" t="s">
        <v>9813</v>
      </c>
      <c r="I164" s="104">
        <v>520</v>
      </c>
      <c r="J164" s="84">
        <v>520</v>
      </c>
      <c r="K164" s="116" t="s">
        <v>9968</v>
      </c>
      <c r="L164" s="115" t="s">
        <v>9874</v>
      </c>
      <c r="M164" s="115" t="s">
        <v>10595</v>
      </c>
      <c r="N164" s="79" t="str">
        <f t="shared" si="4"/>
        <v>Sim</v>
      </c>
      <c r="O164" s="102">
        <v>0</v>
      </c>
      <c r="P164" s="102">
        <v>750</v>
      </c>
    </row>
    <row r="165" spans="1:16" ht="17.25" customHeight="1" x14ac:dyDescent="0.4">
      <c r="A165" s="127"/>
      <c r="B165" s="76" t="s">
        <v>9866</v>
      </c>
      <c r="C165" s="76" t="s">
        <v>10273</v>
      </c>
      <c r="D165" s="81" t="s">
        <v>10057</v>
      </c>
      <c r="E165" s="82" t="s">
        <v>10185</v>
      </c>
      <c r="F165" s="79" t="s">
        <v>9687</v>
      </c>
      <c r="G165" s="79" t="s">
        <v>9719</v>
      </c>
      <c r="H165" s="15" t="s">
        <v>9868</v>
      </c>
      <c r="I165" s="104">
        <v>5.21</v>
      </c>
      <c r="J165" s="84">
        <v>5.21</v>
      </c>
      <c r="K165" s="116" t="s">
        <v>9968</v>
      </c>
      <c r="L165" s="115" t="s">
        <v>9874</v>
      </c>
      <c r="M165" s="115" t="s">
        <v>10596</v>
      </c>
      <c r="N165" s="79" t="str">
        <f t="shared" si="4"/>
        <v>Sim</v>
      </c>
      <c r="O165" s="102">
        <v>0</v>
      </c>
      <c r="P165" s="102">
        <v>10</v>
      </c>
    </row>
    <row r="166" spans="1:16" ht="17.25" customHeight="1" x14ac:dyDescent="0.4">
      <c r="A166" s="127"/>
      <c r="B166" s="76" t="s">
        <v>9866</v>
      </c>
      <c r="C166" s="76" t="s">
        <v>10273</v>
      </c>
      <c r="D166" s="81" t="s">
        <v>10058</v>
      </c>
      <c r="E166" s="82" t="s">
        <v>10186</v>
      </c>
      <c r="F166" s="79" t="s">
        <v>9687</v>
      </c>
      <c r="G166" s="79" t="s">
        <v>9719</v>
      </c>
      <c r="H166" s="15" t="s">
        <v>9868</v>
      </c>
      <c r="I166" s="104">
        <v>5.21</v>
      </c>
      <c r="J166" s="84">
        <v>5.21</v>
      </c>
      <c r="K166" s="116" t="s">
        <v>9968</v>
      </c>
      <c r="L166" s="115" t="s">
        <v>9874</v>
      </c>
      <c r="M166" s="115" t="s">
        <v>10597</v>
      </c>
      <c r="N166" s="79" t="str">
        <f t="shared" si="4"/>
        <v>Sim</v>
      </c>
      <c r="O166" s="102">
        <v>0</v>
      </c>
      <c r="P166" s="102">
        <v>10</v>
      </c>
    </row>
    <row r="167" spans="1:16" ht="17.25" customHeight="1" x14ac:dyDescent="0.4">
      <c r="A167" s="127"/>
      <c r="B167" s="76" t="s">
        <v>9866</v>
      </c>
      <c r="C167" s="76" t="s">
        <v>10270</v>
      </c>
      <c r="D167" s="81" t="s">
        <v>10060</v>
      </c>
      <c r="E167" s="82" t="s">
        <v>10191</v>
      </c>
      <c r="F167" s="79" t="s">
        <v>9687</v>
      </c>
      <c r="G167" s="79" t="s">
        <v>9719</v>
      </c>
      <c r="H167" s="15" t="s">
        <v>9813</v>
      </c>
      <c r="I167" s="104">
        <v>549.4</v>
      </c>
      <c r="J167" s="84">
        <v>549.4</v>
      </c>
      <c r="K167" s="27" t="s">
        <v>9968</v>
      </c>
      <c r="L167" s="15" t="s">
        <v>9874</v>
      </c>
      <c r="M167" s="15" t="s">
        <v>9971</v>
      </c>
      <c r="N167" s="79" t="str">
        <f t="shared" si="4"/>
        <v>Sim</v>
      </c>
      <c r="O167" s="102">
        <v>250</v>
      </c>
      <c r="P167" s="102">
        <v>750</v>
      </c>
    </row>
    <row r="168" spans="1:16" s="18" customFormat="1" ht="17.25" customHeight="1" x14ac:dyDescent="0.4">
      <c r="A168" s="127"/>
      <c r="B168" s="76" t="s">
        <v>9866</v>
      </c>
      <c r="C168" s="76" t="s">
        <v>10270</v>
      </c>
      <c r="D168" s="81" t="s">
        <v>10061</v>
      </c>
      <c r="E168" s="82" t="s">
        <v>10192</v>
      </c>
      <c r="F168" s="79" t="s">
        <v>9687</v>
      </c>
      <c r="G168" s="79" t="s">
        <v>9719</v>
      </c>
      <c r="H168" s="15" t="s">
        <v>9813</v>
      </c>
      <c r="I168" s="104">
        <v>549.4</v>
      </c>
      <c r="J168" s="84">
        <v>549.4</v>
      </c>
      <c r="K168" s="27" t="s">
        <v>9968</v>
      </c>
      <c r="L168" s="15" t="s">
        <v>9874</v>
      </c>
      <c r="M168" s="15" t="s">
        <v>10147</v>
      </c>
      <c r="N168" s="79" t="str">
        <f t="shared" si="4"/>
        <v>Sim</v>
      </c>
      <c r="O168" s="102">
        <v>250</v>
      </c>
      <c r="P168" s="102">
        <v>750</v>
      </c>
    </row>
    <row r="169" spans="1:16" ht="17.25" customHeight="1" x14ac:dyDescent="0.4">
      <c r="A169" s="127"/>
      <c r="B169" s="76" t="s">
        <v>9866</v>
      </c>
      <c r="C169" s="76" t="s">
        <v>10270</v>
      </c>
      <c r="D169" s="81" t="s">
        <v>10062</v>
      </c>
      <c r="E169" s="82" t="s">
        <v>10193</v>
      </c>
      <c r="F169" s="79" t="s">
        <v>9687</v>
      </c>
      <c r="G169" s="79" t="s">
        <v>9719</v>
      </c>
      <c r="H169" s="15" t="s">
        <v>9867</v>
      </c>
      <c r="I169" s="104">
        <v>4</v>
      </c>
      <c r="J169" s="84">
        <v>4</v>
      </c>
      <c r="K169" s="27" t="s">
        <v>9968</v>
      </c>
      <c r="L169" s="15" t="s">
        <v>9874</v>
      </c>
      <c r="M169" s="15" t="s">
        <v>10148</v>
      </c>
      <c r="N169" s="79" t="str">
        <f t="shared" si="4"/>
        <v>Sim</v>
      </c>
      <c r="O169" s="102">
        <v>1</v>
      </c>
      <c r="P169" s="102">
        <v>10</v>
      </c>
    </row>
    <row r="170" spans="1:16" ht="17.25" customHeight="1" x14ac:dyDescent="0.4">
      <c r="A170" s="127"/>
      <c r="B170" s="76" t="s">
        <v>9866</v>
      </c>
      <c r="C170" s="76" t="s">
        <v>10270</v>
      </c>
      <c r="D170" s="81" t="s">
        <v>10063</v>
      </c>
      <c r="E170" s="82" t="s">
        <v>10194</v>
      </c>
      <c r="F170" s="79" t="s">
        <v>9687</v>
      </c>
      <c r="G170" s="79" t="s">
        <v>9719</v>
      </c>
      <c r="H170" s="15" t="s">
        <v>9794</v>
      </c>
      <c r="I170" s="104">
        <v>150</v>
      </c>
      <c r="J170" s="84">
        <v>150</v>
      </c>
      <c r="K170" s="27" t="s">
        <v>9968</v>
      </c>
      <c r="L170" s="15" t="s">
        <v>9874</v>
      </c>
      <c r="M170" s="15" t="s">
        <v>9972</v>
      </c>
      <c r="N170" s="79" t="str">
        <f t="shared" si="4"/>
        <v>Sim</v>
      </c>
      <c r="O170" s="102">
        <v>0</v>
      </c>
      <c r="P170" s="102">
        <v>500</v>
      </c>
    </row>
    <row r="171" spans="1:16" ht="17.25" customHeight="1" x14ac:dyDescent="0.4">
      <c r="A171" s="127"/>
      <c r="B171" s="76" t="s">
        <v>9866</v>
      </c>
      <c r="C171" s="76" t="s">
        <v>10270</v>
      </c>
      <c r="D171" s="81" t="s">
        <v>10064</v>
      </c>
      <c r="E171" s="82" t="s">
        <v>10195</v>
      </c>
      <c r="F171" s="79" t="s">
        <v>9687</v>
      </c>
      <c r="G171" s="79" t="s">
        <v>9719</v>
      </c>
      <c r="H171" s="15" t="s">
        <v>9794</v>
      </c>
      <c r="I171" s="104">
        <v>0</v>
      </c>
      <c r="J171" s="84">
        <v>0</v>
      </c>
      <c r="K171" s="27" t="s">
        <v>9968</v>
      </c>
      <c r="L171" s="15" t="s">
        <v>9874</v>
      </c>
      <c r="M171" s="15" t="s">
        <v>10149</v>
      </c>
      <c r="N171" s="79" t="str">
        <f t="shared" si="4"/>
        <v>Sim</v>
      </c>
      <c r="O171" s="102">
        <v>0</v>
      </c>
      <c r="P171" s="102">
        <v>500</v>
      </c>
    </row>
    <row r="172" spans="1:16" ht="17.25" customHeight="1" x14ac:dyDescent="0.4">
      <c r="A172" s="127"/>
      <c r="B172" s="76" t="s">
        <v>9866</v>
      </c>
      <c r="C172" s="76" t="s">
        <v>10270</v>
      </c>
      <c r="D172" s="81" t="s">
        <v>10065</v>
      </c>
      <c r="E172" s="82" t="s">
        <v>10196</v>
      </c>
      <c r="F172" s="79" t="s">
        <v>10251</v>
      </c>
      <c r="G172" s="79" t="s">
        <v>9719</v>
      </c>
      <c r="H172" s="15" t="s">
        <v>10252</v>
      </c>
      <c r="I172" s="103" t="s">
        <v>9719</v>
      </c>
      <c r="J172" s="28" t="s">
        <v>9719</v>
      </c>
      <c r="K172" s="112" t="s">
        <v>9951</v>
      </c>
      <c r="L172" s="113" t="s">
        <v>9949</v>
      </c>
      <c r="M172" s="113" t="s">
        <v>10561</v>
      </c>
      <c r="N172" s="79" t="str">
        <f t="shared" si="4"/>
        <v>Sim</v>
      </c>
      <c r="O172" s="102" t="s">
        <v>9780</v>
      </c>
      <c r="P172" s="102" t="s">
        <v>10248</v>
      </c>
    </row>
    <row r="173" spans="1:16" ht="17.25" customHeight="1" x14ac:dyDescent="0.4">
      <c r="A173" s="127"/>
      <c r="B173" s="76" t="s">
        <v>9866</v>
      </c>
      <c r="C173" s="76" t="s">
        <v>10270</v>
      </c>
      <c r="D173" s="81" t="s">
        <v>10066</v>
      </c>
      <c r="E173" s="82" t="s">
        <v>10197</v>
      </c>
      <c r="F173" s="79" t="s">
        <v>9687</v>
      </c>
      <c r="G173" s="79" t="s">
        <v>9719</v>
      </c>
      <c r="H173" s="15" t="s">
        <v>9634</v>
      </c>
      <c r="I173" s="104">
        <v>0.25</v>
      </c>
      <c r="J173" s="84">
        <v>0.25</v>
      </c>
      <c r="K173" s="27" t="s">
        <v>9968</v>
      </c>
      <c r="L173" s="15" t="s">
        <v>9874</v>
      </c>
      <c r="M173" s="15" t="s">
        <v>9973</v>
      </c>
      <c r="N173" s="79" t="str">
        <f t="shared" si="4"/>
        <v>Sim</v>
      </c>
      <c r="O173" s="102">
        <v>0</v>
      </c>
      <c r="P173" s="102">
        <v>100</v>
      </c>
    </row>
    <row r="174" spans="1:16" ht="17.25" customHeight="1" x14ac:dyDescent="0.4">
      <c r="A174" s="127"/>
      <c r="B174" s="76" t="s">
        <v>9866</v>
      </c>
      <c r="C174" s="76" t="s">
        <v>10270</v>
      </c>
      <c r="D174" s="81" t="s">
        <v>10067</v>
      </c>
      <c r="E174" s="82" t="s">
        <v>10198</v>
      </c>
      <c r="F174" s="79" t="s">
        <v>9687</v>
      </c>
      <c r="G174" s="79" t="s">
        <v>9719</v>
      </c>
      <c r="H174" s="15" t="s">
        <v>9634</v>
      </c>
      <c r="I174" s="104">
        <v>0</v>
      </c>
      <c r="J174" s="84">
        <v>0</v>
      </c>
      <c r="K174" s="27" t="s">
        <v>9968</v>
      </c>
      <c r="L174" s="15" t="s">
        <v>9874</v>
      </c>
      <c r="M174" s="15" t="s">
        <v>9974</v>
      </c>
      <c r="N174" s="79" t="str">
        <f t="shared" si="4"/>
        <v>Sim</v>
      </c>
      <c r="O174" s="102">
        <v>0</v>
      </c>
      <c r="P174" s="102">
        <v>100</v>
      </c>
    </row>
    <row r="175" spans="1:16" ht="17.25" customHeight="1" x14ac:dyDescent="0.4">
      <c r="A175" s="127"/>
      <c r="B175" s="76" t="s">
        <v>9866</v>
      </c>
      <c r="C175" s="76" t="s">
        <v>10270</v>
      </c>
      <c r="D175" s="81" t="s">
        <v>10068</v>
      </c>
      <c r="E175" s="82" t="s">
        <v>10199</v>
      </c>
      <c r="F175" s="79" t="s">
        <v>9687</v>
      </c>
      <c r="G175" s="79" t="s">
        <v>9719</v>
      </c>
      <c r="H175" s="15" t="s">
        <v>9794</v>
      </c>
      <c r="I175" s="104">
        <v>950</v>
      </c>
      <c r="J175" s="84">
        <v>950</v>
      </c>
      <c r="K175" s="27" t="s">
        <v>9968</v>
      </c>
      <c r="L175" s="15" t="s">
        <v>9874</v>
      </c>
      <c r="M175" s="15" t="s">
        <v>9975</v>
      </c>
      <c r="N175" s="79" t="str">
        <f t="shared" si="4"/>
        <v>Sim</v>
      </c>
      <c r="O175" s="102">
        <v>0</v>
      </c>
      <c r="P175" s="102">
        <v>5000</v>
      </c>
    </row>
    <row r="176" spans="1:16" ht="17.25" customHeight="1" x14ac:dyDescent="0.4">
      <c r="A176" s="127"/>
      <c r="B176" s="76" t="s">
        <v>9866</v>
      </c>
      <c r="C176" s="76" t="s">
        <v>10270</v>
      </c>
      <c r="D176" s="81" t="s">
        <v>10069</v>
      </c>
      <c r="E176" s="82" t="s">
        <v>10200</v>
      </c>
      <c r="F176" s="79" t="s">
        <v>9687</v>
      </c>
      <c r="G176" s="79" t="s">
        <v>9719</v>
      </c>
      <c r="H176" s="15" t="s">
        <v>9794</v>
      </c>
      <c r="I176" s="103">
        <v>2000</v>
      </c>
      <c r="J176" s="28">
        <v>2000</v>
      </c>
      <c r="K176" s="27" t="s">
        <v>9968</v>
      </c>
      <c r="L176" s="15" t="s">
        <v>9874</v>
      </c>
      <c r="M176" s="15" t="s">
        <v>9976</v>
      </c>
      <c r="N176" s="79" t="str">
        <f t="shared" si="4"/>
        <v>Sim</v>
      </c>
      <c r="O176" s="102">
        <v>0</v>
      </c>
      <c r="P176" s="102">
        <v>5000</v>
      </c>
    </row>
    <row r="177" spans="1:16" ht="17.25" customHeight="1" x14ac:dyDescent="0.4">
      <c r="A177" s="127"/>
      <c r="B177" s="76" t="s">
        <v>9866</v>
      </c>
      <c r="C177" s="76" t="s">
        <v>10270</v>
      </c>
      <c r="D177" s="81" t="s">
        <v>10070</v>
      </c>
      <c r="E177" s="82" t="s">
        <v>10201</v>
      </c>
      <c r="F177" s="79" t="s">
        <v>9687</v>
      </c>
      <c r="G177" s="79" t="s">
        <v>9719</v>
      </c>
      <c r="H177" s="15" t="s">
        <v>9794</v>
      </c>
      <c r="I177" s="104">
        <v>2750</v>
      </c>
      <c r="J177" s="84">
        <v>2750</v>
      </c>
      <c r="K177" s="27" t="s">
        <v>9968</v>
      </c>
      <c r="L177" s="15" t="s">
        <v>9874</v>
      </c>
      <c r="M177" s="15" t="s">
        <v>9977</v>
      </c>
      <c r="N177" s="79" t="str">
        <f t="shared" si="4"/>
        <v>Sim</v>
      </c>
      <c r="O177" s="102">
        <v>0</v>
      </c>
      <c r="P177" s="102">
        <v>5000</v>
      </c>
    </row>
    <row r="178" spans="1:16" ht="17.25" customHeight="1" x14ac:dyDescent="0.4">
      <c r="A178" s="127"/>
      <c r="B178" s="76" t="s">
        <v>9866</v>
      </c>
      <c r="C178" s="76" t="s">
        <v>10270</v>
      </c>
      <c r="D178" s="81" t="s">
        <v>10071</v>
      </c>
      <c r="E178" s="82" t="s">
        <v>10202</v>
      </c>
      <c r="F178" s="79" t="s">
        <v>9687</v>
      </c>
      <c r="G178" s="79" t="s">
        <v>9719</v>
      </c>
      <c r="H178" s="15" t="s">
        <v>9794</v>
      </c>
      <c r="I178" s="104">
        <v>300</v>
      </c>
      <c r="J178" s="84">
        <v>300</v>
      </c>
      <c r="K178" s="27" t="s">
        <v>9968</v>
      </c>
      <c r="L178" s="15" t="s">
        <v>9874</v>
      </c>
      <c r="M178" s="15" t="s">
        <v>9978</v>
      </c>
      <c r="N178" s="79" t="str">
        <f t="shared" si="4"/>
        <v>Sim</v>
      </c>
      <c r="O178" s="102">
        <v>0</v>
      </c>
      <c r="P178" s="102">
        <v>10000</v>
      </c>
    </row>
    <row r="179" spans="1:16" ht="17.25" customHeight="1" x14ac:dyDescent="0.4">
      <c r="A179" s="127"/>
      <c r="B179" s="76" t="s">
        <v>9866</v>
      </c>
      <c r="C179" s="76" t="s">
        <v>10270</v>
      </c>
      <c r="D179" s="81" t="s">
        <v>10072</v>
      </c>
      <c r="E179" s="82" t="s">
        <v>10203</v>
      </c>
      <c r="F179" s="79" t="s">
        <v>9687</v>
      </c>
      <c r="G179" s="79" t="s">
        <v>9719</v>
      </c>
      <c r="H179" s="15" t="s">
        <v>9794</v>
      </c>
      <c r="I179" s="104">
        <v>1500</v>
      </c>
      <c r="J179" s="84">
        <v>1500</v>
      </c>
      <c r="K179" s="27" t="s">
        <v>9968</v>
      </c>
      <c r="L179" s="15" t="s">
        <v>9874</v>
      </c>
      <c r="M179" s="15" t="s">
        <v>9979</v>
      </c>
      <c r="N179" s="79" t="str">
        <f t="shared" si="4"/>
        <v>Sim</v>
      </c>
      <c r="O179" s="102">
        <v>0</v>
      </c>
      <c r="P179" s="102">
        <v>5000</v>
      </c>
    </row>
    <row r="180" spans="1:16" ht="17.25" customHeight="1" x14ac:dyDescent="0.4">
      <c r="A180" s="127"/>
      <c r="B180" s="76" t="s">
        <v>9866</v>
      </c>
      <c r="C180" s="76" t="s">
        <v>10270</v>
      </c>
      <c r="D180" s="81" t="s">
        <v>10073</v>
      </c>
      <c r="E180" s="82" t="s">
        <v>10204</v>
      </c>
      <c r="F180" s="79" t="s">
        <v>9687</v>
      </c>
      <c r="G180" s="79" t="s">
        <v>9719</v>
      </c>
      <c r="H180" s="15" t="s">
        <v>9794</v>
      </c>
      <c r="I180" s="104">
        <v>2250</v>
      </c>
      <c r="J180" s="84">
        <v>2250</v>
      </c>
      <c r="K180" s="27" t="s">
        <v>9968</v>
      </c>
      <c r="L180" s="15" t="s">
        <v>9874</v>
      </c>
      <c r="M180" s="15" t="s">
        <v>10143</v>
      </c>
      <c r="N180" s="79" t="str">
        <f t="shared" si="4"/>
        <v>Sim</v>
      </c>
      <c r="O180" s="102">
        <v>0</v>
      </c>
      <c r="P180" s="102">
        <v>10000</v>
      </c>
    </row>
    <row r="181" spans="1:16" ht="17.25" customHeight="1" x14ac:dyDescent="0.4">
      <c r="A181" s="127"/>
      <c r="B181" s="76" t="s">
        <v>9866</v>
      </c>
      <c r="C181" s="76" t="s">
        <v>10272</v>
      </c>
      <c r="D181" s="81" t="s">
        <v>10074</v>
      </c>
      <c r="E181" s="82" t="s">
        <v>10205</v>
      </c>
      <c r="F181" s="79" t="s">
        <v>9687</v>
      </c>
      <c r="G181" s="79" t="s">
        <v>9719</v>
      </c>
      <c r="H181" s="15" t="s">
        <v>9813</v>
      </c>
      <c r="I181" s="104">
        <v>500</v>
      </c>
      <c r="J181" s="84">
        <v>500</v>
      </c>
      <c r="K181" s="116" t="s">
        <v>9968</v>
      </c>
      <c r="L181" s="115" t="s">
        <v>9874</v>
      </c>
      <c r="M181" s="115" t="s">
        <v>10591</v>
      </c>
      <c r="N181" s="79" t="str">
        <f t="shared" si="4"/>
        <v>Sim</v>
      </c>
      <c r="O181" s="102">
        <v>300</v>
      </c>
      <c r="P181" s="102">
        <v>750</v>
      </c>
    </row>
    <row r="182" spans="1:16" ht="17.25" customHeight="1" x14ac:dyDescent="0.4">
      <c r="A182" s="127"/>
      <c r="B182" s="76" t="s">
        <v>9866</v>
      </c>
      <c r="C182" s="76" t="s">
        <v>10272</v>
      </c>
      <c r="D182" s="81" t="s">
        <v>10075</v>
      </c>
      <c r="E182" s="82" t="s">
        <v>10206</v>
      </c>
      <c r="F182" s="79" t="s">
        <v>9687</v>
      </c>
      <c r="G182" s="79" t="s">
        <v>9719</v>
      </c>
      <c r="H182" s="15" t="s">
        <v>9868</v>
      </c>
      <c r="I182" s="104">
        <v>5.21</v>
      </c>
      <c r="J182" s="84">
        <v>5.21</v>
      </c>
      <c r="K182" s="116" t="s">
        <v>9968</v>
      </c>
      <c r="L182" s="115" t="s">
        <v>9874</v>
      </c>
      <c r="M182" s="115" t="s">
        <v>10592</v>
      </c>
      <c r="N182" s="79" t="str">
        <f t="shared" si="4"/>
        <v>Sim</v>
      </c>
      <c r="O182" s="102">
        <v>0</v>
      </c>
      <c r="P182" s="102">
        <v>10</v>
      </c>
    </row>
    <row r="183" spans="1:16" ht="17.25" customHeight="1" x14ac:dyDescent="0.4">
      <c r="A183" s="127"/>
      <c r="B183" s="76" t="s">
        <v>9866</v>
      </c>
      <c r="C183" s="76" t="s">
        <v>10272</v>
      </c>
      <c r="D183" s="81" t="s">
        <v>10076</v>
      </c>
      <c r="E183" s="82" t="s">
        <v>10207</v>
      </c>
      <c r="F183" s="79" t="s">
        <v>9687</v>
      </c>
      <c r="G183" s="79" t="s">
        <v>9719</v>
      </c>
      <c r="H183" s="15" t="s">
        <v>9868</v>
      </c>
      <c r="I183" s="104">
        <v>5.21</v>
      </c>
      <c r="J183" s="84">
        <v>5.21</v>
      </c>
      <c r="K183" s="116" t="s">
        <v>9968</v>
      </c>
      <c r="L183" s="115" t="s">
        <v>9874</v>
      </c>
      <c r="M183" s="115" t="s">
        <v>10593</v>
      </c>
      <c r="N183" s="79" t="str">
        <f t="shared" si="4"/>
        <v>Sim</v>
      </c>
      <c r="O183" s="102">
        <v>0</v>
      </c>
      <c r="P183" s="102">
        <v>10</v>
      </c>
    </row>
    <row r="184" spans="1:16" ht="17.25" customHeight="1" x14ac:dyDescent="0.4">
      <c r="A184" s="127"/>
      <c r="B184" s="76" t="s">
        <v>9866</v>
      </c>
      <c r="C184" s="76" t="s">
        <v>10273</v>
      </c>
      <c r="D184" s="81" t="s">
        <v>10077</v>
      </c>
      <c r="E184" s="82" t="s">
        <v>10208</v>
      </c>
      <c r="F184" s="79" t="s">
        <v>9687</v>
      </c>
      <c r="G184" s="79" t="s">
        <v>9719</v>
      </c>
      <c r="H184" s="15" t="s">
        <v>9813</v>
      </c>
      <c r="I184" s="104">
        <v>520</v>
      </c>
      <c r="J184" s="84">
        <v>520</v>
      </c>
      <c r="K184" s="116" t="s">
        <v>9968</v>
      </c>
      <c r="L184" s="115" t="s">
        <v>9874</v>
      </c>
      <c r="M184" s="115" t="s">
        <v>10594</v>
      </c>
      <c r="N184" s="79" t="str">
        <f t="shared" si="4"/>
        <v>Sim</v>
      </c>
      <c r="O184" s="102">
        <v>300</v>
      </c>
      <c r="P184" s="102">
        <v>750</v>
      </c>
    </row>
    <row r="185" spans="1:16" s="18" customFormat="1" ht="17.25" customHeight="1" x14ac:dyDescent="0.4">
      <c r="A185" s="127"/>
      <c r="B185" s="76" t="s">
        <v>9866</v>
      </c>
      <c r="C185" s="76" t="s">
        <v>10273</v>
      </c>
      <c r="D185" s="81" t="s">
        <v>10078</v>
      </c>
      <c r="E185" s="82" t="s">
        <v>10209</v>
      </c>
      <c r="F185" s="79" t="s">
        <v>9687</v>
      </c>
      <c r="G185" s="79" t="s">
        <v>9719</v>
      </c>
      <c r="H185" s="15" t="s">
        <v>9813</v>
      </c>
      <c r="I185" s="104">
        <v>520</v>
      </c>
      <c r="J185" s="84">
        <v>520</v>
      </c>
      <c r="K185" s="116" t="s">
        <v>9968</v>
      </c>
      <c r="L185" s="115" t="s">
        <v>9874</v>
      </c>
      <c r="M185" s="115" t="s">
        <v>10595</v>
      </c>
      <c r="N185" s="79" t="str">
        <f t="shared" si="4"/>
        <v>Sim</v>
      </c>
      <c r="O185" s="102">
        <v>0</v>
      </c>
      <c r="P185" s="102">
        <v>750</v>
      </c>
    </row>
    <row r="186" spans="1:16" ht="17.25" customHeight="1" x14ac:dyDescent="0.4">
      <c r="A186" s="127"/>
      <c r="B186" s="76" t="s">
        <v>9866</v>
      </c>
      <c r="C186" s="76" t="s">
        <v>10273</v>
      </c>
      <c r="D186" s="81" t="s">
        <v>10075</v>
      </c>
      <c r="E186" s="82" t="s">
        <v>10210</v>
      </c>
      <c r="F186" s="79" t="s">
        <v>9687</v>
      </c>
      <c r="G186" s="79" t="s">
        <v>9719</v>
      </c>
      <c r="H186" s="15" t="s">
        <v>9868</v>
      </c>
      <c r="I186" s="104">
        <v>5.21</v>
      </c>
      <c r="J186" s="84">
        <v>5.21</v>
      </c>
      <c r="K186" s="116" t="s">
        <v>9968</v>
      </c>
      <c r="L186" s="115" t="s">
        <v>9874</v>
      </c>
      <c r="M186" s="115" t="s">
        <v>10596</v>
      </c>
      <c r="N186" s="79" t="str">
        <f t="shared" si="4"/>
        <v>Sim</v>
      </c>
      <c r="O186" s="102">
        <v>0</v>
      </c>
      <c r="P186" s="102">
        <v>10</v>
      </c>
    </row>
    <row r="187" spans="1:16" ht="17.25" customHeight="1" x14ac:dyDescent="0.4">
      <c r="A187" s="127"/>
      <c r="B187" s="76" t="s">
        <v>9866</v>
      </c>
      <c r="C187" s="76" t="s">
        <v>10273</v>
      </c>
      <c r="D187" s="81" t="s">
        <v>10076</v>
      </c>
      <c r="E187" s="82" t="s">
        <v>10211</v>
      </c>
      <c r="F187" s="79" t="s">
        <v>9687</v>
      </c>
      <c r="G187" s="79" t="s">
        <v>9719</v>
      </c>
      <c r="H187" s="15" t="s">
        <v>9868</v>
      </c>
      <c r="I187" s="104">
        <v>5.21</v>
      </c>
      <c r="J187" s="84">
        <v>5.21</v>
      </c>
      <c r="K187" s="116" t="s">
        <v>9968</v>
      </c>
      <c r="L187" s="115" t="s">
        <v>9874</v>
      </c>
      <c r="M187" s="115" t="s">
        <v>10597</v>
      </c>
      <c r="N187" s="79" t="str">
        <f t="shared" si="4"/>
        <v>Sim</v>
      </c>
      <c r="O187" s="102">
        <v>0</v>
      </c>
      <c r="P187" s="102">
        <v>10</v>
      </c>
    </row>
    <row r="188" spans="1:16" ht="17.25" customHeight="1" x14ac:dyDescent="0.4">
      <c r="A188" s="127" t="s">
        <v>10097</v>
      </c>
      <c r="B188" s="76" t="s">
        <v>9866</v>
      </c>
      <c r="C188" s="76" t="s">
        <v>10274</v>
      </c>
      <c r="D188" s="81" t="s">
        <v>10088</v>
      </c>
      <c r="E188" s="82" t="s">
        <v>10212</v>
      </c>
      <c r="F188" s="79" t="s">
        <v>9687</v>
      </c>
      <c r="G188" s="79" t="s">
        <v>9719</v>
      </c>
      <c r="H188" s="15" t="s">
        <v>9869</v>
      </c>
      <c r="I188" s="104">
        <v>4500000</v>
      </c>
      <c r="J188" s="84">
        <v>4500000</v>
      </c>
      <c r="K188" s="116" t="s">
        <v>9968</v>
      </c>
      <c r="L188" s="115" t="s">
        <v>9874</v>
      </c>
      <c r="M188" s="115" t="s">
        <v>10598</v>
      </c>
      <c r="N188" s="79" t="str">
        <f t="shared" si="4"/>
        <v>Sim</v>
      </c>
      <c r="O188" s="102">
        <v>0</v>
      </c>
      <c r="P188" s="102">
        <v>10000000</v>
      </c>
    </row>
    <row r="189" spans="1:16" ht="17.25" customHeight="1" x14ac:dyDescent="0.4">
      <c r="A189" s="127"/>
      <c r="B189" s="76" t="s">
        <v>9866</v>
      </c>
      <c r="C189" s="76" t="s">
        <v>10274</v>
      </c>
      <c r="D189" s="81" t="s">
        <v>10089</v>
      </c>
      <c r="E189" s="82" t="s">
        <v>10213</v>
      </c>
      <c r="F189" s="79" t="s">
        <v>9687</v>
      </c>
      <c r="G189" s="79" t="s">
        <v>9719</v>
      </c>
      <c r="H189" s="15" t="s">
        <v>9870</v>
      </c>
      <c r="I189" s="104">
        <v>25</v>
      </c>
      <c r="J189" s="84">
        <v>25</v>
      </c>
      <c r="K189" s="116" t="s">
        <v>9968</v>
      </c>
      <c r="L189" s="115" t="s">
        <v>9874</v>
      </c>
      <c r="M189" s="115" t="s">
        <v>10599</v>
      </c>
      <c r="N189" s="79" t="str">
        <f t="shared" si="4"/>
        <v>Sim</v>
      </c>
      <c r="O189" s="102">
        <v>0</v>
      </c>
      <c r="P189" s="102">
        <v>500</v>
      </c>
    </row>
    <row r="190" spans="1:16" ht="17.25" customHeight="1" x14ac:dyDescent="0.4">
      <c r="A190" s="127"/>
      <c r="B190" s="76" t="s">
        <v>9866</v>
      </c>
      <c r="C190" s="76" t="s">
        <v>10275</v>
      </c>
      <c r="D190" s="81" t="s">
        <v>10090</v>
      </c>
      <c r="E190" s="82" t="s">
        <v>10214</v>
      </c>
      <c r="F190" s="79" t="s">
        <v>9687</v>
      </c>
      <c r="G190" s="79" t="s">
        <v>9719</v>
      </c>
      <c r="H190" s="15" t="s">
        <v>9871</v>
      </c>
      <c r="I190" s="104">
        <v>25</v>
      </c>
      <c r="J190" s="84">
        <v>25</v>
      </c>
      <c r="K190" s="27" t="s">
        <v>9968</v>
      </c>
      <c r="L190" s="15" t="s">
        <v>9874</v>
      </c>
      <c r="M190" s="15" t="s">
        <v>9980</v>
      </c>
      <c r="N190" s="79" t="str">
        <f t="shared" si="4"/>
        <v>Sim</v>
      </c>
      <c r="O190" s="102">
        <v>0</v>
      </c>
      <c r="P190" s="102">
        <v>500</v>
      </c>
    </row>
    <row r="191" spans="1:16" ht="17.25" customHeight="1" x14ac:dyDescent="0.4">
      <c r="A191" s="127"/>
      <c r="B191" s="76" t="s">
        <v>9866</v>
      </c>
      <c r="C191" s="76" t="s">
        <v>10275</v>
      </c>
      <c r="D191" s="81" t="s">
        <v>10091</v>
      </c>
      <c r="E191" s="82" t="s">
        <v>10215</v>
      </c>
      <c r="F191" s="79" t="s">
        <v>9687</v>
      </c>
      <c r="G191" s="79" t="s">
        <v>9719</v>
      </c>
      <c r="H191" s="15" t="s">
        <v>9872</v>
      </c>
      <c r="I191" s="104">
        <v>2000</v>
      </c>
      <c r="J191" s="84">
        <v>2000</v>
      </c>
      <c r="K191" s="27" t="s">
        <v>9968</v>
      </c>
      <c r="L191" s="15" t="s">
        <v>9874</v>
      </c>
      <c r="M191" s="15" t="s">
        <v>9981</v>
      </c>
      <c r="N191" s="79" t="str">
        <f t="shared" si="4"/>
        <v>Sim</v>
      </c>
      <c r="O191" s="102">
        <v>0</v>
      </c>
      <c r="P191" s="102">
        <v>5000</v>
      </c>
    </row>
    <row r="192" spans="1:16" ht="17.25" customHeight="1" x14ac:dyDescent="0.4">
      <c r="A192" s="127"/>
      <c r="B192" s="76" t="s">
        <v>9866</v>
      </c>
      <c r="C192" s="76" t="s">
        <v>10275</v>
      </c>
      <c r="D192" s="81" t="s">
        <v>10092</v>
      </c>
      <c r="E192" s="82" t="s">
        <v>10219</v>
      </c>
      <c r="F192" s="79" t="s">
        <v>9687</v>
      </c>
      <c r="G192" s="79" t="s">
        <v>9719</v>
      </c>
      <c r="H192" s="15" t="s">
        <v>9952</v>
      </c>
      <c r="I192" s="104">
        <v>10</v>
      </c>
      <c r="J192" s="84">
        <v>10</v>
      </c>
      <c r="K192" s="27" t="s">
        <v>9968</v>
      </c>
      <c r="L192" s="15" t="s">
        <v>9874</v>
      </c>
      <c r="M192" s="15" t="s">
        <v>10312</v>
      </c>
      <c r="N192" s="79" t="str">
        <f t="shared" si="4"/>
        <v>Sim</v>
      </c>
      <c r="O192" s="102">
        <v>0</v>
      </c>
      <c r="P192" s="102">
        <v>10</v>
      </c>
    </row>
    <row r="193" spans="1:16" ht="17.25" customHeight="1" x14ac:dyDescent="0.4">
      <c r="A193" s="127"/>
      <c r="B193" s="76" t="s">
        <v>9866</v>
      </c>
      <c r="C193" s="76" t="s">
        <v>10275</v>
      </c>
      <c r="D193" s="81" t="s">
        <v>10093</v>
      </c>
      <c r="E193" s="82" t="s">
        <v>10216</v>
      </c>
      <c r="F193" s="79" t="s">
        <v>9687</v>
      </c>
      <c r="G193" s="79" t="s">
        <v>9719</v>
      </c>
      <c r="H193" s="15" t="s">
        <v>9870</v>
      </c>
      <c r="I193" s="104">
        <v>25</v>
      </c>
      <c r="J193" s="84">
        <v>25</v>
      </c>
      <c r="K193" s="27" t="s">
        <v>9968</v>
      </c>
      <c r="L193" s="15" t="s">
        <v>9874</v>
      </c>
      <c r="M193" s="15" t="s">
        <v>10313</v>
      </c>
      <c r="N193" s="79" t="str">
        <f t="shared" si="4"/>
        <v>Sim</v>
      </c>
      <c r="O193" s="102">
        <v>0</v>
      </c>
      <c r="P193" s="102">
        <v>100</v>
      </c>
    </row>
    <row r="194" spans="1:16" ht="17.25" customHeight="1" x14ac:dyDescent="0.4">
      <c r="A194" s="127"/>
      <c r="B194" s="76" t="s">
        <v>9866</v>
      </c>
      <c r="C194" s="76" t="s">
        <v>10276</v>
      </c>
      <c r="D194" s="81" t="s">
        <v>10094</v>
      </c>
      <c r="E194" s="82" t="s">
        <v>10217</v>
      </c>
      <c r="F194" s="79" t="s">
        <v>9687</v>
      </c>
      <c r="G194" s="79" t="s">
        <v>9719</v>
      </c>
      <c r="H194" s="15" t="s">
        <v>9873</v>
      </c>
      <c r="I194" s="104">
        <v>50</v>
      </c>
      <c r="J194" s="84">
        <v>50</v>
      </c>
      <c r="K194" s="116" t="s">
        <v>9968</v>
      </c>
      <c r="L194" s="115" t="s">
        <v>9874</v>
      </c>
      <c r="M194" s="115" t="s">
        <v>9982</v>
      </c>
      <c r="N194" s="79" t="str">
        <f t="shared" si="4"/>
        <v>Sim</v>
      </c>
      <c r="O194" s="102">
        <v>0</v>
      </c>
      <c r="P194" s="102">
        <v>500</v>
      </c>
    </row>
    <row r="195" spans="1:16" ht="17.25" customHeight="1" x14ac:dyDescent="0.4">
      <c r="A195" s="127"/>
      <c r="B195" s="76" t="s">
        <v>9866</v>
      </c>
      <c r="C195" s="76" t="s">
        <v>10276</v>
      </c>
      <c r="D195" s="81" t="s">
        <v>10095</v>
      </c>
      <c r="E195" s="82" t="s">
        <v>10218</v>
      </c>
      <c r="F195" s="79" t="s">
        <v>9687</v>
      </c>
      <c r="G195" s="79" t="s">
        <v>9719</v>
      </c>
      <c r="H195" s="15" t="s">
        <v>9872</v>
      </c>
      <c r="I195" s="104">
        <v>2250</v>
      </c>
      <c r="J195" s="84">
        <v>2250</v>
      </c>
      <c r="K195" s="116" t="s">
        <v>9968</v>
      </c>
      <c r="L195" s="115" t="s">
        <v>9874</v>
      </c>
      <c r="M195" s="115" t="s">
        <v>9983</v>
      </c>
      <c r="N195" s="79" t="str">
        <f t="shared" si="4"/>
        <v>Sim</v>
      </c>
      <c r="O195" s="102">
        <v>0</v>
      </c>
      <c r="P195" s="102">
        <v>5000</v>
      </c>
    </row>
    <row r="196" spans="1:16" ht="17.25" customHeight="1" x14ac:dyDescent="0.4">
      <c r="A196" s="127"/>
      <c r="B196" s="76" t="s">
        <v>9866</v>
      </c>
      <c r="C196" s="76" t="s">
        <v>10276</v>
      </c>
      <c r="D196" s="81" t="s">
        <v>10092</v>
      </c>
      <c r="E196" s="82" t="s">
        <v>10220</v>
      </c>
      <c r="F196" s="79" t="s">
        <v>9687</v>
      </c>
      <c r="G196" s="79" t="s">
        <v>9719</v>
      </c>
      <c r="H196" s="15" t="s">
        <v>9952</v>
      </c>
      <c r="I196" s="104">
        <v>5</v>
      </c>
      <c r="J196" s="84">
        <v>5</v>
      </c>
      <c r="K196" s="116" t="s">
        <v>9968</v>
      </c>
      <c r="L196" s="115" t="s">
        <v>9874</v>
      </c>
      <c r="M196" s="115" t="s">
        <v>10314</v>
      </c>
      <c r="N196" s="79" t="str">
        <f t="shared" si="4"/>
        <v>Sim</v>
      </c>
      <c r="O196" s="102">
        <v>0</v>
      </c>
      <c r="P196" s="102">
        <v>10</v>
      </c>
    </row>
    <row r="197" spans="1:16" ht="17.25" customHeight="1" x14ac:dyDescent="0.4">
      <c r="A197" s="127"/>
      <c r="B197" s="76" t="s">
        <v>9866</v>
      </c>
      <c r="C197" s="76" t="s">
        <v>10276</v>
      </c>
      <c r="D197" s="81" t="s">
        <v>10096</v>
      </c>
      <c r="E197" s="82" t="s">
        <v>10221</v>
      </c>
      <c r="F197" s="79" t="s">
        <v>9687</v>
      </c>
      <c r="G197" s="79" t="s">
        <v>9719</v>
      </c>
      <c r="H197" s="15" t="s">
        <v>9870</v>
      </c>
      <c r="I197" s="104">
        <v>25</v>
      </c>
      <c r="J197" s="84">
        <v>25</v>
      </c>
      <c r="K197" s="116" t="s">
        <v>9968</v>
      </c>
      <c r="L197" s="115" t="s">
        <v>9874</v>
      </c>
      <c r="M197" s="115" t="s">
        <v>10315</v>
      </c>
      <c r="N197" s="79" t="str">
        <f t="shared" si="4"/>
        <v>Sim</v>
      </c>
      <c r="O197" s="102">
        <v>0</v>
      </c>
      <c r="P197" s="102">
        <v>100</v>
      </c>
    </row>
    <row r="198" spans="1:16" ht="17.25" customHeight="1" x14ac:dyDescent="0.4">
      <c r="A198" s="127" t="s">
        <v>10098</v>
      </c>
      <c r="B198" s="76" t="s">
        <v>9866</v>
      </c>
      <c r="C198" s="76" t="s">
        <v>10274</v>
      </c>
      <c r="D198" s="81" t="s">
        <v>10079</v>
      </c>
      <c r="E198" s="82" t="s">
        <v>10222</v>
      </c>
      <c r="F198" s="79" t="s">
        <v>9687</v>
      </c>
      <c r="G198" s="79" t="s">
        <v>9719</v>
      </c>
      <c r="H198" s="15" t="s">
        <v>9869</v>
      </c>
      <c r="I198" s="104">
        <v>4500000</v>
      </c>
      <c r="J198" s="84">
        <v>4500000</v>
      </c>
      <c r="K198" s="116" t="s">
        <v>9968</v>
      </c>
      <c r="L198" s="115" t="s">
        <v>9874</v>
      </c>
      <c r="M198" s="115" t="s">
        <v>10598</v>
      </c>
      <c r="N198" s="79" t="str">
        <f t="shared" si="4"/>
        <v>Sim</v>
      </c>
      <c r="O198" s="102">
        <v>0</v>
      </c>
      <c r="P198" s="102">
        <v>10000000</v>
      </c>
    </row>
    <row r="199" spans="1:16" ht="17.25" customHeight="1" x14ac:dyDescent="0.4">
      <c r="A199" s="127"/>
      <c r="B199" s="76" t="s">
        <v>9866</v>
      </c>
      <c r="C199" s="76" t="s">
        <v>10274</v>
      </c>
      <c r="D199" s="81" t="s">
        <v>10080</v>
      </c>
      <c r="E199" s="82" t="s">
        <v>10223</v>
      </c>
      <c r="F199" s="79" t="s">
        <v>9687</v>
      </c>
      <c r="G199" s="79" t="s">
        <v>9719</v>
      </c>
      <c r="H199" s="15" t="s">
        <v>9870</v>
      </c>
      <c r="I199" s="104">
        <v>25</v>
      </c>
      <c r="J199" s="84">
        <v>25</v>
      </c>
      <c r="K199" s="116" t="s">
        <v>9968</v>
      </c>
      <c r="L199" s="115" t="s">
        <v>9874</v>
      </c>
      <c r="M199" s="115" t="s">
        <v>10599</v>
      </c>
      <c r="N199" s="79" t="str">
        <f t="shared" si="4"/>
        <v>Sim</v>
      </c>
      <c r="O199" s="102">
        <v>0</v>
      </c>
      <c r="P199" s="102">
        <v>500</v>
      </c>
    </row>
    <row r="200" spans="1:16" ht="17.25" customHeight="1" x14ac:dyDescent="0.4">
      <c r="A200" s="127"/>
      <c r="B200" s="76" t="s">
        <v>9866</v>
      </c>
      <c r="C200" s="76" t="s">
        <v>10275</v>
      </c>
      <c r="D200" s="81" t="s">
        <v>10081</v>
      </c>
      <c r="E200" s="82" t="s">
        <v>10224</v>
      </c>
      <c r="F200" s="79" t="s">
        <v>9687</v>
      </c>
      <c r="G200" s="79" t="s">
        <v>9719</v>
      </c>
      <c r="H200" s="15" t="s">
        <v>9871</v>
      </c>
      <c r="I200" s="104">
        <v>25</v>
      </c>
      <c r="J200" s="84">
        <v>25</v>
      </c>
      <c r="K200" s="27" t="s">
        <v>9968</v>
      </c>
      <c r="L200" s="15" t="s">
        <v>9874</v>
      </c>
      <c r="M200" s="15" t="s">
        <v>9980</v>
      </c>
      <c r="N200" s="79" t="str">
        <f t="shared" si="4"/>
        <v>Sim</v>
      </c>
      <c r="O200" s="102">
        <v>0</v>
      </c>
      <c r="P200" s="102">
        <v>500</v>
      </c>
    </row>
    <row r="201" spans="1:16" ht="17.25" customHeight="1" x14ac:dyDescent="0.4">
      <c r="A201" s="127"/>
      <c r="B201" s="76" t="s">
        <v>9866</v>
      </c>
      <c r="C201" s="76" t="s">
        <v>10275</v>
      </c>
      <c r="D201" s="81" t="s">
        <v>10082</v>
      </c>
      <c r="E201" s="82" t="s">
        <v>10225</v>
      </c>
      <c r="F201" s="79" t="s">
        <v>9687</v>
      </c>
      <c r="G201" s="79" t="s">
        <v>9719</v>
      </c>
      <c r="H201" s="15" t="s">
        <v>9872</v>
      </c>
      <c r="I201" s="104">
        <v>2000</v>
      </c>
      <c r="J201" s="84">
        <v>2000</v>
      </c>
      <c r="K201" s="27" t="s">
        <v>9968</v>
      </c>
      <c r="L201" s="15" t="s">
        <v>9874</v>
      </c>
      <c r="M201" s="15" t="s">
        <v>9981</v>
      </c>
      <c r="N201" s="79" t="str">
        <f t="shared" si="4"/>
        <v>Sim</v>
      </c>
      <c r="O201" s="102">
        <v>0</v>
      </c>
      <c r="P201" s="102">
        <v>5000</v>
      </c>
    </row>
    <row r="202" spans="1:16" ht="17.25" customHeight="1" x14ac:dyDescent="0.4">
      <c r="A202" s="127"/>
      <c r="B202" s="76" t="s">
        <v>9866</v>
      </c>
      <c r="C202" s="76" t="s">
        <v>10275</v>
      </c>
      <c r="D202" s="81" t="s">
        <v>10083</v>
      </c>
      <c r="E202" s="82" t="s">
        <v>10226</v>
      </c>
      <c r="F202" s="79" t="s">
        <v>9687</v>
      </c>
      <c r="G202" s="79" t="s">
        <v>9719</v>
      </c>
      <c r="H202" s="15" t="s">
        <v>9952</v>
      </c>
      <c r="I202" s="104">
        <v>10</v>
      </c>
      <c r="J202" s="84">
        <v>10</v>
      </c>
      <c r="K202" s="27" t="s">
        <v>9968</v>
      </c>
      <c r="L202" s="15" t="s">
        <v>9874</v>
      </c>
      <c r="M202" s="15" t="s">
        <v>10312</v>
      </c>
      <c r="N202" s="79" t="str">
        <f t="shared" si="4"/>
        <v>Sim</v>
      </c>
      <c r="O202" s="102">
        <v>0</v>
      </c>
      <c r="P202" s="102">
        <v>10</v>
      </c>
    </row>
    <row r="203" spans="1:16" ht="17.25" customHeight="1" x14ac:dyDescent="0.4">
      <c r="A203" s="127"/>
      <c r="B203" s="76" t="s">
        <v>9866</v>
      </c>
      <c r="C203" s="76" t="s">
        <v>10275</v>
      </c>
      <c r="D203" s="81" t="s">
        <v>10084</v>
      </c>
      <c r="E203" s="82" t="s">
        <v>10227</v>
      </c>
      <c r="F203" s="79" t="s">
        <v>9687</v>
      </c>
      <c r="G203" s="79" t="s">
        <v>9719</v>
      </c>
      <c r="H203" s="15" t="s">
        <v>9870</v>
      </c>
      <c r="I203" s="104">
        <v>25</v>
      </c>
      <c r="J203" s="84">
        <v>25</v>
      </c>
      <c r="K203" s="27" t="s">
        <v>9968</v>
      </c>
      <c r="L203" s="15" t="s">
        <v>9874</v>
      </c>
      <c r="M203" s="15" t="s">
        <v>10313</v>
      </c>
      <c r="N203" s="79" t="str">
        <f t="shared" si="4"/>
        <v>Sim</v>
      </c>
      <c r="O203" s="102">
        <v>0</v>
      </c>
      <c r="P203" s="102">
        <v>100</v>
      </c>
    </row>
    <row r="204" spans="1:16" ht="17.25" customHeight="1" x14ac:dyDescent="0.4">
      <c r="A204" s="127"/>
      <c r="B204" s="76" t="s">
        <v>9866</v>
      </c>
      <c r="C204" s="76" t="s">
        <v>10276</v>
      </c>
      <c r="D204" s="81" t="s">
        <v>10085</v>
      </c>
      <c r="E204" s="82" t="s">
        <v>10228</v>
      </c>
      <c r="F204" s="79" t="s">
        <v>9687</v>
      </c>
      <c r="G204" s="79" t="s">
        <v>9719</v>
      </c>
      <c r="H204" s="15" t="s">
        <v>9873</v>
      </c>
      <c r="I204" s="104">
        <v>50</v>
      </c>
      <c r="J204" s="84">
        <v>50</v>
      </c>
      <c r="K204" s="27" t="s">
        <v>9968</v>
      </c>
      <c r="L204" s="15" t="s">
        <v>9874</v>
      </c>
      <c r="M204" s="15" t="s">
        <v>9982</v>
      </c>
      <c r="N204" s="79" t="str">
        <f t="shared" si="4"/>
        <v>Sim</v>
      </c>
      <c r="O204" s="102">
        <v>0</v>
      </c>
      <c r="P204" s="102">
        <v>500</v>
      </c>
    </row>
    <row r="205" spans="1:16" ht="17.25" customHeight="1" x14ac:dyDescent="0.4">
      <c r="A205" s="127"/>
      <c r="B205" s="76" t="s">
        <v>9866</v>
      </c>
      <c r="C205" s="76" t="s">
        <v>10276</v>
      </c>
      <c r="D205" s="81" t="s">
        <v>10086</v>
      </c>
      <c r="E205" s="82" t="s">
        <v>10229</v>
      </c>
      <c r="F205" s="79" t="s">
        <v>9687</v>
      </c>
      <c r="G205" s="79" t="s">
        <v>9719</v>
      </c>
      <c r="H205" s="15" t="s">
        <v>9872</v>
      </c>
      <c r="I205" s="104">
        <v>2250</v>
      </c>
      <c r="J205" s="84">
        <v>2250</v>
      </c>
      <c r="K205" s="27" t="s">
        <v>9968</v>
      </c>
      <c r="L205" s="15" t="s">
        <v>9874</v>
      </c>
      <c r="M205" s="15" t="s">
        <v>9983</v>
      </c>
      <c r="N205" s="79" t="str">
        <f t="shared" si="4"/>
        <v>Sim</v>
      </c>
      <c r="O205" s="102">
        <v>0</v>
      </c>
      <c r="P205" s="102">
        <v>5000</v>
      </c>
    </row>
    <row r="206" spans="1:16" ht="17.25" customHeight="1" x14ac:dyDescent="0.4">
      <c r="A206" s="127"/>
      <c r="B206" s="76" t="s">
        <v>9866</v>
      </c>
      <c r="C206" s="76" t="s">
        <v>10276</v>
      </c>
      <c r="D206" s="81" t="s">
        <v>10083</v>
      </c>
      <c r="E206" s="82" t="s">
        <v>10230</v>
      </c>
      <c r="F206" s="79" t="s">
        <v>9687</v>
      </c>
      <c r="G206" s="79" t="s">
        <v>9719</v>
      </c>
      <c r="H206" s="15" t="s">
        <v>9952</v>
      </c>
      <c r="I206" s="104">
        <v>5</v>
      </c>
      <c r="J206" s="84">
        <v>5</v>
      </c>
      <c r="K206" s="27" t="s">
        <v>9968</v>
      </c>
      <c r="L206" s="15" t="s">
        <v>9874</v>
      </c>
      <c r="M206" s="15" t="s">
        <v>10314</v>
      </c>
      <c r="N206" s="79" t="str">
        <f t="shared" si="4"/>
        <v>Sim</v>
      </c>
      <c r="O206" s="102">
        <v>0</v>
      </c>
      <c r="P206" s="102">
        <v>10</v>
      </c>
    </row>
    <row r="207" spans="1:16" ht="17.25" customHeight="1" x14ac:dyDescent="0.4">
      <c r="A207" s="127"/>
      <c r="B207" s="76" t="s">
        <v>9866</v>
      </c>
      <c r="C207" s="76" t="s">
        <v>10276</v>
      </c>
      <c r="D207" s="81" t="s">
        <v>10087</v>
      </c>
      <c r="E207" s="82" t="s">
        <v>10231</v>
      </c>
      <c r="F207" s="79" t="s">
        <v>9687</v>
      </c>
      <c r="G207" s="79" t="s">
        <v>9719</v>
      </c>
      <c r="H207" s="15" t="s">
        <v>9870</v>
      </c>
      <c r="I207" s="104">
        <v>25</v>
      </c>
      <c r="J207" s="84">
        <v>25</v>
      </c>
      <c r="K207" s="27" t="s">
        <v>9968</v>
      </c>
      <c r="L207" s="15" t="s">
        <v>9874</v>
      </c>
      <c r="M207" s="15" t="s">
        <v>10315</v>
      </c>
      <c r="N207" s="79" t="str">
        <f t="shared" si="4"/>
        <v>Sim</v>
      </c>
      <c r="O207" s="102">
        <v>0</v>
      </c>
      <c r="P207" s="102">
        <v>100</v>
      </c>
    </row>
    <row r="208" spans="1:16" ht="17.25" customHeight="1" x14ac:dyDescent="0.4">
      <c r="A208" s="75" t="s">
        <v>10340</v>
      </c>
      <c r="B208" s="76" t="s">
        <v>9866</v>
      </c>
      <c r="C208" s="76" t="s">
        <v>10341</v>
      </c>
      <c r="D208" s="81" t="s">
        <v>10342</v>
      </c>
      <c r="E208" s="82" t="s">
        <v>10343</v>
      </c>
      <c r="F208" s="79" t="s">
        <v>9642</v>
      </c>
      <c r="G208" s="79" t="s">
        <v>9719</v>
      </c>
      <c r="H208" s="15" t="s">
        <v>9780</v>
      </c>
      <c r="I208" s="104" t="s">
        <v>9720</v>
      </c>
      <c r="J208" s="84" t="s">
        <v>9780</v>
      </c>
      <c r="K208" s="27" t="s">
        <v>9780</v>
      </c>
      <c r="L208" s="15" t="s">
        <v>9780</v>
      </c>
      <c r="M208" s="15" t="s">
        <v>9780</v>
      </c>
      <c r="N208" s="79" t="str">
        <f t="shared" si="4"/>
        <v>Sim</v>
      </c>
      <c r="O208" s="102" t="s">
        <v>9780</v>
      </c>
      <c r="P208" s="102" t="s">
        <v>9780</v>
      </c>
    </row>
    <row r="209" spans="1:16" ht="17.25" customHeight="1" x14ac:dyDescent="0.4">
      <c r="A209" s="128" t="s">
        <v>10339</v>
      </c>
      <c r="B209" s="3" t="s">
        <v>10321</v>
      </c>
      <c r="C209" s="3" t="s">
        <v>10535</v>
      </c>
      <c r="D209" s="77" t="s">
        <v>10322</v>
      </c>
      <c r="E209" s="78" t="s">
        <v>10322</v>
      </c>
      <c r="F209" s="3" t="s">
        <v>9642</v>
      </c>
      <c r="G209" s="79" t="s">
        <v>9719</v>
      </c>
      <c r="H209" s="3" t="s">
        <v>9780</v>
      </c>
      <c r="I209"/>
      <c r="J209" t="s">
        <v>10402</v>
      </c>
      <c r="K209" s="3" t="s">
        <v>9780</v>
      </c>
      <c r="L209" s="3" t="s">
        <v>9780</v>
      </c>
      <c r="M209" s="3" t="s">
        <v>9780</v>
      </c>
      <c r="N209" s="79" t="str">
        <f>IF(F209="String",IF(I209&lt;&gt;"","Sim","Não"),IF(F209="List",IF(I209&lt;&gt;"","Sim","Não"),IF(AND(I209&gt;=O209,I209&lt;=P209,I209&lt;&gt;""),"Sim","Não")))</f>
        <v>Não</v>
      </c>
      <c r="O209" s="97" t="s">
        <v>9780</v>
      </c>
      <c r="P209" s="97" t="s">
        <v>9780</v>
      </c>
    </row>
    <row r="210" spans="1:16" ht="17.25" customHeight="1" x14ac:dyDescent="0.4">
      <c r="A210" s="128"/>
      <c r="B210" s="3" t="s">
        <v>10321</v>
      </c>
      <c r="C210" s="3" t="s">
        <v>10535</v>
      </c>
      <c r="D210" s="77" t="s">
        <v>10323</v>
      </c>
      <c r="E210" s="78" t="s">
        <v>10323</v>
      </c>
      <c r="F210" s="3" t="s">
        <v>9642</v>
      </c>
      <c r="G210" s="79" t="s">
        <v>9719</v>
      </c>
      <c r="H210" s="3" t="s">
        <v>9780</v>
      </c>
      <c r="I210"/>
      <c r="J210" t="s">
        <v>10403</v>
      </c>
      <c r="K210" s="3" t="s">
        <v>9780</v>
      </c>
      <c r="L210" s="3" t="s">
        <v>9780</v>
      </c>
      <c r="M210" s="3" t="s">
        <v>9780</v>
      </c>
      <c r="N210" s="79" t="str">
        <f>IF(F210="String",IF(I210&lt;&gt;"","Sim","Não"),IF(F210="List",IF(I210&lt;&gt;"","Sim","Não"),IF(AND(I210&gt;=O210,I210&lt;=P210,I210&lt;&gt;""),"Sim","Não")))</f>
        <v>Não</v>
      </c>
      <c r="O210" s="97" t="s">
        <v>9780</v>
      </c>
      <c r="P210" s="97" t="s">
        <v>9780</v>
      </c>
    </row>
    <row r="211" spans="1:16" ht="17.25" customHeight="1" x14ac:dyDescent="0.4">
      <c r="A211" s="128"/>
      <c r="B211" s="3" t="s">
        <v>10321</v>
      </c>
      <c r="C211" s="3" t="s">
        <v>10535</v>
      </c>
      <c r="D211" s="77" t="s">
        <v>10324</v>
      </c>
      <c r="E211" s="78" t="s">
        <v>10324</v>
      </c>
      <c r="F211" s="3" t="s">
        <v>9642</v>
      </c>
      <c r="G211" s="79" t="s">
        <v>9719</v>
      </c>
      <c r="H211" s="3" t="s">
        <v>9780</v>
      </c>
      <c r="I211"/>
      <c r="J211" t="s">
        <v>10404</v>
      </c>
      <c r="K211" s="3" t="s">
        <v>9780</v>
      </c>
      <c r="L211" s="3" t="s">
        <v>9780</v>
      </c>
      <c r="M211" s="3" t="s">
        <v>9780</v>
      </c>
      <c r="N211" s="79" t="str">
        <f t="shared" ref="N211:N223" si="5">IF(F211="String",IF(I211&lt;&gt;"","Sim","Não"),IF(F211="List",IF(I211&lt;&gt;"","Sim","Não"),IF(AND(I211&gt;=O211,I211&lt;=P211,I211&lt;&gt;""),"Sim","Não")))</f>
        <v>Não</v>
      </c>
      <c r="O211" s="97" t="s">
        <v>9780</v>
      </c>
      <c r="P211" s="97" t="s">
        <v>9780</v>
      </c>
    </row>
    <row r="212" spans="1:16" ht="17.25" customHeight="1" x14ac:dyDescent="0.4">
      <c r="A212" s="128"/>
      <c r="B212" s="3" t="s">
        <v>10321</v>
      </c>
      <c r="C212" s="3" t="s">
        <v>10535</v>
      </c>
      <c r="D212" s="77" t="s">
        <v>10325</v>
      </c>
      <c r="E212" s="78" t="s">
        <v>10325</v>
      </c>
      <c r="F212" s="3" t="s">
        <v>9642</v>
      </c>
      <c r="G212" s="79" t="s">
        <v>9719</v>
      </c>
      <c r="H212" s="3" t="s">
        <v>9780</v>
      </c>
      <c r="I212"/>
      <c r="J212" t="s">
        <v>10405</v>
      </c>
      <c r="K212" s="3" t="s">
        <v>9780</v>
      </c>
      <c r="L212" s="3" t="s">
        <v>9780</v>
      </c>
      <c r="M212" s="3" t="s">
        <v>9780</v>
      </c>
      <c r="N212" s="79" t="str">
        <f t="shared" si="5"/>
        <v>Não</v>
      </c>
      <c r="O212" s="97" t="s">
        <v>9780</v>
      </c>
      <c r="P212" s="97" t="s">
        <v>9780</v>
      </c>
    </row>
    <row r="213" spans="1:16" ht="17.25" customHeight="1" x14ac:dyDescent="0.4">
      <c r="A213" s="128"/>
      <c r="B213" s="3" t="s">
        <v>10321</v>
      </c>
      <c r="C213" s="3" t="s">
        <v>10535</v>
      </c>
      <c r="D213" s="77" t="s">
        <v>10326</v>
      </c>
      <c r="E213" s="78" t="s">
        <v>10326</v>
      </c>
      <c r="F213" s="3" t="s">
        <v>9642</v>
      </c>
      <c r="G213" s="79" t="s">
        <v>9719</v>
      </c>
      <c r="H213" s="3" t="s">
        <v>9780</v>
      </c>
      <c r="I213"/>
      <c r="J213" t="s">
        <v>10406</v>
      </c>
      <c r="K213" s="3" t="s">
        <v>9780</v>
      </c>
      <c r="L213" s="3" t="s">
        <v>9780</v>
      </c>
      <c r="M213" s="3" t="s">
        <v>9780</v>
      </c>
      <c r="N213" s="79" t="str">
        <f t="shared" si="5"/>
        <v>Não</v>
      </c>
      <c r="O213" s="97" t="s">
        <v>9780</v>
      </c>
      <c r="P213" s="97" t="s">
        <v>9780</v>
      </c>
    </row>
    <row r="214" spans="1:16" ht="17.25" customHeight="1" x14ac:dyDescent="0.4">
      <c r="A214" s="128"/>
      <c r="B214" s="3" t="s">
        <v>10321</v>
      </c>
      <c r="C214" s="3" t="s">
        <v>10535</v>
      </c>
      <c r="D214" s="77" t="s">
        <v>10327</v>
      </c>
      <c r="E214" s="78" t="s">
        <v>10327</v>
      </c>
      <c r="F214" s="3" t="s">
        <v>9642</v>
      </c>
      <c r="G214" s="79" t="s">
        <v>9719</v>
      </c>
      <c r="H214" s="3" t="s">
        <v>9780</v>
      </c>
      <c r="I214"/>
      <c r="J214" t="s">
        <v>10415</v>
      </c>
      <c r="K214" s="3" t="s">
        <v>9780</v>
      </c>
      <c r="L214" s="3" t="s">
        <v>9780</v>
      </c>
      <c r="M214" s="3" t="s">
        <v>9780</v>
      </c>
      <c r="N214" s="79" t="str">
        <f t="shared" si="5"/>
        <v>Não</v>
      </c>
      <c r="O214" s="97" t="s">
        <v>9780</v>
      </c>
      <c r="P214" s="97" t="s">
        <v>9780</v>
      </c>
    </row>
    <row r="215" spans="1:16" ht="17.25" customHeight="1" x14ac:dyDescent="0.4">
      <c r="A215" s="128"/>
      <c r="B215" s="3" t="s">
        <v>10321</v>
      </c>
      <c r="C215" s="3" t="s">
        <v>10535</v>
      </c>
      <c r="D215" s="77" t="s">
        <v>10328</v>
      </c>
      <c r="E215" s="78" t="s">
        <v>10338</v>
      </c>
      <c r="F215" s="3" t="s">
        <v>9642</v>
      </c>
      <c r="G215" s="79" t="s">
        <v>9719</v>
      </c>
      <c r="H215" s="3" t="s">
        <v>9780</v>
      </c>
      <c r="I215"/>
      <c r="J215" t="s">
        <v>10407</v>
      </c>
      <c r="K215" s="3" t="s">
        <v>9780</v>
      </c>
      <c r="L215" s="3" t="s">
        <v>9780</v>
      </c>
      <c r="M215" s="3" t="s">
        <v>9780</v>
      </c>
      <c r="N215" s="79" t="str">
        <f t="shared" si="5"/>
        <v>Não</v>
      </c>
      <c r="O215" s="97" t="s">
        <v>9780</v>
      </c>
      <c r="P215" s="97" t="s">
        <v>9780</v>
      </c>
    </row>
    <row r="216" spans="1:16" ht="17.25" customHeight="1" x14ac:dyDescent="0.4">
      <c r="A216" s="128"/>
      <c r="B216" s="3" t="s">
        <v>10321</v>
      </c>
      <c r="C216" s="3" t="s">
        <v>10535</v>
      </c>
      <c r="D216" s="77" t="s">
        <v>10329</v>
      </c>
      <c r="E216" s="78" t="s">
        <v>10329</v>
      </c>
      <c r="F216" s="3" t="s">
        <v>9642</v>
      </c>
      <c r="G216" s="79" t="s">
        <v>9719</v>
      </c>
      <c r="H216" s="3" t="s">
        <v>9780</v>
      </c>
      <c r="I216"/>
      <c r="J216" t="s">
        <v>10408</v>
      </c>
      <c r="K216" s="3" t="s">
        <v>9780</v>
      </c>
      <c r="L216" s="3" t="s">
        <v>9780</v>
      </c>
      <c r="M216" s="3" t="s">
        <v>9780</v>
      </c>
      <c r="N216" s="79" t="str">
        <f t="shared" si="5"/>
        <v>Não</v>
      </c>
      <c r="O216" s="97" t="s">
        <v>9780</v>
      </c>
      <c r="P216" s="97" t="s">
        <v>9780</v>
      </c>
    </row>
    <row r="217" spans="1:16" ht="17.25" customHeight="1" x14ac:dyDescent="0.4">
      <c r="A217" s="128"/>
      <c r="B217" s="3" t="s">
        <v>10321</v>
      </c>
      <c r="C217" s="3" t="s">
        <v>10535</v>
      </c>
      <c r="D217" s="77" t="s">
        <v>10330</v>
      </c>
      <c r="E217" s="78" t="s">
        <v>10337</v>
      </c>
      <c r="F217" s="3" t="s">
        <v>9642</v>
      </c>
      <c r="G217" s="79" t="s">
        <v>9719</v>
      </c>
      <c r="H217" s="3" t="s">
        <v>9780</v>
      </c>
      <c r="I217"/>
      <c r="J217" t="s">
        <v>10409</v>
      </c>
      <c r="K217" s="3" t="s">
        <v>9780</v>
      </c>
      <c r="L217" s="3" t="s">
        <v>9780</v>
      </c>
      <c r="M217" s="3" t="s">
        <v>9780</v>
      </c>
      <c r="N217" s="79" t="str">
        <f t="shared" si="5"/>
        <v>Não</v>
      </c>
      <c r="O217" s="97" t="s">
        <v>9780</v>
      </c>
      <c r="P217" s="97" t="s">
        <v>9780</v>
      </c>
    </row>
    <row r="218" spans="1:16" ht="17.25" customHeight="1" x14ac:dyDescent="0.4">
      <c r="A218" s="128"/>
      <c r="B218" s="3" t="s">
        <v>10321</v>
      </c>
      <c r="C218" s="3" t="s">
        <v>10535</v>
      </c>
      <c r="D218" s="77" t="s">
        <v>10331</v>
      </c>
      <c r="E218" s="78" t="s">
        <v>10331</v>
      </c>
      <c r="F218" s="3" t="s">
        <v>9642</v>
      </c>
      <c r="G218" s="79" t="s">
        <v>9719</v>
      </c>
      <c r="H218" s="3" t="s">
        <v>9780</v>
      </c>
      <c r="I218"/>
      <c r="J218" t="s">
        <v>10410</v>
      </c>
      <c r="K218" s="3" t="s">
        <v>9780</v>
      </c>
      <c r="L218" s="3" t="s">
        <v>9780</v>
      </c>
      <c r="M218" s="3" t="s">
        <v>9780</v>
      </c>
      <c r="N218" s="79" t="str">
        <f t="shared" si="5"/>
        <v>Não</v>
      </c>
      <c r="O218" s="97" t="s">
        <v>9780</v>
      </c>
      <c r="P218" s="97" t="s">
        <v>9780</v>
      </c>
    </row>
    <row r="219" spans="1:16" ht="17.25" customHeight="1" x14ac:dyDescent="0.4">
      <c r="A219" s="128"/>
      <c r="B219" s="3" t="s">
        <v>10321</v>
      </c>
      <c r="C219" s="3" t="s">
        <v>10535</v>
      </c>
      <c r="D219" s="77" t="s">
        <v>10332</v>
      </c>
      <c r="E219" s="78" t="s">
        <v>10332</v>
      </c>
      <c r="F219" s="3" t="s">
        <v>9642</v>
      </c>
      <c r="G219" s="79" t="s">
        <v>9719</v>
      </c>
      <c r="H219" s="3" t="s">
        <v>9780</v>
      </c>
      <c r="I219"/>
      <c r="J219" t="s">
        <v>10411</v>
      </c>
      <c r="K219" s="3" t="s">
        <v>9780</v>
      </c>
      <c r="L219" s="3" t="s">
        <v>9780</v>
      </c>
      <c r="M219" s="3" t="s">
        <v>9780</v>
      </c>
      <c r="N219" s="79" t="str">
        <f t="shared" si="5"/>
        <v>Não</v>
      </c>
      <c r="O219" s="97" t="s">
        <v>9780</v>
      </c>
      <c r="P219" s="97" t="s">
        <v>9780</v>
      </c>
    </row>
    <row r="220" spans="1:16" ht="17.25" customHeight="1" x14ac:dyDescent="0.4">
      <c r="A220" s="128"/>
      <c r="B220" s="3" t="s">
        <v>10321</v>
      </c>
      <c r="C220" s="3" t="s">
        <v>10535</v>
      </c>
      <c r="D220" s="77" t="s">
        <v>10333</v>
      </c>
      <c r="E220" s="78" t="s">
        <v>10333</v>
      </c>
      <c r="F220" s="3" t="s">
        <v>9642</v>
      </c>
      <c r="G220" s="79" t="s">
        <v>9719</v>
      </c>
      <c r="H220" s="3" t="s">
        <v>9780</v>
      </c>
      <c r="I220"/>
      <c r="J220" t="s">
        <v>10411</v>
      </c>
      <c r="K220" s="3" t="s">
        <v>9780</v>
      </c>
      <c r="L220" s="3" t="s">
        <v>9780</v>
      </c>
      <c r="M220" s="3" t="s">
        <v>9780</v>
      </c>
      <c r="N220" s="79" t="str">
        <f t="shared" si="5"/>
        <v>Não</v>
      </c>
      <c r="O220" s="97" t="s">
        <v>9780</v>
      </c>
      <c r="P220" s="97" t="s">
        <v>9780</v>
      </c>
    </row>
    <row r="221" spans="1:16" ht="17.25" customHeight="1" x14ac:dyDescent="0.4">
      <c r="A221" s="128"/>
      <c r="B221" s="3" t="s">
        <v>10321</v>
      </c>
      <c r="C221" s="3" t="s">
        <v>10535</v>
      </c>
      <c r="D221" s="77" t="s">
        <v>10334</v>
      </c>
      <c r="E221" s="78" t="s">
        <v>10334</v>
      </c>
      <c r="F221" s="3" t="s">
        <v>9642</v>
      </c>
      <c r="G221" s="79" t="s">
        <v>9719</v>
      </c>
      <c r="H221" s="3" t="s">
        <v>9780</v>
      </c>
      <c r="I221"/>
      <c r="J221" t="s">
        <v>10412</v>
      </c>
      <c r="K221" s="3" t="s">
        <v>9780</v>
      </c>
      <c r="L221" s="3" t="s">
        <v>9780</v>
      </c>
      <c r="M221" s="3" t="s">
        <v>9780</v>
      </c>
      <c r="N221" s="79" t="str">
        <f t="shared" si="5"/>
        <v>Não</v>
      </c>
      <c r="O221" s="97" t="s">
        <v>9780</v>
      </c>
      <c r="P221" s="97" t="s">
        <v>9780</v>
      </c>
    </row>
    <row r="222" spans="1:16" ht="17.25" customHeight="1" x14ac:dyDescent="0.4">
      <c r="A222" s="128"/>
      <c r="B222" s="3" t="s">
        <v>10321</v>
      </c>
      <c r="C222" s="3" t="s">
        <v>10535</v>
      </c>
      <c r="D222" s="77" t="s">
        <v>10335</v>
      </c>
      <c r="E222" s="78" t="s">
        <v>10335</v>
      </c>
      <c r="F222" s="3" t="s">
        <v>9642</v>
      </c>
      <c r="G222" s="79" t="s">
        <v>9719</v>
      </c>
      <c r="H222" s="3" t="s">
        <v>9780</v>
      </c>
      <c r="I222"/>
      <c r="J222" t="s">
        <v>10413</v>
      </c>
      <c r="K222" s="3" t="s">
        <v>9780</v>
      </c>
      <c r="L222" s="3" t="s">
        <v>9780</v>
      </c>
      <c r="M222" s="3" t="s">
        <v>9780</v>
      </c>
      <c r="N222" s="79" t="str">
        <f t="shared" si="5"/>
        <v>Não</v>
      </c>
      <c r="O222" s="97" t="s">
        <v>9780</v>
      </c>
      <c r="P222" s="97" t="s">
        <v>9780</v>
      </c>
    </row>
    <row r="223" spans="1:16" ht="17.25" customHeight="1" x14ac:dyDescent="0.4">
      <c r="A223" s="128"/>
      <c r="B223" s="3" t="s">
        <v>10321</v>
      </c>
      <c r="C223" s="3" t="s">
        <v>10535</v>
      </c>
      <c r="D223" s="77" t="s">
        <v>10336</v>
      </c>
      <c r="E223" s="78" t="s">
        <v>10336</v>
      </c>
      <c r="F223" s="3" t="s">
        <v>9642</v>
      </c>
      <c r="G223" s="79" t="s">
        <v>9719</v>
      </c>
      <c r="H223" s="3" t="s">
        <v>9780</v>
      </c>
      <c r="I223"/>
      <c r="J223" t="s">
        <v>10414</v>
      </c>
      <c r="K223" s="3" t="s">
        <v>9780</v>
      </c>
      <c r="L223" s="3" t="s">
        <v>9780</v>
      </c>
      <c r="M223" s="3" t="s">
        <v>9780</v>
      </c>
      <c r="N223" s="79" t="str">
        <f t="shared" si="5"/>
        <v>Não</v>
      </c>
      <c r="O223" s="97" t="s">
        <v>9780</v>
      </c>
      <c r="P223" s="97" t="s">
        <v>9780</v>
      </c>
    </row>
    <row r="224" spans="1:16" ht="17.25" customHeight="1" x14ac:dyDescent="0.4">
      <c r="A224" s="128"/>
      <c r="B224" s="3" t="s">
        <v>10321</v>
      </c>
      <c r="C224" s="3" t="s">
        <v>10535</v>
      </c>
      <c r="D224" s="85" t="s">
        <v>10418</v>
      </c>
      <c r="E224" s="1" t="s">
        <v>10418</v>
      </c>
      <c r="F224" s="3" t="s">
        <v>9642</v>
      </c>
      <c r="G224" s="79" t="s">
        <v>9719</v>
      </c>
      <c r="H224" s="3" t="s">
        <v>9780</v>
      </c>
      <c r="J224" t="s">
        <v>10416</v>
      </c>
      <c r="K224" s="3" t="s">
        <v>9780</v>
      </c>
      <c r="L224" s="3" t="s">
        <v>9780</v>
      </c>
      <c r="M224" s="3" t="s">
        <v>9780</v>
      </c>
      <c r="N224" s="79" t="str">
        <f>IF(F224="String",IF(I224&lt;&gt;"","Sim","Não"),IF(F224="List",IF(I224&lt;&gt;"","Sim","Não"),IF(AND(I224&gt;=O224,I224&lt;=P224,I224&lt;&gt;""),"Sim","Não")))</f>
        <v>Não</v>
      </c>
      <c r="O224" s="97" t="s">
        <v>9780</v>
      </c>
      <c r="P224" s="97" t="s">
        <v>9780</v>
      </c>
    </row>
    <row r="225" spans="1:16" ht="17.25" customHeight="1" x14ac:dyDescent="0.4">
      <c r="A225" s="128"/>
      <c r="B225" s="3" t="s">
        <v>10321</v>
      </c>
      <c r="C225" s="3" t="s">
        <v>10535</v>
      </c>
      <c r="D225" s="85" t="s">
        <v>10419</v>
      </c>
      <c r="E225" s="1" t="s">
        <v>10419</v>
      </c>
      <c r="F225" s="3" t="s">
        <v>9642</v>
      </c>
      <c r="G225" s="79" t="s">
        <v>9719</v>
      </c>
      <c r="H225" s="3" t="s">
        <v>9780</v>
      </c>
      <c r="J225" t="s">
        <v>10417</v>
      </c>
      <c r="K225" s="3" t="s">
        <v>9780</v>
      </c>
      <c r="L225" s="3" t="s">
        <v>9780</v>
      </c>
      <c r="M225" s="3" t="s">
        <v>9780</v>
      </c>
      <c r="N225" s="79" t="str">
        <f>IF(F225="String",IF(I225&lt;&gt;"","Sim","Não"),IF(F225="List",IF(I225&lt;&gt;"","Sim","Não"),IF(AND(I225&gt;=O225,I225&lt;=P225,I225&lt;&gt;""),"Sim","Não")))</f>
        <v>Não</v>
      </c>
      <c r="O225" s="97" t="s">
        <v>9780</v>
      </c>
      <c r="P225" s="97" t="s">
        <v>9780</v>
      </c>
    </row>
    <row r="226" spans="1:16" ht="17.25" customHeight="1" x14ac:dyDescent="0.4">
      <c r="A226" s="127" t="s">
        <v>10519</v>
      </c>
      <c r="B226" s="76" t="s">
        <v>10518</v>
      </c>
      <c r="C226" s="76" t="s">
        <v>10520</v>
      </c>
      <c r="D226" s="81" t="s">
        <v>10521</v>
      </c>
      <c r="E226" s="82" t="s">
        <v>10534</v>
      </c>
      <c r="F226" s="79" t="s">
        <v>9642</v>
      </c>
      <c r="G226" s="79" t="s">
        <v>9719</v>
      </c>
      <c r="H226" s="15" t="s">
        <v>9780</v>
      </c>
      <c r="I226" s="84"/>
      <c r="J226" s="84" t="s">
        <v>9780</v>
      </c>
      <c r="K226" s="27" t="s">
        <v>9780</v>
      </c>
      <c r="L226" s="15" t="s">
        <v>9780</v>
      </c>
      <c r="M226" s="15" t="s">
        <v>9780</v>
      </c>
      <c r="N226" s="79" t="str">
        <f t="shared" ref="N226:N232" si="6">IF(F226="String",IF(I226&lt;&gt;"","Sim","Não"),IF(F226="List",IF(I226&lt;&gt;"","Sim","Não"),IF(AND(I226&gt;=O226,I226&lt;=P226,I226&lt;&gt;""),"Sim","Não")))</f>
        <v>Não</v>
      </c>
      <c r="O226" s="102" t="s">
        <v>9780</v>
      </c>
      <c r="P226" s="102" t="s">
        <v>9780</v>
      </c>
    </row>
    <row r="227" spans="1:16" ht="17.25" customHeight="1" x14ac:dyDescent="0.4">
      <c r="A227" s="127"/>
      <c r="B227" s="76" t="s">
        <v>10518</v>
      </c>
      <c r="C227" s="76" t="s">
        <v>10520</v>
      </c>
      <c r="D227" s="81" t="s">
        <v>10522</v>
      </c>
      <c r="E227" s="82" t="s">
        <v>10533</v>
      </c>
      <c r="F227" s="79" t="s">
        <v>9642</v>
      </c>
      <c r="G227" s="79" t="s">
        <v>9719</v>
      </c>
      <c r="H227" s="15" t="s">
        <v>9780</v>
      </c>
      <c r="I227" s="84"/>
      <c r="J227" s="84" t="s">
        <v>9780</v>
      </c>
      <c r="K227" s="27" t="s">
        <v>9780</v>
      </c>
      <c r="L227" s="15" t="s">
        <v>9780</v>
      </c>
      <c r="M227" s="15" t="s">
        <v>9780</v>
      </c>
      <c r="N227" s="79" t="str">
        <f t="shared" si="6"/>
        <v>Não</v>
      </c>
      <c r="O227" s="102" t="s">
        <v>9780</v>
      </c>
      <c r="P227" s="102" t="s">
        <v>9780</v>
      </c>
    </row>
    <row r="228" spans="1:16" ht="17.25" customHeight="1" x14ac:dyDescent="0.4">
      <c r="A228" s="127"/>
      <c r="B228" s="76" t="s">
        <v>10518</v>
      </c>
      <c r="C228" s="76" t="s">
        <v>10520</v>
      </c>
      <c r="D228" s="81" t="s">
        <v>10523</v>
      </c>
      <c r="E228" s="82" t="s">
        <v>10532</v>
      </c>
      <c r="F228" s="79" t="s">
        <v>9642</v>
      </c>
      <c r="G228" s="79" t="s">
        <v>9719</v>
      </c>
      <c r="H228" s="15" t="s">
        <v>9780</v>
      </c>
      <c r="I228" s="84"/>
      <c r="J228" s="84" t="s">
        <v>9780</v>
      </c>
      <c r="K228" s="27" t="s">
        <v>9780</v>
      </c>
      <c r="L228" s="15" t="s">
        <v>9780</v>
      </c>
      <c r="M228" s="15" t="s">
        <v>9780</v>
      </c>
      <c r="N228" s="79" t="str">
        <f t="shared" si="6"/>
        <v>Não</v>
      </c>
      <c r="O228" s="102" t="s">
        <v>9780</v>
      </c>
      <c r="P228" s="102" t="s">
        <v>9780</v>
      </c>
    </row>
    <row r="229" spans="1:16" ht="17.25" customHeight="1" x14ac:dyDescent="0.4">
      <c r="A229" s="127"/>
      <c r="B229" s="76" t="s">
        <v>10518</v>
      </c>
      <c r="C229" s="76" t="s">
        <v>10520</v>
      </c>
      <c r="D229" s="81" t="s">
        <v>10524</v>
      </c>
      <c r="E229" s="82" t="s">
        <v>10531</v>
      </c>
      <c r="F229" s="79" t="s">
        <v>9642</v>
      </c>
      <c r="G229" s="79" t="s">
        <v>9719</v>
      </c>
      <c r="H229" s="15" t="s">
        <v>9780</v>
      </c>
      <c r="I229" s="84"/>
      <c r="J229" s="84" t="s">
        <v>9780</v>
      </c>
      <c r="K229" s="27" t="s">
        <v>9780</v>
      </c>
      <c r="L229" s="15" t="s">
        <v>9780</v>
      </c>
      <c r="M229" s="15" t="s">
        <v>9780</v>
      </c>
      <c r="N229" s="79" t="str">
        <f t="shared" si="6"/>
        <v>Não</v>
      </c>
      <c r="O229" s="102" t="s">
        <v>9780</v>
      </c>
      <c r="P229" s="102" t="s">
        <v>9780</v>
      </c>
    </row>
    <row r="230" spans="1:16" ht="17.25" customHeight="1" x14ac:dyDescent="0.4">
      <c r="A230" s="127"/>
      <c r="B230" s="76" t="s">
        <v>10518</v>
      </c>
      <c r="C230" s="76" t="s">
        <v>10520</v>
      </c>
      <c r="D230" s="81" t="s">
        <v>10525</v>
      </c>
      <c r="E230" s="82" t="s">
        <v>10530</v>
      </c>
      <c r="F230" s="79" t="s">
        <v>9642</v>
      </c>
      <c r="G230" s="79" t="s">
        <v>9719</v>
      </c>
      <c r="H230" s="15" t="s">
        <v>9780</v>
      </c>
      <c r="I230" s="84"/>
      <c r="J230" s="84" t="s">
        <v>9780</v>
      </c>
      <c r="K230" s="27" t="s">
        <v>9780</v>
      </c>
      <c r="L230" s="15" t="s">
        <v>9780</v>
      </c>
      <c r="M230" s="15" t="s">
        <v>9780</v>
      </c>
      <c r="N230" s="79" t="str">
        <f t="shared" si="6"/>
        <v>Não</v>
      </c>
      <c r="O230" s="102" t="s">
        <v>9780</v>
      </c>
      <c r="P230" s="102" t="s">
        <v>9780</v>
      </c>
    </row>
    <row r="231" spans="1:16" ht="17.25" customHeight="1" x14ac:dyDescent="0.4">
      <c r="A231" s="127"/>
      <c r="B231" s="76" t="s">
        <v>10518</v>
      </c>
      <c r="C231" s="76" t="s">
        <v>10520</v>
      </c>
      <c r="D231" s="81" t="s">
        <v>10526</v>
      </c>
      <c r="E231" s="82" t="s">
        <v>10529</v>
      </c>
      <c r="F231" s="79" t="s">
        <v>9642</v>
      </c>
      <c r="G231" s="79" t="s">
        <v>9719</v>
      </c>
      <c r="H231" s="15" t="s">
        <v>9780</v>
      </c>
      <c r="I231" s="84"/>
      <c r="J231" s="84" t="s">
        <v>9780</v>
      </c>
      <c r="K231" s="27" t="s">
        <v>9780</v>
      </c>
      <c r="L231" s="15" t="s">
        <v>9780</v>
      </c>
      <c r="M231" s="15" t="s">
        <v>9780</v>
      </c>
      <c r="N231" s="79" t="str">
        <f t="shared" si="6"/>
        <v>Não</v>
      </c>
      <c r="O231" s="102" t="s">
        <v>9780</v>
      </c>
      <c r="P231" s="102" t="s">
        <v>9780</v>
      </c>
    </row>
    <row r="232" spans="1:16" ht="17.25" customHeight="1" x14ac:dyDescent="0.4">
      <c r="A232" s="127"/>
      <c r="B232" s="76" t="s">
        <v>10518</v>
      </c>
      <c r="C232" s="76" t="s">
        <v>10520</v>
      </c>
      <c r="D232" s="81" t="s">
        <v>10527</v>
      </c>
      <c r="E232" s="82" t="s">
        <v>10528</v>
      </c>
      <c r="F232" s="79" t="s">
        <v>9642</v>
      </c>
      <c r="G232" s="79" t="s">
        <v>9719</v>
      </c>
      <c r="H232" s="15" t="s">
        <v>9780</v>
      </c>
      <c r="I232" s="84"/>
      <c r="J232" s="84" t="s">
        <v>9780</v>
      </c>
      <c r="K232" s="27" t="s">
        <v>9780</v>
      </c>
      <c r="L232" s="15" t="s">
        <v>9780</v>
      </c>
      <c r="M232" s="15" t="s">
        <v>9780</v>
      </c>
      <c r="N232" s="79" t="str">
        <f t="shared" si="6"/>
        <v>Não</v>
      </c>
      <c r="O232" s="102" t="s">
        <v>9780</v>
      </c>
      <c r="P232" s="102" t="s">
        <v>9780</v>
      </c>
    </row>
  </sheetData>
  <dataConsolidate/>
  <mergeCells count="19">
    <mergeCell ref="A38:A43"/>
    <mergeCell ref="A4:A7"/>
    <mergeCell ref="A2:A3"/>
    <mergeCell ref="A23:A31"/>
    <mergeCell ref="A32:A37"/>
    <mergeCell ref="A8:A22"/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</mergeCells>
  <phoneticPr fontId="11" type="noConversion"/>
  <conditionalFormatting sqref="N1 N233:N1048576">
    <cfRule type="cellIs" dxfId="1" priority="7" operator="equal">
      <formula>"Não"</formula>
    </cfRule>
  </conditionalFormatting>
  <conditionalFormatting sqref="N2:N232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10545</v>
      </c>
    </row>
    <row r="2" spans="1:15" ht="17.25" customHeight="1" x14ac:dyDescent="0.4">
      <c r="A2" s="106" t="s">
        <v>7247</v>
      </c>
      <c r="B2" s="97">
        <v>4106902</v>
      </c>
      <c r="C2" s="3">
        <f>IFERROR(VLOOKUP(B2,Municípios!D:H,4,FALSE),"")</f>
        <v>-25.419499999999999</v>
      </c>
      <c r="D2" s="3">
        <f>IFERROR(VLOOKUP(B2,Municípios!D:H,5,FALSE),"")</f>
        <v>-49.264600000000002</v>
      </c>
      <c r="E2" s="5">
        <f>IFERROR(VLOOKUP(B2,Municípios!D:H,3,FALSE),"")</f>
        <v>1963726</v>
      </c>
      <c r="F2" s="7">
        <f>IFERROR(E2*'Banco de Dados'!$I$4*365/313/1000,"")</f>
        <v>2060.9712172523964</v>
      </c>
      <c r="G2" s="108">
        <v>20</v>
      </c>
      <c r="H2" s="97">
        <v>10</v>
      </c>
      <c r="I2" s="97">
        <v>5</v>
      </c>
      <c r="J2" s="97" t="s">
        <v>9720</v>
      </c>
      <c r="K2" s="97" t="s">
        <v>9720</v>
      </c>
      <c r="L2" s="97" t="s">
        <v>9719</v>
      </c>
      <c r="N2" s="97"/>
    </row>
    <row r="3" spans="1:15" ht="17.25" customHeight="1" x14ac:dyDescent="0.4">
      <c r="A3" s="106" t="s">
        <v>1806</v>
      </c>
      <c r="B3" s="97">
        <v>4104808</v>
      </c>
      <c r="C3" s="3">
        <f>IFERROR(VLOOKUP(B3,Municípios!D:H,4,FALSE),"")</f>
        <v>-24.9573</v>
      </c>
      <c r="D3" s="3">
        <f>IFERROR(VLOOKUP(B3,Municípios!D:H,5,FALSE),"")</f>
        <v>-53.459000000000003</v>
      </c>
      <c r="E3" s="5">
        <f>IFERROR(VLOOKUP(B3,Municípios!D:H,3,FALSE),"")</f>
        <v>336073</v>
      </c>
      <c r="F3" s="7">
        <f>IFERROR(E3*'Banco de Dados'!$I$4*365/313/1000,"")</f>
        <v>352.71559265175716</v>
      </c>
      <c r="G3" s="108">
        <v>10</v>
      </c>
      <c r="H3" s="97">
        <v>5</v>
      </c>
      <c r="I3" s="97">
        <v>10</v>
      </c>
      <c r="J3" s="97" t="s">
        <v>9720</v>
      </c>
      <c r="K3" s="97" t="s">
        <v>9719</v>
      </c>
      <c r="L3" s="97" t="s">
        <v>9719</v>
      </c>
      <c r="N3" s="97"/>
    </row>
    <row r="4" spans="1:15" ht="17.25" customHeight="1" x14ac:dyDescent="0.4">
      <c r="A4" s="106" t="s">
        <v>7392</v>
      </c>
      <c r="B4" s="97">
        <v>4115200</v>
      </c>
      <c r="C4" s="3">
        <f>IFERROR(VLOOKUP(B4,Municípios!D:H,4,FALSE),"")</f>
        <v>-23.420500000000001</v>
      </c>
      <c r="D4" s="3">
        <f>IFERROR(VLOOKUP(B4,Municípios!D:H,5,FALSE),"")</f>
        <v>-51.933300000000003</v>
      </c>
      <c r="E4" s="5">
        <f>IFERROR(VLOOKUP(B4,Municípios!D:H,3,FALSE),"")</f>
        <v>436472</v>
      </c>
      <c r="F4" s="7">
        <f>IFERROR(E4*'Banco de Dados'!$I$4*365/313/1000,"")</f>
        <v>458.08642811501596</v>
      </c>
      <c r="G4" s="108">
        <v>5</v>
      </c>
      <c r="H4" s="97">
        <v>10</v>
      </c>
      <c r="I4" s="97">
        <v>4</v>
      </c>
      <c r="J4" s="97" t="s">
        <v>9720</v>
      </c>
      <c r="K4" s="97" t="s">
        <v>9719</v>
      </c>
      <c r="L4" s="97" t="s">
        <v>9720</v>
      </c>
      <c r="N4" s="97"/>
      <c r="O4" s="4"/>
    </row>
    <row r="5" spans="1:15" ht="17.25" customHeight="1" x14ac:dyDescent="0.4">
      <c r="A5" s="106" t="s">
        <v>7361</v>
      </c>
      <c r="B5" s="97">
        <v>4113700</v>
      </c>
      <c r="C5" s="3">
        <f>IFERROR(VLOOKUP(B5,Municípios!D:H,4,FALSE),"")</f>
        <v>-23.303999999999998</v>
      </c>
      <c r="D5" s="3">
        <f>IFERROR(VLOOKUP(B5,Municípios!D:H,5,FALSE),"")</f>
        <v>-51.1691</v>
      </c>
      <c r="E5" s="5">
        <f>IFERROR(VLOOKUP(B5,Municípios!D:H,3,FALSE),"")</f>
        <v>580870</v>
      </c>
      <c r="F5" s="7">
        <f>IFERROR(E5*'Banco de Dados'!$I$4*365/313/1000,"")</f>
        <v>609.63512779552707</v>
      </c>
      <c r="G5" s="108">
        <v>20</v>
      </c>
      <c r="H5" s="97">
        <v>30</v>
      </c>
      <c r="I5" s="97">
        <v>10</v>
      </c>
      <c r="J5" s="97" t="s">
        <v>9720</v>
      </c>
      <c r="K5" s="97" t="s">
        <v>9719</v>
      </c>
      <c r="L5" s="97" t="s">
        <v>9719</v>
      </c>
      <c r="N5" s="97"/>
    </row>
    <row r="6" spans="1:15" ht="17.25" customHeight="1" x14ac:dyDescent="0.4">
      <c r="A6" s="106"/>
      <c r="B6" s="97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 t="str">
        <f>IFERROR(E6*'Banco de Dados'!$I$4*365/313/1000,"")</f>
        <v/>
      </c>
      <c r="G6" s="108"/>
      <c r="H6" s="97"/>
      <c r="I6" s="97"/>
      <c r="J6" s="97"/>
      <c r="K6" s="97"/>
      <c r="L6" s="97"/>
      <c r="N6" s="97"/>
    </row>
    <row r="7" spans="1:15" ht="17.25" customHeight="1" x14ac:dyDescent="0.4">
      <c r="A7" s="106"/>
      <c r="B7" s="97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 t="str">
        <f>IFERROR(E7*'Banco de Dados'!$I$4*365/313/1000,"")</f>
        <v/>
      </c>
      <c r="G7" s="108"/>
      <c r="H7" s="97"/>
      <c r="I7" s="97"/>
      <c r="J7" s="97"/>
      <c r="K7" s="97"/>
      <c r="L7" s="97"/>
      <c r="N7" s="97"/>
    </row>
    <row r="8" spans="1:15" ht="17.25" customHeight="1" x14ac:dyDescent="0.4">
      <c r="A8" s="106"/>
      <c r="B8" s="97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 t="str">
        <f>IFERROR(E8*'Banco de Dados'!$I$4*365/313/1000,"")</f>
        <v/>
      </c>
      <c r="G8" s="108"/>
      <c r="H8" s="97"/>
      <c r="I8" s="97"/>
      <c r="J8" s="97"/>
      <c r="K8" s="97"/>
      <c r="L8" s="97"/>
      <c r="N8" s="97"/>
    </row>
    <row r="9" spans="1:15" ht="17.25" customHeight="1" x14ac:dyDescent="0.4">
      <c r="A9" s="106"/>
      <c r="B9" s="97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 t="str">
        <f>IFERROR(E9*'Banco de Dados'!$I$4*365/313/1000,"")</f>
        <v/>
      </c>
      <c r="G9" s="108"/>
      <c r="H9" s="97"/>
      <c r="I9" s="97"/>
      <c r="J9" s="97"/>
      <c r="K9" s="97"/>
      <c r="L9" s="97"/>
      <c r="N9" s="97"/>
    </row>
    <row r="10" spans="1:15" ht="17.25" customHeight="1" x14ac:dyDescent="0.4">
      <c r="A10" s="106"/>
      <c r="B10" s="97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 t="str">
        <f>IFERROR(E10*'Banco de Dados'!$I$4*365/313/1000,"")</f>
        <v/>
      </c>
      <c r="G10" s="108"/>
      <c r="H10" s="97"/>
      <c r="I10" s="97"/>
      <c r="J10" s="97"/>
      <c r="K10" s="97"/>
      <c r="L10" s="97"/>
      <c r="N10" s="97"/>
    </row>
    <row r="11" spans="1:15" ht="17.25" customHeight="1" x14ac:dyDescent="0.4">
      <c r="A11" s="106"/>
      <c r="B11" s="97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 t="str">
        <f>IFERROR(E11*'Banco de Dados'!$I$4*365/313/1000,"")</f>
        <v/>
      </c>
      <c r="G11" s="108"/>
      <c r="H11" s="97"/>
      <c r="I11" s="97"/>
      <c r="J11" s="97"/>
      <c r="K11" s="97"/>
      <c r="L11" s="97"/>
      <c r="N11" s="97"/>
    </row>
    <row r="12" spans="1:15" ht="17.25" customHeight="1" x14ac:dyDescent="0.4">
      <c r="A12" s="106"/>
      <c r="B12" s="97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 t="str">
        <f>IFERROR(E12*'Banco de Dados'!$I$4*365/313/1000,"")</f>
        <v/>
      </c>
      <c r="G12" s="108"/>
      <c r="H12" s="97"/>
      <c r="I12" s="97"/>
      <c r="J12" s="97"/>
      <c r="K12" s="97"/>
      <c r="L12" s="97"/>
      <c r="N12" s="97"/>
    </row>
    <row r="13" spans="1:15" ht="17.25" customHeight="1" x14ac:dyDescent="0.4">
      <c r="A13" s="106"/>
      <c r="B13" s="97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 t="str">
        <f>IFERROR(E13*'Banco de Dados'!$I$4*365/313/1000,"")</f>
        <v/>
      </c>
      <c r="G13" s="108"/>
      <c r="H13" s="97"/>
      <c r="I13" s="97"/>
      <c r="J13" s="97"/>
      <c r="K13" s="97"/>
      <c r="L13" s="97"/>
      <c r="N13" s="97"/>
    </row>
    <row r="14" spans="1:15" ht="17.25" customHeight="1" x14ac:dyDescent="0.4">
      <c r="A14" s="106"/>
      <c r="B14" s="97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 t="str">
        <f>IFERROR(E14*'Banco de Dados'!$I$4*365/313/1000,"")</f>
        <v/>
      </c>
      <c r="G14" s="108"/>
      <c r="H14" s="97"/>
      <c r="I14" s="97"/>
      <c r="J14" s="97"/>
      <c r="K14" s="97"/>
      <c r="L14" s="97"/>
      <c r="N14" s="97"/>
    </row>
    <row r="15" spans="1:15" ht="17.25" customHeight="1" x14ac:dyDescent="0.4">
      <c r="A15" s="106"/>
      <c r="B15" s="107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 t="str">
        <f>IFERROR(E15*'Banco de Dados'!$I$4*365/313/1000,"")</f>
        <v/>
      </c>
      <c r="G15" s="108"/>
      <c r="H15" s="97"/>
      <c r="I15" s="97"/>
      <c r="J15" s="97"/>
      <c r="K15" s="97"/>
      <c r="L15" s="97"/>
      <c r="N15" s="97"/>
    </row>
    <row r="16" spans="1:15" ht="17.25" customHeight="1" x14ac:dyDescent="0.4">
      <c r="A16" s="106"/>
      <c r="B16" s="97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 t="str">
        <f>IFERROR(E16*'Banco de Dados'!$I$4*365/313/1000,"")</f>
        <v/>
      </c>
      <c r="G16" s="108"/>
      <c r="H16" s="97"/>
      <c r="I16" s="97"/>
      <c r="J16" s="97"/>
      <c r="K16" s="97"/>
      <c r="L16" s="97"/>
      <c r="N16" s="97"/>
    </row>
    <row r="17" spans="1:14" ht="17.25" customHeight="1" x14ac:dyDescent="0.4">
      <c r="A17" s="106"/>
      <c r="B17" s="97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 t="str">
        <f>IFERROR(E17*'Banco de Dados'!$I$4*365/313/1000,"")</f>
        <v/>
      </c>
      <c r="G17" s="108"/>
      <c r="H17" s="97"/>
      <c r="I17" s="97"/>
      <c r="J17" s="97"/>
      <c r="K17" s="97"/>
      <c r="L17" s="97"/>
      <c r="N17" s="97"/>
    </row>
    <row r="18" spans="1:14" ht="17.25" customHeight="1" x14ac:dyDescent="0.4">
      <c r="A18" s="106"/>
      <c r="B18" s="97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 t="str">
        <f>IFERROR(E18*'Banco de Dados'!$I$4*365/313/1000,"")</f>
        <v/>
      </c>
      <c r="G18" s="108"/>
      <c r="H18" s="97"/>
      <c r="I18" s="97"/>
      <c r="J18" s="97"/>
      <c r="K18" s="97"/>
      <c r="L18" s="97"/>
      <c r="N18" s="97"/>
    </row>
    <row r="19" spans="1:14" ht="17.25" customHeight="1" x14ac:dyDescent="0.4">
      <c r="A19" s="106"/>
      <c r="B19" s="97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 t="str">
        <f>IFERROR(E19*'Banco de Dados'!$I$4*365/313/1000,"")</f>
        <v/>
      </c>
      <c r="G19" s="108"/>
      <c r="H19" s="97"/>
      <c r="I19" s="97"/>
      <c r="J19" s="97"/>
      <c r="K19" s="97"/>
      <c r="L19" s="97"/>
      <c r="N19" s="97"/>
    </row>
    <row r="20" spans="1:14" ht="17.25" customHeight="1" x14ac:dyDescent="0.4">
      <c r="A20" s="106"/>
      <c r="B20" s="97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 t="str">
        <f>IFERROR(E20*'Banco de Dados'!$I$4*365/313/1000,"")</f>
        <v/>
      </c>
      <c r="G20" s="108"/>
      <c r="H20" s="97"/>
      <c r="I20" s="97"/>
      <c r="J20" s="97"/>
      <c r="K20" s="97"/>
      <c r="L20" s="97"/>
      <c r="N20" s="97"/>
    </row>
    <row r="21" spans="1:14" ht="17.25" customHeight="1" x14ac:dyDescent="0.4">
      <c r="A21" s="106"/>
      <c r="B21" s="97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 t="str">
        <f>IFERROR(E21*'Banco de Dados'!$I$4*365/313/1000,"")</f>
        <v/>
      </c>
      <c r="G21" s="108"/>
      <c r="H21" s="97"/>
      <c r="I21" s="97"/>
      <c r="J21" s="97"/>
      <c r="K21" s="97"/>
      <c r="L21" s="97"/>
      <c r="N21" s="97"/>
    </row>
    <row r="22" spans="1:14" ht="17.25" customHeight="1" x14ac:dyDescent="0.4">
      <c r="A22" s="106"/>
      <c r="B22" s="97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 t="str">
        <f>IFERROR(E22*'Banco de Dados'!$I$4*365/313/1000,"")</f>
        <v/>
      </c>
      <c r="G22" s="108"/>
      <c r="H22" s="97"/>
      <c r="I22" s="97"/>
      <c r="J22" s="97"/>
      <c r="K22" s="97"/>
      <c r="L22" s="97"/>
      <c r="N22" s="97"/>
    </row>
    <row r="23" spans="1:14" ht="17.25" customHeight="1" x14ac:dyDescent="0.4">
      <c r="A23" s="106"/>
      <c r="B23" s="97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 t="str">
        <f>IFERROR(E23*'Banco de Dados'!$I$4*365/313/1000,"")</f>
        <v/>
      </c>
      <c r="G23" s="108"/>
      <c r="H23" s="97"/>
      <c r="I23" s="97"/>
      <c r="J23" s="97"/>
      <c r="K23" s="97"/>
      <c r="L23" s="97"/>
      <c r="N23" s="97"/>
    </row>
    <row r="24" spans="1:14" ht="17.25" customHeight="1" x14ac:dyDescent="0.4">
      <c r="A24" s="106"/>
      <c r="B24" s="97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 t="str">
        <f>IFERROR(E24*'Banco de Dados'!$I$4*365/313/1000,"")</f>
        <v/>
      </c>
      <c r="G24" s="108"/>
      <c r="H24" s="97"/>
      <c r="I24" s="97"/>
      <c r="J24" s="97"/>
      <c r="K24" s="97"/>
      <c r="L24" s="97"/>
      <c r="N24" s="97"/>
    </row>
    <row r="25" spans="1:14" ht="17.25" customHeight="1" x14ac:dyDescent="0.4">
      <c r="A25" s="106"/>
      <c r="B25" s="97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7" t="str">
        <f>IFERROR(E25*'Banco de Dados'!$I$4*365/313/1000,"")</f>
        <v/>
      </c>
      <c r="G25" s="108"/>
      <c r="H25" s="97"/>
      <c r="I25" s="97"/>
      <c r="J25" s="97"/>
      <c r="K25" s="97"/>
      <c r="L25" s="97"/>
      <c r="N25" s="97"/>
    </row>
    <row r="26" spans="1:14" ht="17.25" customHeight="1" x14ac:dyDescent="0.4">
      <c r="A26" s="106"/>
      <c r="B26" s="97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F26" s="7" t="str">
        <f>IFERROR(E26*'Banco de Dados'!$I$4*365/313/1000,"")</f>
        <v/>
      </c>
      <c r="G26" s="108"/>
      <c r="H26" s="97"/>
      <c r="I26" s="97"/>
      <c r="J26" s="97"/>
      <c r="K26" s="97"/>
      <c r="L26" s="97"/>
      <c r="N26" s="97"/>
    </row>
    <row r="27" spans="1:14" ht="17.25" customHeight="1" x14ac:dyDescent="0.4">
      <c r="A27" s="106"/>
      <c r="B27" s="97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108"/>
      <c r="H27" s="97"/>
      <c r="I27" s="97"/>
      <c r="J27" s="97"/>
      <c r="K27" s="97"/>
      <c r="L27" s="97"/>
      <c r="N27" s="97"/>
    </row>
    <row r="28" spans="1:14" ht="17.25" customHeight="1" x14ac:dyDescent="0.4">
      <c r="A28" s="106"/>
      <c r="B28" s="97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108"/>
      <c r="H28" s="97"/>
      <c r="I28" s="97"/>
      <c r="J28" s="97"/>
      <c r="K28" s="97"/>
      <c r="L28" s="97"/>
      <c r="N28" s="97"/>
    </row>
    <row r="29" spans="1:14" ht="17.25" customHeight="1" x14ac:dyDescent="0.4">
      <c r="A29" s="106"/>
      <c r="B29" s="97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108"/>
      <c r="H29" s="97"/>
      <c r="I29" s="97"/>
      <c r="J29" s="97"/>
      <c r="K29" s="97"/>
      <c r="L29" s="97"/>
      <c r="N29" s="97"/>
    </row>
    <row r="30" spans="1:14" ht="17.25" customHeight="1" x14ac:dyDescent="0.4">
      <c r="A30" s="106"/>
      <c r="B30" s="97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108"/>
      <c r="H30" s="97"/>
      <c r="I30" s="97"/>
      <c r="J30" s="97"/>
      <c r="K30" s="97"/>
      <c r="L30" s="97"/>
      <c r="N30" s="97"/>
    </row>
    <row r="31" spans="1:14" ht="17.25" customHeight="1" x14ac:dyDescent="0.4">
      <c r="A31" s="106"/>
      <c r="B31" s="97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108"/>
      <c r="H31" s="97"/>
      <c r="I31" s="97"/>
      <c r="J31" s="97"/>
      <c r="K31" s="97"/>
      <c r="L31" s="97"/>
      <c r="N31" s="97"/>
    </row>
    <row r="32" spans="1:14" ht="17.25" customHeight="1" x14ac:dyDescent="0.4">
      <c r="A32" s="106"/>
      <c r="B32" s="97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108"/>
      <c r="H32" s="97"/>
      <c r="I32" s="97"/>
      <c r="J32" s="97"/>
      <c r="K32" s="97"/>
      <c r="L32" s="97"/>
      <c r="N32" s="97"/>
    </row>
    <row r="33" spans="1:14" ht="17.25" customHeight="1" x14ac:dyDescent="0.4">
      <c r="A33" s="106"/>
      <c r="B33" s="97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108"/>
      <c r="H33" s="97"/>
      <c r="I33" s="97"/>
      <c r="J33" s="97"/>
      <c r="K33" s="97"/>
      <c r="L33" s="97"/>
      <c r="N33" s="97"/>
    </row>
    <row r="34" spans="1:14" ht="17.25" customHeight="1" x14ac:dyDescent="0.4">
      <c r="A34" s="106"/>
      <c r="B34" s="97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108"/>
      <c r="H34" s="97"/>
      <c r="I34" s="97"/>
      <c r="J34" s="97"/>
      <c r="K34" s="97"/>
      <c r="L34" s="97"/>
      <c r="N34" s="97"/>
    </row>
    <row r="35" spans="1:14" ht="17.25" customHeight="1" x14ac:dyDescent="0.4">
      <c r="A35" s="106"/>
      <c r="B35" s="97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108"/>
      <c r="H35" s="97"/>
      <c r="I35" s="97"/>
      <c r="J35" s="97"/>
      <c r="K35" s="97"/>
      <c r="L35" s="97"/>
      <c r="N35" s="97"/>
    </row>
    <row r="36" spans="1:14" ht="17.25" customHeight="1" x14ac:dyDescent="0.4">
      <c r="A36" s="106"/>
      <c r="B36" s="97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108"/>
      <c r="H36" s="97"/>
      <c r="I36" s="97"/>
      <c r="J36" s="97"/>
      <c r="K36" s="97"/>
      <c r="L36" s="97"/>
      <c r="N36" s="97"/>
    </row>
    <row r="37" spans="1:14" ht="17.25" customHeight="1" x14ac:dyDescent="0.4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108"/>
      <c r="H37" s="97"/>
      <c r="I37" s="97"/>
      <c r="J37" s="97"/>
      <c r="K37" s="97"/>
      <c r="L37" s="97"/>
    </row>
    <row r="38" spans="1:14" ht="17.25" customHeight="1" x14ac:dyDescent="0.4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108"/>
      <c r="H38" s="97"/>
      <c r="I38" s="97"/>
      <c r="J38" s="97"/>
      <c r="K38" s="97"/>
      <c r="L38" s="97"/>
    </row>
    <row r="39" spans="1:14" ht="17.25" customHeight="1" x14ac:dyDescent="0.4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108"/>
      <c r="H39" s="97"/>
      <c r="I39" s="97"/>
      <c r="J39" s="97"/>
      <c r="K39" s="97"/>
      <c r="L39" s="97"/>
    </row>
    <row r="40" spans="1:14" ht="17.25" customHeight="1" x14ac:dyDescent="0.4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108"/>
      <c r="H40" s="97"/>
      <c r="I40" s="97"/>
      <c r="J40" s="97"/>
      <c r="K40" s="97"/>
      <c r="L40" s="97"/>
    </row>
    <row r="41" spans="1:14" ht="17.25" customHeight="1" x14ac:dyDescent="0.4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108"/>
      <c r="H41" s="97"/>
      <c r="I41" s="97"/>
      <c r="J41" s="97"/>
      <c r="K41" s="97"/>
      <c r="L41" s="97"/>
    </row>
    <row r="42" spans="1:14" ht="17.25" customHeight="1" x14ac:dyDescent="0.4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108"/>
      <c r="H42" s="97"/>
      <c r="I42" s="97"/>
      <c r="J42" s="97"/>
      <c r="K42" s="97"/>
      <c r="L42" s="97"/>
    </row>
    <row r="43" spans="1:14" ht="17.25" customHeight="1" x14ac:dyDescent="0.4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108"/>
      <c r="H43" s="97"/>
      <c r="I43" s="97"/>
      <c r="J43" s="97"/>
      <c r="K43" s="97"/>
      <c r="L43" s="97"/>
    </row>
    <row r="44" spans="1:14" ht="17.25" customHeight="1" x14ac:dyDescent="0.4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108"/>
      <c r="H44" s="97"/>
      <c r="I44" s="97"/>
      <c r="J44" s="97"/>
      <c r="K44" s="97"/>
      <c r="L44" s="97"/>
    </row>
    <row r="45" spans="1:14" ht="17.25" customHeight="1" x14ac:dyDescent="0.4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108"/>
      <c r="H45" s="97"/>
      <c r="I45" s="97"/>
      <c r="J45" s="97"/>
      <c r="K45" s="97"/>
      <c r="L45" s="97"/>
    </row>
    <row r="46" spans="1:14" ht="17.25" customHeight="1" x14ac:dyDescent="0.4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108"/>
      <c r="H46" s="97"/>
      <c r="I46" s="97"/>
      <c r="J46" s="97"/>
      <c r="K46" s="97"/>
      <c r="L46" s="97"/>
    </row>
    <row r="47" spans="1:14" ht="17.25" customHeight="1" x14ac:dyDescent="0.4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108"/>
      <c r="H47" s="97"/>
      <c r="I47" s="97"/>
      <c r="J47" s="97"/>
      <c r="K47" s="97"/>
      <c r="L47" s="97"/>
    </row>
    <row r="48" spans="1:14" ht="17.25" customHeight="1" x14ac:dyDescent="0.4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108"/>
      <c r="H48" s="97"/>
      <c r="I48" s="97"/>
      <c r="J48" s="97"/>
      <c r="K48" s="97"/>
      <c r="L48" s="97"/>
    </row>
    <row r="49" spans="1:12" ht="17.25" customHeight="1" x14ac:dyDescent="0.4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108"/>
      <c r="H49" s="97"/>
      <c r="I49" s="97"/>
      <c r="J49" s="97"/>
      <c r="K49" s="97"/>
      <c r="L49" s="97"/>
    </row>
    <row r="50" spans="1:12" ht="17.25" customHeight="1" x14ac:dyDescent="0.4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108"/>
      <c r="H50" s="97"/>
      <c r="I50" s="97"/>
      <c r="J50" s="97"/>
      <c r="K50" s="97"/>
      <c r="L50" s="97"/>
    </row>
    <row r="51" spans="1:12" ht="17.25" customHeight="1" x14ac:dyDescent="0.4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108"/>
      <c r="H51" s="97"/>
      <c r="I51" s="97"/>
      <c r="J51" s="97"/>
      <c r="K51" s="97"/>
      <c r="L51" s="97"/>
    </row>
    <row r="52" spans="1:12" ht="17.25" customHeight="1" x14ac:dyDescent="0.4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8"/>
      <c r="I52" s="97"/>
      <c r="J52" s="97"/>
      <c r="K52" s="97"/>
      <c r="L52" s="97"/>
    </row>
    <row r="53" spans="1:12" ht="17.25" customHeight="1" x14ac:dyDescent="0.4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8"/>
      <c r="I53" s="97"/>
      <c r="J53" s="97"/>
      <c r="K53" s="97"/>
      <c r="L53" s="97"/>
    </row>
    <row r="54" spans="1:12" ht="17.25" customHeight="1" x14ac:dyDescent="0.4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8"/>
      <c r="I54" s="97"/>
      <c r="J54" s="97"/>
      <c r="K54" s="97"/>
      <c r="L54" s="97"/>
    </row>
    <row r="55" spans="1:12" ht="17.25" customHeight="1" x14ac:dyDescent="0.4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8"/>
      <c r="I55" s="97"/>
      <c r="J55" s="97"/>
      <c r="K55" s="97"/>
      <c r="L55" s="97"/>
    </row>
    <row r="56" spans="1:12" ht="17.25" customHeight="1" x14ac:dyDescent="0.4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8"/>
      <c r="I56" s="97"/>
      <c r="J56" s="97"/>
      <c r="K56" s="97"/>
      <c r="L56" s="97"/>
    </row>
    <row r="57" spans="1:12" ht="17.25" customHeight="1" x14ac:dyDescent="0.4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8"/>
      <c r="I57" s="97"/>
      <c r="J57" s="97"/>
      <c r="K57" s="97"/>
      <c r="L57" s="97"/>
    </row>
    <row r="58" spans="1:12" ht="17.25" customHeight="1" x14ac:dyDescent="0.4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8"/>
      <c r="I58" s="97"/>
      <c r="J58" s="97"/>
      <c r="K58" s="97"/>
      <c r="L58" s="97"/>
    </row>
    <row r="59" spans="1:12" ht="17.25" customHeight="1" x14ac:dyDescent="0.4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8"/>
      <c r="I59" s="97"/>
      <c r="J59" s="97"/>
      <c r="K59" s="97"/>
      <c r="L59" s="97"/>
    </row>
    <row r="60" spans="1:12" ht="17.25" customHeight="1" x14ac:dyDescent="0.4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4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4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4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4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E6"/>
  <sheetViews>
    <sheetView zoomScale="80" zoomScaleNormal="80" workbookViewId="0">
      <selection activeCell="C5" sqref="C5"/>
    </sheetView>
  </sheetViews>
  <sheetFormatPr defaultColWidth="15.44140625" defaultRowHeight="39" customHeight="1" x14ac:dyDescent="0.3"/>
  <cols>
    <col min="1" max="1" width="15.44140625" style="94"/>
    <col min="2" max="16384" width="15.44140625" style="26"/>
  </cols>
  <sheetData>
    <row r="1" spans="1:5" s="96" customFormat="1" ht="72.599999999999994" customHeight="1" x14ac:dyDescent="0.3">
      <c r="A1" s="95"/>
    </row>
    <row r="2" spans="1:5" s="94" customFormat="1" ht="39" customHeight="1" x14ac:dyDescent="0.3">
      <c r="B2" s="94" t="s">
        <v>7247</v>
      </c>
      <c r="C2" s="94" t="s">
        <v>1806</v>
      </c>
      <c r="D2" s="94" t="s">
        <v>7392</v>
      </c>
      <c r="E2" s="94" t="s">
        <v>7361</v>
      </c>
    </row>
    <row r="3" spans="1:5" ht="39" customHeight="1" x14ac:dyDescent="0.3">
      <c r="A3" s="94" t="s">
        <v>7247</v>
      </c>
      <c r="B3" s="26">
        <v>0</v>
      </c>
      <c r="C3" s="26">
        <v>425.13</v>
      </c>
      <c r="D3" s="26">
        <v>349.84</v>
      </c>
      <c r="E3" s="26">
        <v>304.19</v>
      </c>
    </row>
    <row r="4" spans="1:5" ht="39" customHeight="1" x14ac:dyDescent="0.3">
      <c r="A4" s="94" t="s">
        <v>1806</v>
      </c>
      <c r="B4" s="26">
        <v>425.13</v>
      </c>
      <c r="C4" s="26">
        <v>0</v>
      </c>
      <c r="D4" s="26">
        <v>230.53</v>
      </c>
      <c r="E4" s="26">
        <v>296.27999999999997</v>
      </c>
    </row>
    <row r="5" spans="1:5" ht="39" customHeight="1" x14ac:dyDescent="0.3">
      <c r="A5" s="94" t="s">
        <v>7392</v>
      </c>
      <c r="B5" s="26">
        <v>349.84</v>
      </c>
      <c r="C5" s="26">
        <v>230.53</v>
      </c>
      <c r="D5" s="26">
        <v>0</v>
      </c>
      <c r="E5" s="26">
        <v>79.069999999999993</v>
      </c>
    </row>
    <row r="6" spans="1:5" ht="39" customHeight="1" x14ac:dyDescent="0.3">
      <c r="A6" s="94" t="s">
        <v>7361</v>
      </c>
      <c r="B6" s="26">
        <v>304.19</v>
      </c>
      <c r="C6" s="26">
        <v>296.27999999999997</v>
      </c>
      <c r="D6" s="26">
        <v>79.069999999999993</v>
      </c>
      <c r="E6" s="26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10139</v>
      </c>
      <c r="K1" s="20" t="s">
        <v>9886</v>
      </c>
      <c r="L1" s="20" t="s">
        <v>10140</v>
      </c>
      <c r="M1" s="20" t="s">
        <v>10538</v>
      </c>
      <c r="N1" s="20" t="s">
        <v>10141</v>
      </c>
      <c r="O1" s="20" t="s">
        <v>10142</v>
      </c>
    </row>
    <row r="2" spans="1:15" s="71" customFormat="1" x14ac:dyDescent="0.4">
      <c r="A2" s="15">
        <v>1</v>
      </c>
      <c r="B2" s="15" t="s">
        <v>9720</v>
      </c>
      <c r="C2" s="15" t="s">
        <v>10436</v>
      </c>
      <c r="D2" s="15" t="s">
        <v>10604</v>
      </c>
      <c r="E2" s="15" t="s">
        <v>10605</v>
      </c>
      <c r="F2" s="15" t="s">
        <v>9780</v>
      </c>
      <c r="G2" s="15" t="s">
        <v>9780</v>
      </c>
      <c r="H2" s="15" t="s">
        <v>9780</v>
      </c>
      <c r="I2" s="15">
        <v>3317141</v>
      </c>
      <c r="J2" s="15">
        <v>1982.7506746875099</v>
      </c>
      <c r="K2" s="15">
        <v>3481.4083000000001</v>
      </c>
      <c r="L2" s="15">
        <v>180.06666666666601</v>
      </c>
      <c r="M2" s="15">
        <v>1802.6840080208401</v>
      </c>
      <c r="N2" s="15">
        <v>0</v>
      </c>
      <c r="O2" s="15">
        <v>686.45360106944599</v>
      </c>
    </row>
    <row r="3" spans="1:15" s="15" customFormat="1" x14ac:dyDescent="0.4">
      <c r="A3" s="15">
        <v>1</v>
      </c>
      <c r="B3" s="15" t="s">
        <v>9720</v>
      </c>
      <c r="C3" s="15" t="s">
        <v>10606</v>
      </c>
      <c r="D3" s="15" t="s">
        <v>10604</v>
      </c>
      <c r="E3" s="15" t="s">
        <v>10607</v>
      </c>
      <c r="F3" s="72" t="s">
        <v>10608</v>
      </c>
      <c r="G3" s="72" t="s">
        <v>10609</v>
      </c>
      <c r="H3" s="72" t="s">
        <v>10608</v>
      </c>
      <c r="I3" s="72">
        <v>3317141</v>
      </c>
      <c r="J3" s="15">
        <v>1982.7506746875099</v>
      </c>
      <c r="K3" s="15">
        <v>3481.4083000000001</v>
      </c>
      <c r="L3" s="15">
        <v>180.06666666666601</v>
      </c>
      <c r="M3" s="15">
        <v>1802.6840080208401</v>
      </c>
      <c r="N3" s="15">
        <v>0</v>
      </c>
      <c r="O3" s="15">
        <v>686.45360106944599</v>
      </c>
    </row>
    <row r="4" spans="1:15" s="71" customFormat="1" x14ac:dyDescent="0.4">
      <c r="A4" s="15">
        <v>2</v>
      </c>
      <c r="B4" s="15" t="s">
        <v>9720</v>
      </c>
      <c r="C4" s="15" t="s">
        <v>10548</v>
      </c>
      <c r="D4" s="15" t="s">
        <v>10610</v>
      </c>
      <c r="E4" s="15" t="s">
        <v>10605</v>
      </c>
      <c r="F4" s="15" t="s">
        <v>9780</v>
      </c>
      <c r="G4" s="15" t="s">
        <v>9780</v>
      </c>
      <c r="H4" s="15" t="s">
        <v>9780</v>
      </c>
      <c r="I4" s="15">
        <v>3317141</v>
      </c>
      <c r="J4" s="15">
        <v>1173.8514630111199</v>
      </c>
      <c r="K4" s="15">
        <v>3481.4083000000001</v>
      </c>
      <c r="L4" s="15">
        <v>222.511461948527</v>
      </c>
      <c r="M4" s="15">
        <v>173.07293918358801</v>
      </c>
      <c r="N4" s="15">
        <v>778.26706187900299</v>
      </c>
      <c r="O4" s="15">
        <v>527.64134579738095</v>
      </c>
    </row>
    <row r="5" spans="1:15" s="15" customFormat="1" x14ac:dyDescent="0.4">
      <c r="A5" s="15">
        <v>2</v>
      </c>
      <c r="B5" s="15" t="s">
        <v>9720</v>
      </c>
      <c r="C5" s="15" t="s">
        <v>10600</v>
      </c>
      <c r="D5" s="15" t="s">
        <v>10610</v>
      </c>
      <c r="E5" s="15" t="s">
        <v>10611</v>
      </c>
      <c r="F5" s="72" t="s">
        <v>10608</v>
      </c>
      <c r="G5" s="72" t="s">
        <v>10609</v>
      </c>
      <c r="H5" s="72" t="s">
        <v>10609</v>
      </c>
      <c r="I5" s="72">
        <v>1963726</v>
      </c>
      <c r="J5" s="15">
        <v>1301.73300170379</v>
      </c>
      <c r="K5" s="15">
        <v>2060.9712</v>
      </c>
      <c r="L5" s="15">
        <v>198.206474666666</v>
      </c>
      <c r="M5" s="15">
        <v>30.819709215609901</v>
      </c>
      <c r="N5" s="15">
        <v>1072.70681782152</v>
      </c>
      <c r="O5" s="15">
        <v>0</v>
      </c>
    </row>
    <row r="6" spans="1:15" s="15" customFormat="1" x14ac:dyDescent="0.4">
      <c r="A6" s="15">
        <v>2</v>
      </c>
      <c r="B6" s="15" t="s">
        <v>9720</v>
      </c>
      <c r="C6" s="15" t="s">
        <v>10612</v>
      </c>
      <c r="D6" s="15" t="s">
        <v>10610</v>
      </c>
      <c r="E6" s="15" t="s">
        <v>10613</v>
      </c>
      <c r="F6" s="72" t="s">
        <v>10608</v>
      </c>
      <c r="G6" s="72" t="s">
        <v>10609</v>
      </c>
      <c r="H6" s="72" t="s">
        <v>10614</v>
      </c>
      <c r="I6" s="72">
        <v>336073</v>
      </c>
      <c r="J6" s="15">
        <v>1777.06276647102</v>
      </c>
      <c r="K6" s="15">
        <v>352.71559999999999</v>
      </c>
      <c r="L6" s="15">
        <v>347.91461600000002</v>
      </c>
      <c r="M6" s="15">
        <v>15.409854607804901</v>
      </c>
      <c r="N6" s="15">
        <v>1413.7382958632199</v>
      </c>
      <c r="O6" s="15">
        <v>2608.6625594172501</v>
      </c>
    </row>
    <row r="7" spans="1:15" s="6" customFormat="1" x14ac:dyDescent="0.4">
      <c r="A7" s="15">
        <v>2</v>
      </c>
      <c r="B7" s="15" t="s">
        <v>9720</v>
      </c>
      <c r="C7" s="15" t="s">
        <v>10615</v>
      </c>
      <c r="D7" s="15" t="s">
        <v>10610</v>
      </c>
      <c r="E7" s="15" t="s">
        <v>10616</v>
      </c>
      <c r="F7" s="72" t="s">
        <v>10608</v>
      </c>
      <c r="G7" s="72" t="s">
        <v>10609</v>
      </c>
      <c r="H7" s="72" t="s">
        <v>10608</v>
      </c>
      <c r="I7" s="72">
        <v>1017342</v>
      </c>
      <c r="J7" s="15">
        <v>727.74055760747501</v>
      </c>
      <c r="K7" s="15">
        <v>1067.7215000000001</v>
      </c>
      <c r="L7" s="15">
        <v>228</v>
      </c>
      <c r="M7" s="15">
        <v>499.74055760747501</v>
      </c>
      <c r="N7" s="15">
        <v>0</v>
      </c>
      <c r="O7" s="15">
        <v>858.66865174091004</v>
      </c>
    </row>
    <row r="8" spans="1:15" x14ac:dyDescent="0.4">
      <c r="A8" s="15">
        <v>3</v>
      </c>
      <c r="B8" s="15" t="s">
        <v>9720</v>
      </c>
      <c r="C8" s="15" t="s">
        <v>10437</v>
      </c>
      <c r="D8" s="15" t="s">
        <v>10617</v>
      </c>
      <c r="E8" s="15" t="s">
        <v>10605</v>
      </c>
      <c r="F8" s="72" t="s">
        <v>9780</v>
      </c>
      <c r="G8" s="72" t="s">
        <v>9780</v>
      </c>
      <c r="H8" s="72" t="s">
        <v>9780</v>
      </c>
      <c r="I8" s="72">
        <v>3317141</v>
      </c>
      <c r="J8" s="15">
        <v>1213.00186314132</v>
      </c>
      <c r="K8" s="15">
        <v>3481.4083000000001</v>
      </c>
      <c r="L8" s="15">
        <v>224.81135141107299</v>
      </c>
      <c r="M8" s="15">
        <v>268.17129726830399</v>
      </c>
      <c r="N8" s="15">
        <v>720.01921446194604</v>
      </c>
      <c r="O8" s="15">
        <v>526.83667551355495</v>
      </c>
    </row>
    <row r="9" spans="1:15" x14ac:dyDescent="0.4">
      <c r="A9" s="15">
        <v>3</v>
      </c>
      <c r="B9" s="15" t="s">
        <v>9720</v>
      </c>
      <c r="C9" s="15" t="s">
        <v>10618</v>
      </c>
      <c r="D9" s="15" t="s">
        <v>10617</v>
      </c>
      <c r="E9" s="15" t="s">
        <v>10611</v>
      </c>
      <c r="F9" s="72" t="s">
        <v>10608</v>
      </c>
      <c r="G9" s="72" t="s">
        <v>10609</v>
      </c>
      <c r="H9" s="72" t="s">
        <v>10609</v>
      </c>
      <c r="I9" s="72">
        <v>1963726</v>
      </c>
      <c r="J9" s="15">
        <v>1301.54431585865</v>
      </c>
      <c r="K9" s="15">
        <v>2060.9712</v>
      </c>
      <c r="L9" s="15">
        <v>198.206474666666</v>
      </c>
      <c r="M9" s="15">
        <v>30.523948828760599</v>
      </c>
      <c r="N9" s="15">
        <v>1072.81389236322</v>
      </c>
      <c r="O9" s="15">
        <v>0</v>
      </c>
    </row>
    <row r="10" spans="1:15" x14ac:dyDescent="0.4">
      <c r="A10" s="15">
        <v>3</v>
      </c>
      <c r="B10" s="15" t="s">
        <v>9720</v>
      </c>
      <c r="C10" s="15" t="s">
        <v>10619</v>
      </c>
      <c r="D10" s="15" t="s">
        <v>10617</v>
      </c>
      <c r="E10" s="15" t="s">
        <v>10620</v>
      </c>
      <c r="F10" s="72" t="s">
        <v>10608</v>
      </c>
      <c r="G10" s="72" t="s">
        <v>10609</v>
      </c>
      <c r="H10" s="72" t="s">
        <v>10608</v>
      </c>
      <c r="I10" s="72">
        <v>772545</v>
      </c>
      <c r="J10" s="15">
        <v>1288.29108290668</v>
      </c>
      <c r="K10" s="15">
        <v>810.80200000000002</v>
      </c>
      <c r="L10" s="15">
        <v>252.66131999999999</v>
      </c>
      <c r="M10" s="15">
        <v>1035.6297629066801</v>
      </c>
      <c r="N10" s="15">
        <v>0</v>
      </c>
      <c r="O10" s="15">
        <v>858.67103976789997</v>
      </c>
    </row>
    <row r="11" spans="1:15" s="6" customFormat="1" x14ac:dyDescent="0.4">
      <c r="A11" s="15">
        <v>3</v>
      </c>
      <c r="B11" s="15" t="s">
        <v>9720</v>
      </c>
      <c r="C11" s="15" t="s">
        <v>10621</v>
      </c>
      <c r="D11" s="15" t="s">
        <v>10617</v>
      </c>
      <c r="E11" s="15" t="s">
        <v>10622</v>
      </c>
      <c r="F11" s="72" t="s">
        <v>10608</v>
      </c>
      <c r="G11" s="72" t="s">
        <v>10609</v>
      </c>
      <c r="H11" s="72" t="s">
        <v>10623</v>
      </c>
      <c r="I11" s="72">
        <v>580870</v>
      </c>
      <c r="J11" s="15">
        <v>813.53651904946105</v>
      </c>
      <c r="K11" s="15">
        <v>609.63509999999997</v>
      </c>
      <c r="L11" s="15">
        <v>277.71361133333301</v>
      </c>
      <c r="M11" s="15">
        <v>50.873248047934297</v>
      </c>
      <c r="N11" s="15">
        <v>484.94965966819399</v>
      </c>
      <c r="O11" s="15">
        <v>1866.56145371453</v>
      </c>
    </row>
    <row r="12" spans="1:15" s="6" customFormat="1" x14ac:dyDescent="0.4">
      <c r="A12" s="15">
        <v>4</v>
      </c>
      <c r="B12" s="15" t="s">
        <v>9720</v>
      </c>
      <c r="C12" s="15" t="s">
        <v>10301</v>
      </c>
      <c r="D12" s="15" t="s">
        <v>10624</v>
      </c>
      <c r="E12" s="15" t="s">
        <v>10605</v>
      </c>
      <c r="F12" s="72" t="s">
        <v>9780</v>
      </c>
      <c r="G12" s="72" t="s">
        <v>9780</v>
      </c>
      <c r="H12" s="72" t="s">
        <v>9780</v>
      </c>
      <c r="I12" s="72">
        <v>3317141</v>
      </c>
      <c r="J12" s="15">
        <v>1247.16080958251</v>
      </c>
      <c r="K12" s="15">
        <v>3481.4083000000001</v>
      </c>
      <c r="L12" s="15">
        <v>205.31674569882</v>
      </c>
      <c r="M12" s="15">
        <v>406.63207098826598</v>
      </c>
      <c r="N12" s="15">
        <v>635.21199289542506</v>
      </c>
      <c r="O12" s="15">
        <v>350.664608089914</v>
      </c>
    </row>
    <row r="13" spans="1:15" x14ac:dyDescent="0.4">
      <c r="A13" s="15">
        <v>4</v>
      </c>
      <c r="B13" s="15" t="s">
        <v>9720</v>
      </c>
      <c r="C13" s="15" t="s">
        <v>10625</v>
      </c>
      <c r="D13" s="15" t="s">
        <v>10624</v>
      </c>
      <c r="E13" s="15" t="s">
        <v>10611</v>
      </c>
      <c r="F13" s="72" t="s">
        <v>10608</v>
      </c>
      <c r="G13" s="72" t="s">
        <v>10609</v>
      </c>
      <c r="H13" s="72" t="s">
        <v>10609</v>
      </c>
      <c r="I13" s="72">
        <v>1963726</v>
      </c>
      <c r="J13" s="15">
        <v>1301.5549252559399</v>
      </c>
      <c r="K13" s="15">
        <v>2060.9712</v>
      </c>
      <c r="L13" s="15">
        <v>198.206474666666</v>
      </c>
      <c r="M13" s="15">
        <v>30.3434982029152</v>
      </c>
      <c r="N13" s="15">
        <v>1073.0049523863599</v>
      </c>
      <c r="O13" s="15">
        <v>0</v>
      </c>
    </row>
    <row r="14" spans="1:15" x14ac:dyDescent="0.4">
      <c r="A14" s="15">
        <v>4</v>
      </c>
      <c r="B14" s="15" t="s">
        <v>9720</v>
      </c>
      <c r="C14" s="15" t="s">
        <v>10626</v>
      </c>
      <c r="D14" s="15" t="s">
        <v>10624</v>
      </c>
      <c r="E14" s="15" t="s">
        <v>10627</v>
      </c>
      <c r="F14" s="72" t="s">
        <v>10608</v>
      </c>
      <c r="G14" s="72" t="s">
        <v>10609</v>
      </c>
      <c r="H14" s="72" t="s">
        <v>10608</v>
      </c>
      <c r="I14" s="72">
        <v>1353415</v>
      </c>
      <c r="J14" s="15">
        <v>1168.2381273655899</v>
      </c>
      <c r="K14" s="15">
        <v>1420.4371000000001</v>
      </c>
      <c r="L14" s="15">
        <v>215.63333333333301</v>
      </c>
      <c r="M14" s="15">
        <v>952.60479403225997</v>
      </c>
      <c r="N14" s="15">
        <v>0</v>
      </c>
      <c r="O14" s="15">
        <v>859.45845621778994</v>
      </c>
    </row>
    <row r="15" spans="1:15" x14ac:dyDescent="0.4">
      <c r="A15" s="15">
        <v>5</v>
      </c>
      <c r="B15" s="15" t="s">
        <v>9719</v>
      </c>
      <c r="C15" s="15" t="s">
        <v>10628</v>
      </c>
      <c r="D15" s="15" t="s">
        <v>10629</v>
      </c>
      <c r="E15" s="15" t="s">
        <v>10605</v>
      </c>
      <c r="F15" s="72" t="s">
        <v>9780</v>
      </c>
      <c r="G15" s="72" t="s">
        <v>9780</v>
      </c>
      <c r="H15" s="72" t="s">
        <v>9780</v>
      </c>
      <c r="I15" s="72">
        <v>3317141</v>
      </c>
      <c r="J15" s="15">
        <v>1328.0781307475099</v>
      </c>
      <c r="K15" s="15">
        <v>3481.4083000000001</v>
      </c>
      <c r="L15" s="15">
        <v>224.206694859387</v>
      </c>
      <c r="M15" s="15">
        <v>334.78544354680798</v>
      </c>
      <c r="N15" s="15">
        <v>769.08599234131702</v>
      </c>
      <c r="O15" s="15">
        <v>628.76426541868102</v>
      </c>
    </row>
    <row r="16" spans="1:15" s="6" customFormat="1" x14ac:dyDescent="0.4">
      <c r="A16" s="15">
        <v>5</v>
      </c>
      <c r="B16" s="15" t="s">
        <v>9719</v>
      </c>
      <c r="C16" s="15" t="s">
        <v>10630</v>
      </c>
      <c r="D16" s="15" t="s">
        <v>10629</v>
      </c>
      <c r="E16" s="15" t="s">
        <v>10611</v>
      </c>
      <c r="F16" s="72" t="s">
        <v>10608</v>
      </c>
      <c r="G16" s="72" t="s">
        <v>10609</v>
      </c>
      <c r="H16" s="72" t="s">
        <v>10609</v>
      </c>
      <c r="I16" s="72">
        <v>1963726</v>
      </c>
      <c r="J16" s="15">
        <v>1301.34733391329</v>
      </c>
      <c r="K16" s="15">
        <v>2060.9712</v>
      </c>
      <c r="L16" s="15">
        <v>198.206474666666</v>
      </c>
      <c r="M16" s="15">
        <v>30.418242343079001</v>
      </c>
      <c r="N16" s="15">
        <v>1072.72261690354</v>
      </c>
      <c r="O16" s="15">
        <v>0</v>
      </c>
    </row>
    <row r="17" spans="1:15" x14ac:dyDescent="0.4">
      <c r="A17" s="15">
        <v>5</v>
      </c>
      <c r="B17" s="15" t="s">
        <v>9719</v>
      </c>
      <c r="C17" s="15" t="s">
        <v>10631</v>
      </c>
      <c r="D17" s="15" t="s">
        <v>10629</v>
      </c>
      <c r="E17" s="15" t="s">
        <v>10632</v>
      </c>
      <c r="F17" s="72" t="s">
        <v>10608</v>
      </c>
      <c r="G17" s="72" t="s">
        <v>10609</v>
      </c>
      <c r="H17" s="72" t="s">
        <v>10623</v>
      </c>
      <c r="I17" s="72">
        <v>916943</v>
      </c>
      <c r="J17" s="15">
        <v>1864.5619368510399</v>
      </c>
      <c r="K17" s="15">
        <v>962.35069999999996</v>
      </c>
      <c r="L17" s="15">
        <v>240.91418866666601</v>
      </c>
      <c r="M17" s="15">
        <v>1138.73934823832</v>
      </c>
      <c r="N17" s="15">
        <v>484.90839994605102</v>
      </c>
      <c r="O17" s="15">
        <v>1866.00981808698</v>
      </c>
    </row>
    <row r="18" spans="1:15" x14ac:dyDescent="0.4">
      <c r="A18" s="15">
        <v>5</v>
      </c>
      <c r="B18" s="15" t="s">
        <v>9719</v>
      </c>
      <c r="C18" s="15" t="s">
        <v>10633</v>
      </c>
      <c r="D18" s="15" t="s">
        <v>10629</v>
      </c>
      <c r="E18" s="15" t="s">
        <v>10634</v>
      </c>
      <c r="F18" s="72" t="s">
        <v>10608</v>
      </c>
      <c r="G18" s="72" t="s">
        <v>10609</v>
      </c>
      <c r="H18" s="72" t="s">
        <v>10608</v>
      </c>
      <c r="I18" s="72">
        <v>436472</v>
      </c>
      <c r="J18" s="15">
        <v>321.29389983820602</v>
      </c>
      <c r="K18" s="15">
        <v>458.08640000000003</v>
      </c>
      <c r="L18" s="15">
        <v>306.08477866666601</v>
      </c>
      <c r="M18" s="15">
        <v>15.2091211715395</v>
      </c>
      <c r="N18" s="15">
        <v>0</v>
      </c>
      <c r="O18" s="15">
        <v>858.41727178349004</v>
      </c>
    </row>
    <row r="19" spans="1:15" x14ac:dyDescent="0.4">
      <c r="A19" s="15">
        <v>6</v>
      </c>
      <c r="B19" s="15" t="s">
        <v>9719</v>
      </c>
      <c r="C19" s="15" t="s">
        <v>10635</v>
      </c>
      <c r="D19" s="15" t="s">
        <v>10636</v>
      </c>
      <c r="E19" s="15" t="s">
        <v>10605</v>
      </c>
      <c r="F19" s="72" t="s">
        <v>9780</v>
      </c>
      <c r="G19" s="72" t="s">
        <v>9780</v>
      </c>
      <c r="H19" s="72" t="s">
        <v>9780</v>
      </c>
      <c r="I19" s="72">
        <v>3317141</v>
      </c>
      <c r="J19" s="15">
        <v>1450.7519138571099</v>
      </c>
      <c r="K19" s="15">
        <v>3481.4083000000001</v>
      </c>
      <c r="L19" s="15">
        <v>227.96274372506599</v>
      </c>
      <c r="M19" s="15">
        <v>218.741218741864</v>
      </c>
      <c r="N19" s="15">
        <v>1004.0479513901799</v>
      </c>
      <c r="O19" s="15">
        <v>591.03447886529102</v>
      </c>
    </row>
    <row r="20" spans="1:15" s="6" customFormat="1" x14ac:dyDescent="0.4">
      <c r="A20" s="15">
        <v>6</v>
      </c>
      <c r="B20" s="15" t="s">
        <v>9719</v>
      </c>
      <c r="C20" s="15" t="s">
        <v>10637</v>
      </c>
      <c r="D20" s="15" t="s">
        <v>10636</v>
      </c>
      <c r="E20" s="15" t="s">
        <v>10638</v>
      </c>
      <c r="F20" s="72" t="s">
        <v>10608</v>
      </c>
      <c r="G20" s="72" t="s">
        <v>10609</v>
      </c>
      <c r="H20" s="72" t="s">
        <v>10609</v>
      </c>
      <c r="I20" s="72">
        <v>2400198</v>
      </c>
      <c r="J20" s="15">
        <v>1559.33684125837</v>
      </c>
      <c r="K20" s="15">
        <v>2519.0576000000001</v>
      </c>
      <c r="L20" s="15">
        <v>199.12705066666601</v>
      </c>
      <c r="M20" s="15">
        <v>287.80049494257599</v>
      </c>
      <c r="N20" s="15">
        <v>1072.4092956491299</v>
      </c>
      <c r="O20" s="15">
        <v>0</v>
      </c>
    </row>
    <row r="21" spans="1:15" s="6" customFormat="1" x14ac:dyDescent="0.4">
      <c r="A21" s="15">
        <v>6</v>
      </c>
      <c r="B21" s="15" t="s">
        <v>9719</v>
      </c>
      <c r="C21" s="15" t="s">
        <v>10639</v>
      </c>
      <c r="D21" s="15" t="s">
        <v>10636</v>
      </c>
      <c r="E21" s="15" t="s">
        <v>10613</v>
      </c>
      <c r="F21" s="72" t="s">
        <v>10608</v>
      </c>
      <c r="G21" s="72" t="s">
        <v>10609</v>
      </c>
      <c r="H21" s="72" t="s">
        <v>10614</v>
      </c>
      <c r="I21" s="72">
        <v>336073</v>
      </c>
      <c r="J21" s="15">
        <v>1776.58324910906</v>
      </c>
      <c r="K21" s="15">
        <v>352.71559999999999</v>
      </c>
      <c r="L21" s="15">
        <v>347.91461600000002</v>
      </c>
      <c r="M21" s="15">
        <v>15.322446703882401</v>
      </c>
      <c r="N21" s="15">
        <v>1413.3461864051801</v>
      </c>
      <c r="O21" s="15">
        <v>2608.1531899039401</v>
      </c>
    </row>
    <row r="22" spans="1:15" x14ac:dyDescent="0.4">
      <c r="A22" s="15">
        <v>6</v>
      </c>
      <c r="B22" s="15" t="s">
        <v>9719</v>
      </c>
      <c r="C22" s="15" t="s">
        <v>10640</v>
      </c>
      <c r="D22" s="15" t="s">
        <v>10636</v>
      </c>
      <c r="E22" s="15" t="s">
        <v>10622</v>
      </c>
      <c r="F22" s="72" t="s">
        <v>10608</v>
      </c>
      <c r="G22" s="72" t="s">
        <v>10609</v>
      </c>
      <c r="H22" s="72" t="s">
        <v>10623</v>
      </c>
      <c r="I22" s="72">
        <v>580870</v>
      </c>
      <c r="J22" s="15">
        <v>813.555201384714</v>
      </c>
      <c r="K22" s="15">
        <v>609.63509999999997</v>
      </c>
      <c r="L22" s="15">
        <v>277.71361133333301</v>
      </c>
      <c r="M22" s="15">
        <v>51.074822346274701</v>
      </c>
      <c r="N22" s="15">
        <v>484.76676770510602</v>
      </c>
      <c r="O22" s="15">
        <v>1866.19179741933</v>
      </c>
    </row>
    <row r="23" spans="1:15" x14ac:dyDescent="0.4">
      <c r="A23" s="15">
        <v>7</v>
      </c>
      <c r="B23" s="15" t="s">
        <v>9719</v>
      </c>
      <c r="C23" s="15" t="s">
        <v>10641</v>
      </c>
      <c r="D23" s="15" t="s">
        <v>10642</v>
      </c>
      <c r="E23" s="15" t="s">
        <v>10605</v>
      </c>
      <c r="F23" s="72" t="s">
        <v>9780</v>
      </c>
      <c r="G23" s="72" t="s">
        <v>9780</v>
      </c>
      <c r="H23" s="72" t="s">
        <v>9780</v>
      </c>
      <c r="I23" s="72">
        <v>3317141</v>
      </c>
      <c r="J23" s="15">
        <v>1520.9007794270799</v>
      </c>
      <c r="K23" s="15">
        <v>3481.4083000000001</v>
      </c>
      <c r="L23" s="15">
        <v>227.00655912936</v>
      </c>
      <c r="M23" s="15">
        <v>465.32864455262001</v>
      </c>
      <c r="N23" s="15">
        <v>828.56557574510805</v>
      </c>
      <c r="O23" s="15">
        <v>439.999586487025</v>
      </c>
    </row>
    <row r="24" spans="1:15" x14ac:dyDescent="0.4">
      <c r="A24" s="15">
        <v>7</v>
      </c>
      <c r="B24" s="15" t="s">
        <v>9719</v>
      </c>
      <c r="C24" s="15" t="s">
        <v>10643</v>
      </c>
      <c r="D24" s="15" t="s">
        <v>10642</v>
      </c>
      <c r="E24" s="15" t="s">
        <v>10644</v>
      </c>
      <c r="F24" s="72" t="s">
        <v>10608</v>
      </c>
      <c r="G24" s="72" t="s">
        <v>10609</v>
      </c>
      <c r="H24" s="72" t="s">
        <v>10609</v>
      </c>
      <c r="I24" s="72">
        <v>2299799</v>
      </c>
      <c r="J24" s="15">
        <v>1927.3595958614701</v>
      </c>
      <c r="K24" s="15">
        <v>2413.6867999999999</v>
      </c>
      <c r="L24" s="15">
        <v>199.191245333333</v>
      </c>
      <c r="M24" s="15">
        <v>655.54186734155303</v>
      </c>
      <c r="N24" s="15">
        <v>1072.6264831865799</v>
      </c>
      <c r="O24" s="15">
        <v>0</v>
      </c>
    </row>
    <row r="25" spans="1:15" x14ac:dyDescent="0.4">
      <c r="A25" s="15">
        <v>7</v>
      </c>
      <c r="B25" s="15" t="s">
        <v>9719</v>
      </c>
      <c r="C25" s="15" t="s">
        <v>10645</v>
      </c>
      <c r="D25" s="15" t="s">
        <v>10642</v>
      </c>
      <c r="E25" s="15" t="s">
        <v>10634</v>
      </c>
      <c r="F25" s="72" t="s">
        <v>10608</v>
      </c>
      <c r="G25" s="72" t="s">
        <v>10609</v>
      </c>
      <c r="H25" s="72" t="s">
        <v>10608</v>
      </c>
      <c r="I25" s="72">
        <v>436472</v>
      </c>
      <c r="J25" s="15">
        <v>321.23464687565797</v>
      </c>
      <c r="K25" s="15">
        <v>458.08640000000003</v>
      </c>
      <c r="L25" s="15">
        <v>306.08477866666601</v>
      </c>
      <c r="M25" s="15">
        <v>15.1498682089913</v>
      </c>
      <c r="N25" s="15">
        <v>0</v>
      </c>
      <c r="O25" s="15">
        <v>858.98019073951298</v>
      </c>
    </row>
    <row r="26" spans="1:15" s="6" customFormat="1" x14ac:dyDescent="0.4">
      <c r="A26" s="15">
        <v>7</v>
      </c>
      <c r="B26" s="15" t="s">
        <v>9719</v>
      </c>
      <c r="C26" s="15" t="s">
        <v>10646</v>
      </c>
      <c r="D26" s="15" t="s">
        <v>10642</v>
      </c>
      <c r="E26" s="15" t="s">
        <v>10622</v>
      </c>
      <c r="F26" s="72" t="s">
        <v>10608</v>
      </c>
      <c r="G26" s="72" t="s">
        <v>10609</v>
      </c>
      <c r="H26" s="72" t="s">
        <v>10623</v>
      </c>
      <c r="I26" s="72">
        <v>580870</v>
      </c>
      <c r="J26" s="15">
        <v>813.07811615050196</v>
      </c>
      <c r="K26" s="15">
        <v>609.63509999999997</v>
      </c>
      <c r="L26" s="15">
        <v>277.71361133333301</v>
      </c>
      <c r="M26" s="15">
        <v>50.499560696637801</v>
      </c>
      <c r="N26" s="15">
        <v>484.86494412053099</v>
      </c>
      <c r="O26" s="15">
        <v>1867.2334797411099</v>
      </c>
    </row>
    <row r="27" spans="1:15" x14ac:dyDescent="0.4">
      <c r="A27" s="15">
        <v>8</v>
      </c>
      <c r="B27" s="15" t="s">
        <v>9719</v>
      </c>
      <c r="C27" s="15" t="s">
        <v>10647</v>
      </c>
      <c r="D27" s="15" t="s">
        <v>10648</v>
      </c>
      <c r="E27" s="15" t="s">
        <v>10605</v>
      </c>
      <c r="F27" s="72" t="s">
        <v>9780</v>
      </c>
      <c r="G27" s="72" t="s">
        <v>9780</v>
      </c>
      <c r="H27" s="72" t="s">
        <v>9780</v>
      </c>
      <c r="I27" s="72">
        <v>3317141</v>
      </c>
      <c r="J27" s="15">
        <v>1548.7376936954199</v>
      </c>
      <c r="K27" s="15">
        <v>3481.4083000000001</v>
      </c>
      <c r="L27" s="15">
        <v>196.13554893521001</v>
      </c>
      <c r="M27" s="15">
        <v>1208.58807443982</v>
      </c>
      <c r="N27" s="15">
        <v>144.014070320385</v>
      </c>
      <c r="O27" s="15">
        <v>1035.0437390442701</v>
      </c>
    </row>
    <row r="28" spans="1:15" x14ac:dyDescent="0.4">
      <c r="A28" s="15">
        <v>8</v>
      </c>
      <c r="B28" s="15" t="s">
        <v>9719</v>
      </c>
      <c r="C28" s="15" t="s">
        <v>10649</v>
      </c>
      <c r="D28" s="15" t="s">
        <v>10648</v>
      </c>
      <c r="E28" s="15" t="s">
        <v>10650</v>
      </c>
      <c r="F28" s="72" t="s">
        <v>10608</v>
      </c>
      <c r="G28" s="72" t="s">
        <v>10609</v>
      </c>
      <c r="H28" s="72" t="s">
        <v>10608</v>
      </c>
      <c r="I28" s="72">
        <v>2981068</v>
      </c>
      <c r="J28" s="15">
        <v>1522.16630510908</v>
      </c>
      <c r="K28" s="15">
        <v>3128.6927000000001</v>
      </c>
      <c r="L28" s="15">
        <v>179.024618</v>
      </c>
      <c r="M28" s="15">
        <v>1343.1416871090801</v>
      </c>
      <c r="N28" s="15">
        <v>0</v>
      </c>
      <c r="O28" s="15">
        <v>857.90287462469496</v>
      </c>
    </row>
    <row r="29" spans="1:15" s="6" customFormat="1" x14ac:dyDescent="0.4">
      <c r="A29" s="15">
        <v>8</v>
      </c>
      <c r="B29" s="15" t="s">
        <v>9719</v>
      </c>
      <c r="C29" s="15" t="s">
        <v>10651</v>
      </c>
      <c r="D29" s="15" t="s">
        <v>10648</v>
      </c>
      <c r="E29" s="15" t="s">
        <v>10613</v>
      </c>
      <c r="F29" s="72" t="s">
        <v>10608</v>
      </c>
      <c r="G29" s="72" t="s">
        <v>10609</v>
      </c>
      <c r="H29" s="72" t="s">
        <v>10614</v>
      </c>
      <c r="I29" s="72">
        <v>336073</v>
      </c>
      <c r="J29" s="15">
        <v>1784.43384520938</v>
      </c>
      <c r="K29" s="15">
        <v>352.71559999999999</v>
      </c>
      <c r="L29" s="15">
        <v>347.91461600000002</v>
      </c>
      <c r="M29" s="15">
        <v>15.057349637926499</v>
      </c>
      <c r="N29" s="15">
        <v>1421.46187957145</v>
      </c>
      <c r="O29" s="15">
        <v>2606.3361042847901</v>
      </c>
    </row>
    <row r="30" spans="1:15" x14ac:dyDescent="0.4">
      <c r="A30" s="15">
        <v>9</v>
      </c>
      <c r="B30" s="15" t="s">
        <v>9719</v>
      </c>
      <c r="C30" s="15" t="s">
        <v>10652</v>
      </c>
      <c r="D30" s="15" t="s">
        <v>10653</v>
      </c>
      <c r="E30" s="15" t="s">
        <v>10605</v>
      </c>
      <c r="F30" s="72" t="s">
        <v>9780</v>
      </c>
      <c r="G30" s="72" t="s">
        <v>9780</v>
      </c>
      <c r="H30" s="72" t="s">
        <v>9780</v>
      </c>
      <c r="I30" s="72">
        <v>3317141</v>
      </c>
      <c r="J30" s="15">
        <v>1555.5745929872801</v>
      </c>
      <c r="K30" s="15">
        <v>3481.4083000000001</v>
      </c>
      <c r="L30" s="15">
        <v>208.02667171690999</v>
      </c>
      <c r="M30" s="15">
        <v>603.78956709178306</v>
      </c>
      <c r="N30" s="15">
        <v>743.75835417858696</v>
      </c>
      <c r="O30" s="15">
        <v>263.82751906338399</v>
      </c>
    </row>
    <row r="31" spans="1:15" s="6" customFormat="1" x14ac:dyDescent="0.4">
      <c r="A31" s="15">
        <v>9</v>
      </c>
      <c r="B31" s="15" t="s">
        <v>9719</v>
      </c>
      <c r="C31" s="15" t="s">
        <v>10654</v>
      </c>
      <c r="D31" s="15" t="s">
        <v>10653</v>
      </c>
      <c r="E31" s="15" t="s">
        <v>10644</v>
      </c>
      <c r="F31" s="72" t="s">
        <v>10608</v>
      </c>
      <c r="G31" s="72" t="s">
        <v>10609</v>
      </c>
      <c r="H31" s="72" t="s">
        <v>10609</v>
      </c>
      <c r="I31" s="72">
        <v>2299799</v>
      </c>
      <c r="J31" s="15">
        <v>1926.00280573737</v>
      </c>
      <c r="K31" s="15">
        <v>2413.6867999999999</v>
      </c>
      <c r="L31" s="15">
        <v>199.191245333333</v>
      </c>
      <c r="M31" s="15">
        <v>654.043334041089</v>
      </c>
      <c r="N31" s="15">
        <v>1072.7682263629499</v>
      </c>
      <c r="O31" s="15">
        <v>0</v>
      </c>
    </row>
    <row r="32" spans="1:15" x14ac:dyDescent="0.4">
      <c r="A32" s="15">
        <v>9</v>
      </c>
      <c r="B32" s="15" t="s">
        <v>9719</v>
      </c>
      <c r="C32" s="15" t="s">
        <v>10655</v>
      </c>
      <c r="D32" s="15" t="s">
        <v>10653</v>
      </c>
      <c r="E32" s="15" t="s">
        <v>10616</v>
      </c>
      <c r="F32" s="72" t="s">
        <v>10608</v>
      </c>
      <c r="G32" s="72" t="s">
        <v>10609</v>
      </c>
      <c r="H32" s="72" t="s">
        <v>10608</v>
      </c>
      <c r="I32" s="72">
        <v>1017342</v>
      </c>
      <c r="J32" s="15">
        <v>718.18610969599501</v>
      </c>
      <c r="K32" s="15">
        <v>1067.7215000000001</v>
      </c>
      <c r="L32" s="15">
        <v>228</v>
      </c>
      <c r="M32" s="15">
        <v>490.18610969599501</v>
      </c>
      <c r="N32" s="15">
        <v>0</v>
      </c>
      <c r="O32" s="15">
        <v>860.23491578625601</v>
      </c>
    </row>
    <row r="33" spans="1:15" x14ac:dyDescent="0.4">
      <c r="A33" s="15">
        <v>10</v>
      </c>
      <c r="B33" s="15" t="s">
        <v>9719</v>
      </c>
      <c r="C33" s="15" t="s">
        <v>10656</v>
      </c>
      <c r="D33" s="15" t="s">
        <v>10657</v>
      </c>
      <c r="E33" s="15" t="s">
        <v>10605</v>
      </c>
      <c r="F33" s="72" t="s">
        <v>9780</v>
      </c>
      <c r="G33" s="72" t="s">
        <v>9780</v>
      </c>
      <c r="H33" s="72" t="s">
        <v>9780</v>
      </c>
      <c r="I33" s="72">
        <v>3317141</v>
      </c>
      <c r="J33" s="15">
        <v>1604.29040775098</v>
      </c>
      <c r="K33" s="15">
        <v>3481.4083000000001</v>
      </c>
      <c r="L33" s="15">
        <v>214.83789638225801</v>
      </c>
      <c r="M33" s="15">
        <v>1303.6862884653999</v>
      </c>
      <c r="N33" s="15">
        <v>85.766222903329094</v>
      </c>
      <c r="O33" s="15">
        <v>1034.23906876044</v>
      </c>
    </row>
    <row r="34" spans="1:15" x14ac:dyDescent="0.4">
      <c r="A34" s="15">
        <v>10</v>
      </c>
      <c r="B34" s="15" t="s">
        <v>9719</v>
      </c>
      <c r="C34" s="15" t="s">
        <v>10658</v>
      </c>
      <c r="D34" s="15" t="s">
        <v>10657</v>
      </c>
      <c r="E34" s="15" t="s">
        <v>10659</v>
      </c>
      <c r="F34" s="72" t="s">
        <v>10608</v>
      </c>
      <c r="G34" s="72" t="s">
        <v>10609</v>
      </c>
      <c r="H34" s="72" t="s">
        <v>10608</v>
      </c>
      <c r="I34" s="72">
        <v>2736271</v>
      </c>
      <c r="J34" s="15">
        <v>1771.27809772058</v>
      </c>
      <c r="K34" s="15">
        <v>2871.7732000000001</v>
      </c>
      <c r="L34" s="15">
        <v>201.49030933333299</v>
      </c>
      <c r="M34" s="15">
        <v>1569.78778838725</v>
      </c>
      <c r="N34" s="15">
        <v>0</v>
      </c>
      <c r="O34" s="15">
        <v>857.90349363594896</v>
      </c>
    </row>
    <row r="35" spans="1:15" x14ac:dyDescent="0.4">
      <c r="A35" s="15">
        <v>10</v>
      </c>
      <c r="B35" s="15" t="s">
        <v>9719</v>
      </c>
      <c r="C35" s="15" t="s">
        <v>10660</v>
      </c>
      <c r="D35" s="15" t="s">
        <v>10657</v>
      </c>
      <c r="E35" s="15" t="s">
        <v>10622</v>
      </c>
      <c r="F35" s="72" t="s">
        <v>10608</v>
      </c>
      <c r="G35" s="72" t="s">
        <v>10609</v>
      </c>
      <c r="H35" s="72" t="s">
        <v>10623</v>
      </c>
      <c r="I35" s="72">
        <v>580870</v>
      </c>
      <c r="J35" s="15">
        <v>817.67104678472299</v>
      </c>
      <c r="K35" s="15">
        <v>609.63509999999997</v>
      </c>
      <c r="L35" s="15">
        <v>277.71361133333301</v>
      </c>
      <c r="M35" s="15">
        <v>50.1771713634134</v>
      </c>
      <c r="N35" s="15">
        <v>489.78026408797598</v>
      </c>
      <c r="O35" s="15">
        <v>1864.89297771209</v>
      </c>
    </row>
    <row r="36" spans="1:15" s="6" customFormat="1" x14ac:dyDescent="0.4">
      <c r="A36" s="15">
        <v>11</v>
      </c>
      <c r="B36" s="15" t="s">
        <v>9719</v>
      </c>
      <c r="C36" s="15" t="s">
        <v>10661</v>
      </c>
      <c r="D36" s="15" t="s">
        <v>10662</v>
      </c>
      <c r="E36" s="15" t="s">
        <v>10605</v>
      </c>
      <c r="F36" s="72" t="s">
        <v>9780</v>
      </c>
      <c r="G36" s="72" t="s">
        <v>9780</v>
      </c>
      <c r="H36" s="72" t="s">
        <v>9780</v>
      </c>
      <c r="I36" s="72">
        <v>3317141</v>
      </c>
      <c r="J36" s="15">
        <v>1639.6523951536999</v>
      </c>
      <c r="K36" s="15">
        <v>3481.4083000000001</v>
      </c>
      <c r="L36" s="15">
        <v>210.67808922347601</v>
      </c>
      <c r="M36" s="15">
        <v>518.914645644247</v>
      </c>
      <c r="N36" s="15">
        <v>910.05966028598198</v>
      </c>
      <c r="O36" s="15">
        <v>515.98533106294894</v>
      </c>
    </row>
    <row r="37" spans="1:15" x14ac:dyDescent="0.4">
      <c r="A37" s="15">
        <v>11</v>
      </c>
      <c r="B37" s="15" t="s">
        <v>9719</v>
      </c>
      <c r="C37" s="15" t="s">
        <v>10663</v>
      </c>
      <c r="D37" s="15" t="s">
        <v>10662</v>
      </c>
      <c r="E37" s="15" t="s">
        <v>10638</v>
      </c>
      <c r="F37" s="72" t="s">
        <v>10608</v>
      </c>
      <c r="G37" s="72" t="s">
        <v>10609</v>
      </c>
      <c r="H37" s="72" t="s">
        <v>10609</v>
      </c>
      <c r="I37" s="72">
        <v>2400198</v>
      </c>
      <c r="J37" s="15">
        <v>1555.90791816614</v>
      </c>
      <c r="K37" s="15">
        <v>2519.0576000000001</v>
      </c>
      <c r="L37" s="15">
        <v>199.12705066666601</v>
      </c>
      <c r="M37" s="15">
        <v>284.26567400866799</v>
      </c>
      <c r="N37" s="15">
        <v>1072.5151934908099</v>
      </c>
      <c r="O37" s="15">
        <v>0</v>
      </c>
    </row>
    <row r="38" spans="1:15" s="6" customFormat="1" x14ac:dyDescent="0.4">
      <c r="A38" s="15">
        <v>11</v>
      </c>
      <c r="B38" s="15" t="s">
        <v>9719</v>
      </c>
      <c r="C38" s="15" t="s">
        <v>10664</v>
      </c>
      <c r="D38" s="15" t="s">
        <v>10662</v>
      </c>
      <c r="E38" s="15" t="s">
        <v>10632</v>
      </c>
      <c r="F38" s="72" t="s">
        <v>10608</v>
      </c>
      <c r="G38" s="72" t="s">
        <v>10609</v>
      </c>
      <c r="H38" s="72" t="s">
        <v>10623</v>
      </c>
      <c r="I38" s="72">
        <v>916943</v>
      </c>
      <c r="J38" s="15">
        <v>1858.86266975893</v>
      </c>
      <c r="K38" s="15">
        <v>962.35069999999996</v>
      </c>
      <c r="L38" s="15">
        <v>240.91418866666601</v>
      </c>
      <c r="M38" s="15">
        <v>1133.1338438334201</v>
      </c>
      <c r="N38" s="15">
        <v>484.81463725885197</v>
      </c>
      <c r="O38" s="15">
        <v>1866.6330416144499</v>
      </c>
    </row>
    <row r="39" spans="1:15" x14ac:dyDescent="0.4">
      <c r="A39" s="15">
        <v>12</v>
      </c>
      <c r="B39" s="15" t="s">
        <v>9719</v>
      </c>
      <c r="C39" s="15" t="s">
        <v>10665</v>
      </c>
      <c r="D39" s="15" t="s">
        <v>10666</v>
      </c>
      <c r="E39" s="15" t="s">
        <v>10605</v>
      </c>
      <c r="F39" s="72" t="s">
        <v>9780</v>
      </c>
      <c r="G39" s="72" t="s">
        <v>9780</v>
      </c>
      <c r="H39" s="72" t="s">
        <v>9780</v>
      </c>
      <c r="I39" s="72">
        <v>3317141</v>
      </c>
      <c r="J39" s="15">
        <v>1679.96694052975</v>
      </c>
      <c r="K39" s="15">
        <v>3481.4083000000001</v>
      </c>
      <c r="L39" s="15">
        <v>229.43658175823501</v>
      </c>
      <c r="M39" s="15">
        <v>935.00437878410901</v>
      </c>
      <c r="N39" s="15">
        <v>515.52597998740896</v>
      </c>
      <c r="O39" s="15">
        <v>1806.7943044982601</v>
      </c>
    </row>
    <row r="40" spans="1:15" x14ac:dyDescent="0.4">
      <c r="A40" s="15">
        <v>12</v>
      </c>
      <c r="B40" s="15" t="s">
        <v>9719</v>
      </c>
      <c r="C40" s="15" t="s">
        <v>10667</v>
      </c>
      <c r="D40" s="15" t="s">
        <v>10666</v>
      </c>
      <c r="E40" s="15" t="s">
        <v>10668</v>
      </c>
      <c r="F40" s="72" t="s">
        <v>10608</v>
      </c>
      <c r="G40" s="72" t="s">
        <v>10609</v>
      </c>
      <c r="H40" s="72" t="s">
        <v>10623</v>
      </c>
      <c r="I40" s="72">
        <v>2544596</v>
      </c>
      <c r="J40" s="15">
        <v>1900.14498571633</v>
      </c>
      <c r="K40" s="15">
        <v>2670.6062999999999</v>
      </c>
      <c r="L40" s="15">
        <v>200.64141733333301</v>
      </c>
      <c r="M40" s="15">
        <v>1214.29721879355</v>
      </c>
      <c r="N40" s="15">
        <v>485.20634958944299</v>
      </c>
      <c r="O40" s="15">
        <v>1864.1531960052901</v>
      </c>
    </row>
    <row r="41" spans="1:15" x14ac:dyDescent="0.4">
      <c r="A41" s="15">
        <v>12</v>
      </c>
      <c r="B41" s="15" t="s">
        <v>9719</v>
      </c>
      <c r="C41" s="15" t="s">
        <v>10669</v>
      </c>
      <c r="D41" s="15" t="s">
        <v>10666</v>
      </c>
      <c r="E41" s="15" t="s">
        <v>10613</v>
      </c>
      <c r="F41" s="72" t="s">
        <v>10608</v>
      </c>
      <c r="G41" s="72" t="s">
        <v>10609</v>
      </c>
      <c r="H41" s="72" t="s">
        <v>10614</v>
      </c>
      <c r="I41" s="72">
        <v>336073</v>
      </c>
      <c r="J41" s="15">
        <v>1777.6166245070699</v>
      </c>
      <c r="K41" s="15">
        <v>352.71559999999999</v>
      </c>
      <c r="L41" s="15">
        <v>347.91461600000002</v>
      </c>
      <c r="M41" s="15">
        <v>15.074213251552999</v>
      </c>
      <c r="N41" s="15">
        <v>1414.6277952555199</v>
      </c>
      <c r="O41" s="15">
        <v>2605.3040804028101</v>
      </c>
    </row>
    <row r="42" spans="1:15" x14ac:dyDescent="0.4">
      <c r="A42" s="15">
        <v>12</v>
      </c>
      <c r="B42" s="15" t="s">
        <v>9719</v>
      </c>
      <c r="C42" s="15" t="s">
        <v>10670</v>
      </c>
      <c r="D42" s="15" t="s">
        <v>10666</v>
      </c>
      <c r="E42" s="15" t="s">
        <v>10634</v>
      </c>
      <c r="F42" s="72" t="s">
        <v>10608</v>
      </c>
      <c r="G42" s="72" t="s">
        <v>10609</v>
      </c>
      <c r="H42" s="72" t="s">
        <v>10608</v>
      </c>
      <c r="I42" s="72">
        <v>436472</v>
      </c>
      <c r="J42" s="15">
        <v>321.15899191821899</v>
      </c>
      <c r="K42" s="15">
        <v>458.08640000000003</v>
      </c>
      <c r="L42" s="15">
        <v>306.08477866666601</v>
      </c>
      <c r="M42" s="15">
        <v>15.074213251552999</v>
      </c>
      <c r="N42" s="15">
        <v>0</v>
      </c>
      <c r="O42" s="15">
        <v>857.56317313586101</v>
      </c>
    </row>
    <row r="43" spans="1:15" x14ac:dyDescent="0.4">
      <c r="A43" s="15">
        <v>13</v>
      </c>
      <c r="B43" s="15" t="s">
        <v>9719</v>
      </c>
      <c r="C43" s="15" t="s">
        <v>10671</v>
      </c>
      <c r="D43" s="15" t="s">
        <v>10672</v>
      </c>
      <c r="E43" s="15" t="s">
        <v>10605</v>
      </c>
      <c r="F43" s="72" t="s">
        <v>9780</v>
      </c>
      <c r="G43" s="72" t="s">
        <v>9780</v>
      </c>
      <c r="H43" s="72" t="s">
        <v>9780</v>
      </c>
      <c r="I43" s="72">
        <v>3317141</v>
      </c>
      <c r="J43" s="15">
        <v>1753.79115422015</v>
      </c>
      <c r="K43" s="15">
        <v>3481.4083000000001</v>
      </c>
      <c r="L43" s="15">
        <v>212.75658380833099</v>
      </c>
      <c r="M43" s="15">
        <v>1168.5636594079799</v>
      </c>
      <c r="N43" s="15">
        <v>372.47091100383102</v>
      </c>
      <c r="O43" s="15">
        <v>1629.8175667907999</v>
      </c>
    </row>
    <row r="44" spans="1:15" x14ac:dyDescent="0.4">
      <c r="A44" s="15">
        <v>13</v>
      </c>
      <c r="B44" s="15" t="s">
        <v>9719</v>
      </c>
      <c r="C44" s="15" t="s">
        <v>10673</v>
      </c>
      <c r="D44" s="15" t="s">
        <v>10672</v>
      </c>
      <c r="E44" s="15" t="s">
        <v>10668</v>
      </c>
      <c r="F44" s="72" t="s">
        <v>10608</v>
      </c>
      <c r="G44" s="72" t="s">
        <v>10609</v>
      </c>
      <c r="H44" s="72" t="s">
        <v>10623</v>
      </c>
      <c r="I44" s="72">
        <v>2544596</v>
      </c>
      <c r="J44" s="15">
        <v>1899.2929582736199</v>
      </c>
      <c r="K44" s="15">
        <v>2670.6062999999999</v>
      </c>
      <c r="L44" s="15">
        <v>200.64141733333301</v>
      </c>
      <c r="M44" s="15">
        <v>1213.09763466916</v>
      </c>
      <c r="N44" s="15">
        <v>485.553906271134</v>
      </c>
      <c r="O44" s="15">
        <v>1864.2607000758601</v>
      </c>
    </row>
    <row r="45" spans="1:15" x14ac:dyDescent="0.4">
      <c r="A45" s="15">
        <v>13</v>
      </c>
      <c r="B45" s="15" t="s">
        <v>9719</v>
      </c>
      <c r="C45" s="15" t="s">
        <v>10674</v>
      </c>
      <c r="D45" s="15" t="s">
        <v>10672</v>
      </c>
      <c r="E45" s="15" t="s">
        <v>10620</v>
      </c>
      <c r="F45" s="72" t="s">
        <v>10608</v>
      </c>
      <c r="G45" s="72" t="s">
        <v>10609</v>
      </c>
      <c r="H45" s="72" t="s">
        <v>10608</v>
      </c>
      <c r="I45" s="72">
        <v>772545</v>
      </c>
      <c r="J45" s="15">
        <v>1274.5397037222599</v>
      </c>
      <c r="K45" s="15">
        <v>810.80200000000002</v>
      </c>
      <c r="L45" s="15">
        <v>252.66131999999999</v>
      </c>
      <c r="M45" s="15">
        <v>1021.87838372226</v>
      </c>
      <c r="N45" s="15">
        <v>0</v>
      </c>
      <c r="O45" s="15">
        <v>857.61262804765295</v>
      </c>
    </row>
    <row r="46" spans="1:15" x14ac:dyDescent="0.4">
      <c r="A46" s="15">
        <v>14</v>
      </c>
      <c r="B46" s="15" t="s">
        <v>9719</v>
      </c>
      <c r="C46" s="15" t="s">
        <v>10675</v>
      </c>
      <c r="D46" s="15" t="s">
        <v>10676</v>
      </c>
      <c r="E46" s="15" t="s">
        <v>10605</v>
      </c>
      <c r="F46" s="72" t="s">
        <v>9780</v>
      </c>
      <c r="G46" s="72" t="s">
        <v>9780</v>
      </c>
      <c r="H46" s="72" t="s">
        <v>9780</v>
      </c>
      <c r="I46" s="72">
        <v>3317141</v>
      </c>
      <c r="J46" s="15">
        <v>1873.20256669232</v>
      </c>
      <c r="K46" s="15">
        <v>3481.4083000000001</v>
      </c>
      <c r="L46" s="15">
        <v>216.486649796617</v>
      </c>
      <c r="M46" s="15">
        <v>1235.1782280125001</v>
      </c>
      <c r="N46" s="15">
        <v>421.53768888320201</v>
      </c>
      <c r="O46" s="15">
        <v>1731.7451566959201</v>
      </c>
    </row>
    <row r="47" spans="1:15" s="6" customFormat="1" x14ac:dyDescent="0.4">
      <c r="A47" s="15">
        <v>14</v>
      </c>
      <c r="B47" s="15" t="s">
        <v>9719</v>
      </c>
      <c r="C47" s="15" t="s">
        <v>10677</v>
      </c>
      <c r="D47" s="15" t="s">
        <v>10676</v>
      </c>
      <c r="E47" s="15" t="s">
        <v>10678</v>
      </c>
      <c r="F47" s="72" t="s">
        <v>10608</v>
      </c>
      <c r="G47" s="72" t="s">
        <v>10609</v>
      </c>
      <c r="H47" s="72" t="s">
        <v>10623</v>
      </c>
      <c r="I47" s="72">
        <v>2880669</v>
      </c>
      <c r="J47" s="15">
        <v>2108.3671869290201</v>
      </c>
      <c r="K47" s="15">
        <v>3023.3218999999999</v>
      </c>
      <c r="L47" s="15">
        <v>202.91095866666601</v>
      </c>
      <c r="M47" s="15">
        <v>1420.0481713694301</v>
      </c>
      <c r="N47" s="15">
        <v>485.40805689291602</v>
      </c>
      <c r="O47" s="15">
        <v>1864.19609967613</v>
      </c>
    </row>
    <row r="48" spans="1:15" x14ac:dyDescent="0.4">
      <c r="A48" s="15">
        <v>14</v>
      </c>
      <c r="B48" s="15" t="s">
        <v>9719</v>
      </c>
      <c r="C48" s="15" t="s">
        <v>10679</v>
      </c>
      <c r="D48" s="15" t="s">
        <v>10676</v>
      </c>
      <c r="E48" s="15" t="s">
        <v>10634</v>
      </c>
      <c r="F48" s="72" t="s">
        <v>10608</v>
      </c>
      <c r="G48" s="72" t="s">
        <v>10609</v>
      </c>
      <c r="H48" s="72" t="s">
        <v>10608</v>
      </c>
      <c r="I48" s="72">
        <v>436472</v>
      </c>
      <c r="J48" s="15">
        <v>321.14088909881298</v>
      </c>
      <c r="K48" s="15">
        <v>458.08640000000003</v>
      </c>
      <c r="L48" s="15">
        <v>306.08477866666601</v>
      </c>
      <c r="M48" s="15">
        <v>15.0561104321463</v>
      </c>
      <c r="N48" s="15">
        <v>0</v>
      </c>
      <c r="O48" s="15">
        <v>857.58291003740896</v>
      </c>
    </row>
    <row r="49" spans="6:9" x14ac:dyDescent="0.4">
      <c r="F49" s="72"/>
      <c r="G49" s="72"/>
      <c r="H49" s="72"/>
      <c r="I49" s="72"/>
    </row>
    <row r="50" spans="6:9" x14ac:dyDescent="0.4">
      <c r="F50" s="72"/>
      <c r="G50" s="72"/>
      <c r="H50" s="72"/>
      <c r="I50" s="72"/>
    </row>
    <row r="51" spans="6:9" x14ac:dyDescent="0.4">
      <c r="F51" s="72"/>
      <c r="G51" s="72"/>
      <c r="H51" s="72"/>
      <c r="I51" s="72"/>
    </row>
    <row r="52" spans="6:9" x14ac:dyDescent="0.4">
      <c r="F52" s="72"/>
      <c r="G52" s="72"/>
      <c r="H52" s="72"/>
      <c r="I52" s="72"/>
    </row>
    <row r="53" spans="6:9" x14ac:dyDescent="0.4">
      <c r="F53" s="72"/>
      <c r="G53" s="72"/>
      <c r="H53" s="72"/>
      <c r="I53" s="72"/>
    </row>
    <row r="54" spans="6:9" x14ac:dyDescent="0.4">
      <c r="F54" s="72"/>
      <c r="G54" s="72"/>
      <c r="H54" s="72"/>
      <c r="I54" s="72"/>
    </row>
    <row r="55" spans="6:9" x14ac:dyDescent="0.4">
      <c r="F55" s="72"/>
      <c r="G55" s="72"/>
      <c r="H55" s="72"/>
      <c r="I55" s="72"/>
    </row>
    <row r="56" spans="6:9" x14ac:dyDescent="0.4">
      <c r="F56" s="72"/>
      <c r="G56" s="72"/>
      <c r="H56" s="72"/>
      <c r="I56" s="72"/>
    </row>
    <row r="57" spans="6:9" x14ac:dyDescent="0.4">
      <c r="F57" s="72"/>
      <c r="G57" s="72"/>
      <c r="H57" s="72"/>
      <c r="I57" s="72"/>
    </row>
    <row r="58" spans="6:9" x14ac:dyDescent="0.4">
      <c r="F58" s="72"/>
      <c r="G58" s="72"/>
      <c r="H58" s="72"/>
      <c r="I58" s="72"/>
    </row>
    <row r="59" spans="6:9" x14ac:dyDescent="0.4">
      <c r="F59" s="72"/>
      <c r="G59" s="72"/>
      <c r="H59" s="72"/>
      <c r="I59" s="72"/>
    </row>
    <row r="60" spans="6:9" x14ac:dyDescent="0.4">
      <c r="F60" s="72"/>
      <c r="G60" s="72"/>
      <c r="H60" s="72"/>
      <c r="I60" s="72"/>
    </row>
    <row r="61" spans="6:9" x14ac:dyDescent="0.4">
      <c r="F61" s="72"/>
      <c r="G61" s="72"/>
      <c r="H61" s="72"/>
      <c r="I61" s="72"/>
    </row>
    <row r="62" spans="6:9" x14ac:dyDescent="0.4">
      <c r="F62" s="72"/>
      <c r="G62" s="72"/>
      <c r="H62" s="72"/>
      <c r="I62" s="72"/>
    </row>
    <row r="63" spans="6:9" x14ac:dyDescent="0.4">
      <c r="F63" s="72"/>
      <c r="G63" s="72"/>
      <c r="H63" s="72"/>
      <c r="I63" s="72"/>
    </row>
    <row r="64" spans="6:9" x14ac:dyDescent="0.4">
      <c r="F64" s="72"/>
      <c r="G64" s="72"/>
      <c r="H64" s="72"/>
      <c r="I64" s="72"/>
    </row>
    <row r="65" spans="6:9" x14ac:dyDescent="0.4">
      <c r="F65" s="72"/>
      <c r="G65" s="72"/>
      <c r="H65" s="72"/>
      <c r="I65" s="72"/>
    </row>
    <row r="66" spans="6:9" x14ac:dyDescent="0.4">
      <c r="F66" s="72"/>
      <c r="G66" s="72"/>
      <c r="H66" s="72"/>
      <c r="I66" s="72"/>
    </row>
    <row r="67" spans="6:9" x14ac:dyDescent="0.4">
      <c r="F67" s="72"/>
      <c r="G67" s="72"/>
      <c r="H67" s="72"/>
      <c r="I67" s="72"/>
    </row>
    <row r="68" spans="6:9" x14ac:dyDescent="0.4">
      <c r="F68" s="72"/>
      <c r="G68" s="72"/>
      <c r="H68" s="72"/>
      <c r="I68" s="72"/>
    </row>
    <row r="69" spans="6:9" x14ac:dyDescent="0.4">
      <c r="F69" s="72"/>
      <c r="G69" s="72"/>
      <c r="H69" s="72"/>
      <c r="I69" s="72"/>
    </row>
    <row r="70" spans="6:9" x14ac:dyDescent="0.4">
      <c r="F70" s="72"/>
      <c r="G70" s="72"/>
      <c r="H70" s="72"/>
      <c r="I70" s="72"/>
    </row>
    <row r="71" spans="6:9" x14ac:dyDescent="0.4">
      <c r="F71" s="72"/>
      <c r="G71" s="72"/>
      <c r="H71" s="72"/>
      <c r="I71" s="72"/>
    </row>
    <row r="72" spans="6:9" x14ac:dyDescent="0.4">
      <c r="F72" s="72"/>
      <c r="G72" s="72"/>
      <c r="H72" s="72"/>
      <c r="I72" s="72"/>
    </row>
    <row r="73" spans="6:9" x14ac:dyDescent="0.4">
      <c r="F73" s="72"/>
      <c r="G73" s="72"/>
      <c r="H73" s="72"/>
      <c r="I73" s="72"/>
    </row>
    <row r="74" spans="6:9" x14ac:dyDescent="0.4">
      <c r="F74" s="72"/>
      <c r="G74" s="72"/>
      <c r="H74" s="72"/>
      <c r="I74" s="72"/>
    </row>
    <row r="75" spans="6:9" x14ac:dyDescent="0.4">
      <c r="F75" s="72"/>
      <c r="G75" s="72"/>
      <c r="H75" s="72"/>
      <c r="I75" s="72"/>
    </row>
    <row r="76" spans="6:9" x14ac:dyDescent="0.4">
      <c r="F76" s="72"/>
      <c r="G76" s="72"/>
      <c r="H76" s="72"/>
      <c r="I76" s="72"/>
    </row>
    <row r="77" spans="6:9" x14ac:dyDescent="0.4">
      <c r="F77" s="72"/>
      <c r="G77" s="72"/>
      <c r="H77" s="72"/>
      <c r="I77" s="72"/>
    </row>
    <row r="78" spans="6:9" x14ac:dyDescent="0.4">
      <c r="F78" s="72"/>
      <c r="G78" s="72"/>
      <c r="H78" s="72"/>
      <c r="I78" s="72"/>
    </row>
    <row r="79" spans="6:9" x14ac:dyDescent="0.4">
      <c r="F79" s="72"/>
      <c r="G79" s="72"/>
      <c r="H79" s="72"/>
      <c r="I79" s="72"/>
    </row>
    <row r="80" spans="6:9" x14ac:dyDescent="0.4">
      <c r="F80" s="72"/>
      <c r="G80" s="72"/>
      <c r="H80" s="72"/>
      <c r="I80" s="72"/>
    </row>
    <row r="81" spans="1:15" x14ac:dyDescent="0.4">
      <c r="F81" s="72"/>
      <c r="G81" s="72"/>
      <c r="H81" s="72"/>
      <c r="I81" s="72"/>
    </row>
    <row r="82" spans="1:15" x14ac:dyDescent="0.4">
      <c r="F82" s="72"/>
      <c r="G82" s="72"/>
      <c r="H82" s="72"/>
      <c r="I82" s="72"/>
    </row>
    <row r="83" spans="1:15" x14ac:dyDescent="0.4">
      <c r="F83" s="72"/>
      <c r="G83" s="72"/>
      <c r="H83" s="72"/>
      <c r="I83" s="72"/>
    </row>
    <row r="84" spans="1:15" x14ac:dyDescent="0.4">
      <c r="F84" s="72"/>
      <c r="G84" s="72"/>
      <c r="H84" s="72"/>
      <c r="I84" s="72"/>
    </row>
    <row r="85" spans="1:15" x14ac:dyDescent="0.4">
      <c r="F85" s="72"/>
      <c r="G85" s="72"/>
      <c r="H85" s="72"/>
      <c r="I85" s="72"/>
    </row>
    <row r="86" spans="1:15" x14ac:dyDescent="0.4">
      <c r="F86" s="72"/>
      <c r="G86" s="72"/>
      <c r="H86" s="72"/>
      <c r="I86" s="72"/>
    </row>
    <row r="87" spans="1:15" x14ac:dyDescent="0.4">
      <c r="F87" s="72"/>
      <c r="G87" s="72"/>
      <c r="H87" s="72"/>
      <c r="I87" s="72"/>
    </row>
    <row r="88" spans="1:15" x14ac:dyDescent="0.4">
      <c r="F88" s="72"/>
      <c r="G88" s="72"/>
      <c r="H88" s="72"/>
      <c r="I88" s="72"/>
    </row>
    <row r="89" spans="1:15" x14ac:dyDescent="0.4">
      <c r="F89" s="72"/>
      <c r="G89" s="72"/>
      <c r="H89" s="72"/>
      <c r="I89" s="72"/>
    </row>
    <row r="90" spans="1:15" s="6" customFormat="1" x14ac:dyDescent="0.4">
      <c r="A90" s="71"/>
      <c r="B90" s="71"/>
      <c r="C90" s="71"/>
      <c r="D90" s="71"/>
      <c r="E90" s="71"/>
      <c r="F90" s="73"/>
      <c r="G90" s="73"/>
      <c r="H90" s="73"/>
      <c r="I90" s="73"/>
      <c r="J90" s="71"/>
      <c r="K90" s="71"/>
      <c r="L90" s="71"/>
      <c r="M90" s="71"/>
      <c r="N90" s="71"/>
      <c r="O90" s="71"/>
    </row>
    <row r="91" spans="1:15" x14ac:dyDescent="0.4">
      <c r="F91" s="72"/>
      <c r="G91" s="72"/>
      <c r="H91" s="72"/>
      <c r="I91" s="72"/>
    </row>
    <row r="92" spans="1:15" x14ac:dyDescent="0.4">
      <c r="F92" s="72"/>
      <c r="G92" s="72"/>
      <c r="H92" s="72"/>
      <c r="I92" s="72"/>
    </row>
    <row r="93" spans="1:15" x14ac:dyDescent="0.4">
      <c r="F93" s="72"/>
      <c r="G93" s="72"/>
      <c r="H93" s="72"/>
      <c r="I93" s="72"/>
    </row>
    <row r="94" spans="1:15" x14ac:dyDescent="0.4">
      <c r="F94" s="72"/>
      <c r="G94" s="72"/>
      <c r="H94" s="72"/>
    </row>
    <row r="95" spans="1:15" x14ac:dyDescent="0.4">
      <c r="F95" s="72"/>
      <c r="G95" s="72"/>
      <c r="H95" s="72"/>
      <c r="I95" s="72"/>
    </row>
    <row r="96" spans="1:15" x14ac:dyDescent="0.4">
      <c r="F96" s="72"/>
      <c r="G96" s="72"/>
      <c r="H96" s="72"/>
      <c r="I96" s="72"/>
    </row>
    <row r="97" spans="1:15" x14ac:dyDescent="0.4">
      <c r="F97" s="72"/>
      <c r="G97" s="72"/>
      <c r="H97" s="72"/>
      <c r="I97" s="72"/>
    </row>
    <row r="98" spans="1:15" x14ac:dyDescent="0.4">
      <c r="F98" s="72"/>
      <c r="G98" s="72"/>
      <c r="H98" s="72"/>
      <c r="I98" s="72"/>
    </row>
    <row r="99" spans="1:15" x14ac:dyDescent="0.4">
      <c r="F99" s="72"/>
      <c r="G99" s="72"/>
      <c r="H99" s="72"/>
    </row>
    <row r="100" spans="1:15" x14ac:dyDescent="0.4">
      <c r="F100" s="72"/>
      <c r="G100" s="72"/>
      <c r="H100" s="72"/>
      <c r="I100" s="72"/>
    </row>
    <row r="101" spans="1:15" x14ac:dyDescent="0.4">
      <c r="F101" s="72"/>
      <c r="G101" s="72"/>
      <c r="H101" s="72"/>
      <c r="I101" s="72"/>
    </row>
    <row r="102" spans="1:15" x14ac:dyDescent="0.4">
      <c r="F102" s="72"/>
      <c r="G102" s="72"/>
      <c r="H102" s="72"/>
      <c r="I102" s="72"/>
    </row>
    <row r="103" spans="1:15" x14ac:dyDescent="0.4">
      <c r="F103" s="72"/>
      <c r="G103" s="72"/>
      <c r="H103" s="72"/>
      <c r="I103" s="72"/>
    </row>
    <row r="104" spans="1:15" s="6" customFormat="1" x14ac:dyDescent="0.4">
      <c r="A104" s="71"/>
      <c r="B104" s="71"/>
      <c r="C104" s="71"/>
      <c r="D104" s="71"/>
      <c r="E104" s="71"/>
      <c r="F104" s="73"/>
      <c r="G104" s="73"/>
      <c r="H104" s="73"/>
      <c r="I104" s="73"/>
      <c r="J104" s="71"/>
      <c r="K104" s="71"/>
      <c r="L104" s="71"/>
      <c r="M104" s="71"/>
      <c r="N104" s="71"/>
      <c r="O104" s="71"/>
    </row>
    <row r="105" spans="1:15" x14ac:dyDescent="0.4">
      <c r="F105" s="72"/>
      <c r="G105" s="72"/>
      <c r="H105" s="72"/>
    </row>
    <row r="106" spans="1:15" x14ac:dyDescent="0.4">
      <c r="F106" s="72"/>
      <c r="G106" s="72"/>
      <c r="H106" s="72"/>
      <c r="I106" s="72"/>
    </row>
    <row r="107" spans="1:15" s="6" customFormat="1" x14ac:dyDescent="0.4">
      <c r="A107" s="71"/>
      <c r="B107" s="71"/>
      <c r="C107" s="71"/>
      <c r="D107" s="71"/>
      <c r="E107" s="71"/>
      <c r="F107" s="73"/>
      <c r="G107" s="73"/>
      <c r="H107" s="73"/>
      <c r="I107" s="73"/>
      <c r="J107" s="71"/>
      <c r="K107" s="71"/>
      <c r="L107" s="71"/>
      <c r="M107" s="71"/>
      <c r="N107" s="71"/>
      <c r="O107" s="71"/>
    </row>
    <row r="108" spans="1:15" x14ac:dyDescent="0.4">
      <c r="F108" s="72"/>
      <c r="G108" s="72"/>
      <c r="H108" s="72"/>
      <c r="I108" s="72"/>
    </row>
    <row r="109" spans="1:15" x14ac:dyDescent="0.4">
      <c r="F109" s="72"/>
      <c r="G109" s="72"/>
      <c r="H109" s="72"/>
      <c r="I109" s="72"/>
    </row>
    <row r="110" spans="1:15" x14ac:dyDescent="0.4">
      <c r="F110" s="72"/>
      <c r="G110" s="72"/>
      <c r="H110" s="72"/>
      <c r="I110" s="72"/>
    </row>
    <row r="111" spans="1:15" x14ac:dyDescent="0.4">
      <c r="F111" s="72"/>
      <c r="G111" s="72"/>
      <c r="H111" s="72"/>
    </row>
    <row r="112" spans="1:15" x14ac:dyDescent="0.4">
      <c r="F112" s="72"/>
      <c r="G112" s="72"/>
      <c r="H112" s="72"/>
      <c r="I112" s="72"/>
    </row>
    <row r="113" spans="1:15" x14ac:dyDescent="0.4">
      <c r="F113" s="72"/>
      <c r="G113" s="72"/>
      <c r="H113" s="72"/>
      <c r="I113" s="72"/>
    </row>
    <row r="114" spans="1:15" x14ac:dyDescent="0.4">
      <c r="F114" s="72"/>
      <c r="G114" s="72"/>
      <c r="H114" s="72"/>
      <c r="I114" s="72"/>
    </row>
    <row r="115" spans="1:15" x14ac:dyDescent="0.4">
      <c r="F115" s="72"/>
      <c r="G115" s="72"/>
      <c r="H115" s="72"/>
      <c r="I115" s="72"/>
    </row>
    <row r="116" spans="1:15" x14ac:dyDescent="0.4">
      <c r="F116" s="72"/>
      <c r="G116" s="72"/>
      <c r="H116" s="72"/>
      <c r="I116" s="72"/>
    </row>
    <row r="117" spans="1:15" x14ac:dyDescent="0.4">
      <c r="F117" s="72"/>
      <c r="G117" s="72"/>
      <c r="H117" s="72"/>
    </row>
    <row r="118" spans="1:15" x14ac:dyDescent="0.4">
      <c r="F118" s="72"/>
      <c r="G118" s="72"/>
      <c r="H118" s="72"/>
      <c r="I118" s="72"/>
    </row>
    <row r="119" spans="1:15" x14ac:dyDescent="0.4">
      <c r="F119" s="72"/>
      <c r="G119" s="72"/>
      <c r="H119" s="72"/>
      <c r="I119" s="72"/>
    </row>
    <row r="120" spans="1:15" x14ac:dyDescent="0.4">
      <c r="F120" s="72"/>
      <c r="G120" s="72"/>
      <c r="H120" s="72"/>
      <c r="I120" s="72"/>
    </row>
    <row r="121" spans="1:15" x14ac:dyDescent="0.4">
      <c r="F121" s="72"/>
      <c r="G121" s="72"/>
      <c r="H121" s="72"/>
      <c r="I121" s="72"/>
    </row>
    <row r="122" spans="1:15" x14ac:dyDescent="0.4">
      <c r="F122" s="72"/>
      <c r="G122" s="72"/>
      <c r="H122" s="72"/>
      <c r="I122" s="72"/>
    </row>
    <row r="123" spans="1:15" x14ac:dyDescent="0.4">
      <c r="F123" s="72"/>
      <c r="G123" s="72"/>
      <c r="H123" s="72"/>
    </row>
    <row r="124" spans="1:15" s="6" customFormat="1" x14ac:dyDescent="0.4">
      <c r="A124" s="71"/>
      <c r="B124" s="71"/>
      <c r="C124" s="71"/>
      <c r="D124" s="71"/>
      <c r="E124" s="71"/>
      <c r="F124" s="73"/>
      <c r="G124" s="73"/>
      <c r="H124" s="73"/>
      <c r="I124" s="73"/>
      <c r="J124" s="71"/>
      <c r="K124" s="71"/>
      <c r="L124" s="71"/>
      <c r="M124" s="71"/>
      <c r="N124" s="71"/>
      <c r="O124" s="71"/>
    </row>
    <row r="125" spans="1:15" x14ac:dyDescent="0.4">
      <c r="F125" s="72"/>
      <c r="G125" s="72"/>
      <c r="H125" s="72"/>
      <c r="I125" s="72"/>
    </row>
    <row r="126" spans="1:15" x14ac:dyDescent="0.4">
      <c r="F126" s="72"/>
      <c r="G126" s="72"/>
      <c r="H126" s="72"/>
      <c r="I126" s="72"/>
    </row>
    <row r="127" spans="1:15" x14ac:dyDescent="0.4">
      <c r="F127" s="72"/>
      <c r="G127" s="72"/>
      <c r="H127" s="72"/>
      <c r="I127" s="72"/>
    </row>
    <row r="128" spans="1:15" x14ac:dyDescent="0.4">
      <c r="F128" s="72"/>
      <c r="G128" s="72"/>
      <c r="H128" s="72"/>
      <c r="I128" s="72"/>
    </row>
    <row r="129" spans="1:15" x14ac:dyDescent="0.4">
      <c r="F129" s="72"/>
      <c r="G129" s="72"/>
      <c r="H129" s="72"/>
    </row>
    <row r="130" spans="1:15" x14ac:dyDescent="0.4">
      <c r="F130" s="72"/>
      <c r="G130" s="72"/>
      <c r="H130" s="72"/>
      <c r="I130" s="72"/>
    </row>
    <row r="131" spans="1:15" x14ac:dyDescent="0.4">
      <c r="F131" s="72"/>
      <c r="G131" s="72"/>
      <c r="H131" s="72"/>
      <c r="I131" s="72"/>
    </row>
    <row r="132" spans="1:15" x14ac:dyDescent="0.4">
      <c r="F132" s="72"/>
      <c r="G132" s="72"/>
      <c r="H132" s="72"/>
      <c r="I132" s="72"/>
    </row>
    <row r="133" spans="1:15" x14ac:dyDescent="0.4">
      <c r="F133" s="72"/>
      <c r="G133" s="72"/>
      <c r="H133" s="72"/>
      <c r="I133" s="72"/>
    </row>
    <row r="134" spans="1:15" x14ac:dyDescent="0.4">
      <c r="F134" s="72"/>
      <c r="G134" s="72"/>
      <c r="H134" s="72"/>
      <c r="I134" s="72"/>
    </row>
    <row r="135" spans="1:15" x14ac:dyDescent="0.4">
      <c r="F135" s="72"/>
      <c r="G135" s="72"/>
      <c r="H135" s="72"/>
    </row>
    <row r="136" spans="1:15" x14ac:dyDescent="0.4">
      <c r="F136" s="72"/>
      <c r="G136" s="72"/>
      <c r="H136" s="72"/>
      <c r="I136" s="72"/>
    </row>
    <row r="137" spans="1:15" x14ac:dyDescent="0.4">
      <c r="F137" s="72"/>
      <c r="G137" s="72"/>
      <c r="H137" s="72"/>
      <c r="I137" s="72"/>
    </row>
    <row r="138" spans="1:15" x14ac:dyDescent="0.4">
      <c r="F138" s="72"/>
      <c r="G138" s="72"/>
      <c r="H138" s="72"/>
      <c r="I138" s="72"/>
    </row>
    <row r="139" spans="1:15" x14ac:dyDescent="0.4">
      <c r="F139" s="72"/>
      <c r="G139" s="72"/>
      <c r="H139" s="72"/>
      <c r="I139" s="72"/>
    </row>
    <row r="140" spans="1:15" x14ac:dyDescent="0.4">
      <c r="F140" s="72"/>
      <c r="G140" s="72"/>
      <c r="H140" s="72"/>
      <c r="I140" s="72"/>
    </row>
    <row r="141" spans="1:15" s="6" customFormat="1" x14ac:dyDescent="0.4">
      <c r="A141" s="71"/>
      <c r="B141" s="71"/>
      <c r="C141" s="71"/>
      <c r="D141" s="71"/>
      <c r="E141" s="71"/>
      <c r="F141" s="73"/>
      <c r="G141" s="73"/>
      <c r="H141" s="73"/>
      <c r="I141" s="73"/>
      <c r="J141" s="71"/>
      <c r="K141" s="71"/>
      <c r="L141" s="71"/>
      <c r="M141" s="71"/>
      <c r="N141" s="71"/>
      <c r="O141" s="71"/>
    </row>
    <row r="142" spans="1:15" x14ac:dyDescent="0.4">
      <c r="F142" s="72"/>
      <c r="G142" s="72"/>
      <c r="H142" s="72"/>
    </row>
    <row r="143" spans="1:15" x14ac:dyDescent="0.4">
      <c r="F143" s="72"/>
      <c r="G143" s="72"/>
      <c r="H143" s="72"/>
    </row>
    <row r="144" spans="1:15" x14ac:dyDescent="0.4">
      <c r="F144" s="72"/>
      <c r="G144" s="72"/>
      <c r="H144" s="72"/>
    </row>
    <row r="145" spans="1:15" x14ac:dyDescent="0.4">
      <c r="F145" s="72"/>
      <c r="G145" s="72"/>
      <c r="H145" s="72"/>
    </row>
    <row r="146" spans="1:15" x14ac:dyDescent="0.4">
      <c r="F146" s="72"/>
      <c r="G146" s="72"/>
      <c r="H146" s="72"/>
    </row>
    <row r="147" spans="1:15" x14ac:dyDescent="0.4">
      <c r="F147" s="72"/>
      <c r="G147" s="72"/>
      <c r="H147" s="72"/>
    </row>
    <row r="148" spans="1:15" x14ac:dyDescent="0.4">
      <c r="F148" s="72"/>
      <c r="G148" s="72"/>
      <c r="H148" s="72"/>
    </row>
    <row r="149" spans="1:15" x14ac:dyDescent="0.4">
      <c r="F149" s="72"/>
      <c r="G149" s="72"/>
      <c r="H149" s="72"/>
    </row>
    <row r="150" spans="1:15" x14ac:dyDescent="0.4">
      <c r="F150" s="72"/>
      <c r="G150" s="72"/>
      <c r="H150" s="72"/>
    </row>
    <row r="151" spans="1:15" x14ac:dyDescent="0.4">
      <c r="F151" s="72"/>
      <c r="G151" s="72"/>
      <c r="H151" s="72"/>
    </row>
    <row r="152" spans="1:15" x14ac:dyDescent="0.4">
      <c r="F152" s="72"/>
      <c r="G152" s="72"/>
      <c r="H152" s="72"/>
    </row>
    <row r="153" spans="1:15" x14ac:dyDescent="0.4">
      <c r="F153" s="72"/>
      <c r="G153" s="72"/>
      <c r="H153" s="72"/>
    </row>
    <row r="154" spans="1:15" x14ac:dyDescent="0.4">
      <c r="F154" s="72"/>
      <c r="G154" s="72"/>
      <c r="H154" s="72"/>
    </row>
    <row r="155" spans="1:15" x14ac:dyDescent="0.4">
      <c r="F155" s="72"/>
      <c r="G155" s="72"/>
      <c r="H155" s="72"/>
    </row>
    <row r="156" spans="1:15" x14ac:dyDescent="0.4">
      <c r="F156" s="72"/>
      <c r="G156" s="72"/>
      <c r="H156" s="72"/>
    </row>
    <row r="157" spans="1:15" x14ac:dyDescent="0.4">
      <c r="F157" s="72"/>
      <c r="G157" s="72"/>
      <c r="H157" s="72"/>
    </row>
    <row r="158" spans="1:15" s="6" customFormat="1" x14ac:dyDescent="0.4">
      <c r="A158" s="71"/>
      <c r="B158" s="71"/>
      <c r="C158" s="71"/>
      <c r="D158" s="71"/>
      <c r="E158" s="71"/>
      <c r="F158" s="73"/>
      <c r="G158" s="73"/>
      <c r="H158" s="73"/>
      <c r="I158" s="71"/>
      <c r="J158" s="71"/>
      <c r="K158" s="71"/>
      <c r="L158" s="71"/>
      <c r="M158" s="71"/>
      <c r="N158" s="71"/>
      <c r="O158" s="71"/>
    </row>
    <row r="159" spans="1:15" x14ac:dyDescent="0.4">
      <c r="F159" s="72"/>
      <c r="G159" s="72"/>
      <c r="H159" s="72"/>
    </row>
    <row r="160" spans="1:15" x14ac:dyDescent="0.4">
      <c r="F160" s="72"/>
      <c r="G160" s="72"/>
      <c r="H160" s="72"/>
    </row>
    <row r="161" spans="6:8" x14ac:dyDescent="0.4">
      <c r="F161" s="72"/>
      <c r="G161" s="72"/>
      <c r="H161" s="72"/>
    </row>
    <row r="162" spans="6:8" x14ac:dyDescent="0.4">
      <c r="F162" s="72"/>
      <c r="G162" s="72"/>
      <c r="H162" s="72"/>
    </row>
    <row r="163" spans="6:8" x14ac:dyDescent="0.4">
      <c r="F163" s="72"/>
      <c r="G163" s="72"/>
      <c r="H163" s="72"/>
    </row>
    <row r="164" spans="6:8" x14ac:dyDescent="0.4">
      <c r="F164" s="72"/>
      <c r="G164" s="72"/>
      <c r="H164" s="72"/>
    </row>
    <row r="165" spans="6:8" x14ac:dyDescent="0.4">
      <c r="F165" s="72"/>
      <c r="G165" s="72"/>
      <c r="H165" s="72"/>
    </row>
    <row r="166" spans="6:8" x14ac:dyDescent="0.4">
      <c r="F166" s="72"/>
      <c r="G166" s="72"/>
      <c r="H166" s="72"/>
    </row>
    <row r="167" spans="6:8" x14ac:dyDescent="0.4">
      <c r="F167" s="72"/>
      <c r="G167" s="72"/>
      <c r="H167" s="72"/>
    </row>
    <row r="168" spans="6:8" x14ac:dyDescent="0.4">
      <c r="F168" s="72"/>
      <c r="G168" s="72"/>
      <c r="H168" s="72"/>
    </row>
    <row r="169" spans="6:8" x14ac:dyDescent="0.4">
      <c r="F169" s="72"/>
      <c r="G169" s="72"/>
      <c r="H169" s="72"/>
    </row>
    <row r="170" spans="6:8" x14ac:dyDescent="0.4">
      <c r="F170" s="72"/>
      <c r="G170" s="72"/>
      <c r="H170" s="72"/>
    </row>
    <row r="171" spans="6:8" x14ac:dyDescent="0.4">
      <c r="F171" s="72"/>
      <c r="G171" s="72"/>
      <c r="H171" s="72"/>
    </row>
    <row r="172" spans="6:8" x14ac:dyDescent="0.4">
      <c r="F172" s="72"/>
      <c r="G172" s="72"/>
      <c r="H172" s="72"/>
    </row>
    <row r="173" spans="6:8" x14ac:dyDescent="0.4">
      <c r="F173" s="72"/>
      <c r="G173" s="72"/>
      <c r="H173" s="72"/>
    </row>
    <row r="174" spans="6:8" x14ac:dyDescent="0.4">
      <c r="F174" s="72"/>
      <c r="G174" s="72"/>
      <c r="H174" s="72"/>
    </row>
    <row r="175" spans="6:8" x14ac:dyDescent="0.4">
      <c r="F175" s="72"/>
      <c r="G175" s="72"/>
      <c r="H175" s="72"/>
    </row>
    <row r="176" spans="6:8" x14ac:dyDescent="0.4">
      <c r="F176" s="72"/>
      <c r="G176" s="72"/>
      <c r="H176" s="72"/>
    </row>
    <row r="177" spans="6:8" x14ac:dyDescent="0.4">
      <c r="F177" s="72"/>
      <c r="G177" s="72"/>
      <c r="H177" s="72"/>
    </row>
    <row r="178" spans="6:8" x14ac:dyDescent="0.4">
      <c r="F178" s="72"/>
      <c r="G178" s="72"/>
      <c r="H178" s="72"/>
    </row>
    <row r="179" spans="6:8" x14ac:dyDescent="0.4">
      <c r="F179" s="72"/>
      <c r="G179" s="72"/>
      <c r="H179" s="72"/>
    </row>
    <row r="180" spans="6:8" x14ac:dyDescent="0.4">
      <c r="F180" s="72"/>
      <c r="G180" s="72"/>
      <c r="H180" s="72"/>
    </row>
    <row r="181" spans="6:8" x14ac:dyDescent="0.4">
      <c r="F181" s="72"/>
      <c r="G181" s="72"/>
      <c r="H181" s="72"/>
    </row>
    <row r="182" spans="6:8" x14ac:dyDescent="0.4">
      <c r="F182" s="72"/>
      <c r="G182" s="72"/>
      <c r="H182" s="72"/>
    </row>
    <row r="183" spans="6:8" x14ac:dyDescent="0.4">
      <c r="F183" s="72"/>
      <c r="G183" s="72"/>
      <c r="H183" s="72"/>
    </row>
    <row r="184" spans="6:8" x14ac:dyDescent="0.4">
      <c r="F184" s="72"/>
      <c r="G184" s="72"/>
      <c r="H184" s="72"/>
    </row>
    <row r="185" spans="6:8" x14ac:dyDescent="0.4">
      <c r="F185" s="72"/>
      <c r="G185" s="72"/>
      <c r="H185" s="72"/>
    </row>
    <row r="186" spans="6:8" x14ac:dyDescent="0.4">
      <c r="F186" s="72"/>
      <c r="G186" s="72"/>
      <c r="H186" s="72"/>
    </row>
    <row r="187" spans="6:8" x14ac:dyDescent="0.4">
      <c r="F187" s="72"/>
      <c r="G187" s="72"/>
      <c r="H187" s="72"/>
    </row>
    <row r="188" spans="6:8" x14ac:dyDescent="0.4">
      <c r="F188" s="72"/>
      <c r="G188" s="72"/>
      <c r="H188" s="72"/>
    </row>
    <row r="189" spans="6:8" x14ac:dyDescent="0.4">
      <c r="F189" s="72"/>
      <c r="G189" s="72"/>
      <c r="H189" s="72"/>
    </row>
    <row r="190" spans="6:8" x14ac:dyDescent="0.4">
      <c r="F190" s="72"/>
      <c r="G190" s="72"/>
      <c r="H190" s="72"/>
    </row>
    <row r="191" spans="6:8" x14ac:dyDescent="0.4">
      <c r="F191" s="72"/>
      <c r="G191" s="72"/>
      <c r="H191" s="72"/>
    </row>
    <row r="192" spans="6:8" x14ac:dyDescent="0.4">
      <c r="F192" s="72"/>
      <c r="G192" s="72"/>
      <c r="H192" s="72"/>
    </row>
    <row r="193" spans="6:8" x14ac:dyDescent="0.4">
      <c r="F193" s="72"/>
      <c r="G193" s="72"/>
      <c r="H193" s="72"/>
    </row>
    <row r="194" spans="6:8" x14ac:dyDescent="0.4">
      <c r="F194" s="72"/>
      <c r="G194" s="72"/>
      <c r="H194" s="72"/>
    </row>
    <row r="195" spans="6:8" x14ac:dyDescent="0.4">
      <c r="F195" s="72"/>
      <c r="G195" s="72"/>
      <c r="H195" s="72"/>
    </row>
    <row r="196" spans="6:8" x14ac:dyDescent="0.4">
      <c r="F196" s="72"/>
      <c r="G196" s="72"/>
      <c r="H196" s="72"/>
    </row>
    <row r="197" spans="6:8" x14ac:dyDescent="0.4">
      <c r="F197" s="72"/>
      <c r="G197" s="72"/>
      <c r="H197" s="72"/>
    </row>
    <row r="198" spans="6:8" x14ac:dyDescent="0.4">
      <c r="F198" s="72"/>
      <c r="G198" s="72"/>
      <c r="H198" s="72"/>
    </row>
    <row r="199" spans="6:8" x14ac:dyDescent="0.4">
      <c r="F199" s="72"/>
      <c r="G199" s="72"/>
      <c r="H199" s="72"/>
    </row>
    <row r="200" spans="6:8" x14ac:dyDescent="0.4">
      <c r="F200" s="72"/>
      <c r="G200" s="72"/>
      <c r="H200" s="72"/>
    </row>
    <row r="201" spans="6:8" x14ac:dyDescent="0.4">
      <c r="F201" s="72"/>
      <c r="G201" s="72"/>
      <c r="H201" s="72"/>
    </row>
    <row r="202" spans="6:8" x14ac:dyDescent="0.4">
      <c r="F202" s="72"/>
      <c r="G202" s="72"/>
      <c r="H202" s="72"/>
    </row>
    <row r="203" spans="6:8" x14ac:dyDescent="0.4">
      <c r="F203" s="72"/>
      <c r="G203" s="72"/>
      <c r="H203" s="72"/>
    </row>
    <row r="204" spans="6:8" x14ac:dyDescent="0.4">
      <c r="F204" s="72"/>
      <c r="G204" s="72"/>
      <c r="H204" s="72"/>
    </row>
    <row r="205" spans="6:8" x14ac:dyDescent="0.4">
      <c r="F205" s="72"/>
      <c r="G205" s="72"/>
      <c r="H205" s="72"/>
    </row>
    <row r="206" spans="6:8" x14ac:dyDescent="0.4">
      <c r="F206" s="72"/>
      <c r="G206" s="72"/>
      <c r="H206" s="72"/>
    </row>
    <row r="207" spans="6:8" x14ac:dyDescent="0.4">
      <c r="F207" s="72"/>
      <c r="G207" s="72"/>
      <c r="H207" s="72"/>
    </row>
    <row r="208" spans="6:8" x14ac:dyDescent="0.4">
      <c r="F208" s="72"/>
      <c r="G208" s="72"/>
      <c r="H208" s="72"/>
    </row>
    <row r="209" spans="6:8" x14ac:dyDescent="0.4">
      <c r="F209" s="72"/>
      <c r="G209" s="72"/>
      <c r="H209" s="72"/>
    </row>
    <row r="210" spans="6:8" x14ac:dyDescent="0.4">
      <c r="F210" s="72"/>
      <c r="G210" s="72"/>
      <c r="H210" s="72"/>
    </row>
    <row r="211" spans="6:8" x14ac:dyDescent="0.4">
      <c r="F211" s="72"/>
      <c r="G211" s="72"/>
      <c r="H211" s="72"/>
    </row>
    <row r="212" spans="6:8" x14ac:dyDescent="0.4">
      <c r="F212" s="72"/>
      <c r="G212" s="72"/>
      <c r="H212" s="72"/>
    </row>
    <row r="213" spans="6:8" x14ac:dyDescent="0.4">
      <c r="F213" s="72"/>
      <c r="G213" s="72"/>
      <c r="H213" s="72"/>
    </row>
    <row r="214" spans="6:8" x14ac:dyDescent="0.4">
      <c r="F214" s="72"/>
      <c r="G214" s="72"/>
      <c r="H214" s="72"/>
    </row>
    <row r="215" spans="6:8" x14ac:dyDescent="0.4">
      <c r="F215" s="72"/>
      <c r="G215" s="72"/>
      <c r="H215" s="72"/>
    </row>
    <row r="216" spans="6:8" x14ac:dyDescent="0.4">
      <c r="F216" s="72"/>
      <c r="G216" s="72"/>
      <c r="H216" s="72"/>
    </row>
    <row r="217" spans="6:8" x14ac:dyDescent="0.4">
      <c r="F217" s="72"/>
      <c r="G217" s="72"/>
      <c r="H217" s="72"/>
    </row>
    <row r="218" spans="6:8" x14ac:dyDescent="0.4">
      <c r="F218" s="72"/>
      <c r="G218" s="72"/>
      <c r="H218" s="72"/>
    </row>
    <row r="219" spans="6:8" x14ac:dyDescent="0.4">
      <c r="F219" s="72"/>
      <c r="G219" s="72"/>
      <c r="H219" s="72"/>
    </row>
    <row r="220" spans="6:8" x14ac:dyDescent="0.4">
      <c r="F220" s="72"/>
      <c r="G220" s="72"/>
      <c r="H220" s="72"/>
    </row>
    <row r="221" spans="6:8" x14ac:dyDescent="0.4">
      <c r="F221" s="72"/>
      <c r="G221" s="72"/>
      <c r="H221" s="72"/>
    </row>
    <row r="222" spans="6:8" x14ac:dyDescent="0.4">
      <c r="F222" s="72"/>
      <c r="G222" s="72"/>
      <c r="H222" s="72"/>
    </row>
    <row r="223" spans="6:8" x14ac:dyDescent="0.4">
      <c r="F223" s="72"/>
      <c r="G223" s="72"/>
      <c r="H223" s="72"/>
    </row>
    <row r="224" spans="6:8" x14ac:dyDescent="0.4">
      <c r="F224" s="72"/>
      <c r="G224" s="72"/>
      <c r="H224" s="72"/>
    </row>
    <row r="225" spans="6:8" x14ac:dyDescent="0.4">
      <c r="F225" s="72"/>
      <c r="G225" s="72"/>
      <c r="H225" s="72"/>
    </row>
    <row r="226" spans="6:8" x14ac:dyDescent="0.4">
      <c r="F226" s="72"/>
      <c r="G226" s="72"/>
      <c r="H226" s="72"/>
    </row>
    <row r="227" spans="6:8" x14ac:dyDescent="0.4">
      <c r="F227" s="72"/>
      <c r="G227" s="72"/>
      <c r="H227" s="72"/>
    </row>
    <row r="228" spans="6:8" x14ac:dyDescent="0.4">
      <c r="F228" s="72"/>
      <c r="G228" s="72"/>
      <c r="H228" s="72"/>
    </row>
    <row r="229" spans="6:8" x14ac:dyDescent="0.4">
      <c r="F229" s="72"/>
      <c r="G229" s="72"/>
      <c r="H229" s="72"/>
    </row>
    <row r="230" spans="6:8" x14ac:dyDescent="0.4">
      <c r="F230" s="72"/>
      <c r="G230" s="72"/>
      <c r="H230" s="72"/>
    </row>
    <row r="231" spans="6:8" x14ac:dyDescent="0.4">
      <c r="F231" s="72"/>
      <c r="G231" s="72"/>
      <c r="H231" s="72"/>
    </row>
    <row r="232" spans="6:8" x14ac:dyDescent="0.4">
      <c r="F232" s="72"/>
      <c r="G232" s="72"/>
      <c r="H232" s="72"/>
    </row>
    <row r="233" spans="6:8" x14ac:dyDescent="0.4">
      <c r="F233" s="72"/>
      <c r="G233" s="72"/>
      <c r="H233" s="72"/>
    </row>
    <row r="234" spans="6:8" x14ac:dyDescent="0.4">
      <c r="F234" s="72"/>
      <c r="G234" s="72"/>
      <c r="H234" s="72"/>
    </row>
    <row r="235" spans="6:8" x14ac:dyDescent="0.4">
      <c r="F235" s="72"/>
      <c r="G235" s="72"/>
      <c r="H235" s="72"/>
    </row>
    <row r="236" spans="6:8" x14ac:dyDescent="0.4">
      <c r="F236" s="72"/>
      <c r="G236" s="72"/>
      <c r="H236" s="72"/>
    </row>
    <row r="237" spans="6:8" x14ac:dyDescent="0.4">
      <c r="F237" s="72"/>
      <c r="G237" s="72"/>
      <c r="H237" s="72"/>
    </row>
    <row r="238" spans="6:8" x14ac:dyDescent="0.4">
      <c r="F238" s="72"/>
      <c r="G238" s="72"/>
      <c r="H238" s="72"/>
    </row>
    <row r="239" spans="6:8" x14ac:dyDescent="0.4">
      <c r="F239" s="72"/>
      <c r="G239" s="72"/>
      <c r="H239" s="72"/>
    </row>
    <row r="240" spans="6:8" x14ac:dyDescent="0.4">
      <c r="F240" s="72"/>
      <c r="G240" s="72"/>
      <c r="H240" s="72"/>
    </row>
    <row r="241" spans="6:8" x14ac:dyDescent="0.4">
      <c r="F241" s="72"/>
      <c r="G241" s="72"/>
      <c r="H241" s="72"/>
    </row>
    <row r="242" spans="6:8" x14ac:dyDescent="0.4">
      <c r="F242" s="72"/>
      <c r="G242" s="72"/>
      <c r="H242" s="72"/>
    </row>
    <row r="243" spans="6:8" x14ac:dyDescent="0.4">
      <c r="F243" s="72"/>
      <c r="G243" s="72"/>
      <c r="H243" s="72"/>
    </row>
    <row r="244" spans="6:8" x14ac:dyDescent="0.4">
      <c r="F244" s="72"/>
      <c r="G244" s="72"/>
      <c r="H244" s="72"/>
    </row>
    <row r="245" spans="6:8" x14ac:dyDescent="0.4">
      <c r="F245" s="72"/>
      <c r="G245" s="72"/>
      <c r="H245" s="72"/>
    </row>
    <row r="246" spans="6:8" x14ac:dyDescent="0.4">
      <c r="F246" s="72"/>
      <c r="G246" s="72"/>
      <c r="H246" s="72"/>
    </row>
    <row r="247" spans="6:8" x14ac:dyDescent="0.4">
      <c r="F247" s="72"/>
      <c r="G247" s="72"/>
      <c r="H247" s="72"/>
    </row>
    <row r="248" spans="6:8" x14ac:dyDescent="0.4">
      <c r="F248" s="72"/>
      <c r="G248" s="72"/>
      <c r="H248" s="72"/>
    </row>
    <row r="249" spans="6:8" x14ac:dyDescent="0.4">
      <c r="F249" s="72"/>
      <c r="G249" s="72"/>
      <c r="H249" s="72"/>
    </row>
    <row r="250" spans="6:8" x14ac:dyDescent="0.4">
      <c r="F250" s="72"/>
      <c r="G250" s="72"/>
      <c r="H250" s="72"/>
    </row>
    <row r="251" spans="6:8" x14ac:dyDescent="0.4">
      <c r="F251" s="72"/>
      <c r="G251" s="72"/>
      <c r="H251" s="72"/>
    </row>
    <row r="252" spans="6:8" x14ac:dyDescent="0.4">
      <c r="F252" s="72"/>
      <c r="G252" s="72"/>
      <c r="H252" s="72"/>
    </row>
    <row r="253" spans="6:8" x14ac:dyDescent="0.4">
      <c r="F253" s="72"/>
      <c r="G253" s="72"/>
      <c r="H253" s="72"/>
    </row>
    <row r="254" spans="6:8" x14ac:dyDescent="0.4">
      <c r="F254" s="72"/>
      <c r="G254" s="72"/>
      <c r="H254" s="72"/>
    </row>
    <row r="255" spans="6:8" x14ac:dyDescent="0.4">
      <c r="F255" s="72"/>
      <c r="G255" s="72"/>
      <c r="H255" s="72"/>
    </row>
    <row r="256" spans="6:8" x14ac:dyDescent="0.4">
      <c r="F256" s="72"/>
      <c r="G256" s="72"/>
      <c r="H256" s="72"/>
    </row>
    <row r="257" spans="6:8" x14ac:dyDescent="0.4">
      <c r="F257" s="72"/>
      <c r="G257" s="72"/>
      <c r="H257" s="72"/>
    </row>
    <row r="258" spans="6:8" x14ac:dyDescent="0.4">
      <c r="F258" s="72"/>
      <c r="G258" s="72"/>
      <c r="H258" s="72"/>
    </row>
    <row r="259" spans="6:8" x14ac:dyDescent="0.4">
      <c r="F259" s="72"/>
      <c r="G259" s="72"/>
      <c r="H259" s="72"/>
    </row>
    <row r="260" spans="6:8" x14ac:dyDescent="0.4">
      <c r="F260" s="72"/>
      <c r="G260" s="72"/>
      <c r="H260" s="72"/>
    </row>
    <row r="261" spans="6:8" x14ac:dyDescent="0.4">
      <c r="F261" s="72"/>
      <c r="G261" s="72"/>
      <c r="H261" s="72"/>
    </row>
    <row r="262" spans="6:8" x14ac:dyDescent="0.4">
      <c r="F262" s="72"/>
      <c r="G262" s="72"/>
      <c r="H262" s="72"/>
    </row>
    <row r="263" spans="6:8" x14ac:dyDescent="0.4">
      <c r="F263" s="72"/>
      <c r="G263" s="72"/>
      <c r="H263" s="72"/>
    </row>
    <row r="264" spans="6:8" x14ac:dyDescent="0.4">
      <c r="F264" s="72"/>
      <c r="G264" s="72"/>
      <c r="H264" s="72"/>
    </row>
    <row r="265" spans="6:8" x14ac:dyDescent="0.4">
      <c r="F265" s="72"/>
      <c r="G265" s="72"/>
      <c r="H265" s="72"/>
    </row>
    <row r="266" spans="6:8" x14ac:dyDescent="0.4">
      <c r="F266" s="72"/>
      <c r="G266" s="72"/>
      <c r="H266" s="72"/>
    </row>
    <row r="267" spans="6:8" x14ac:dyDescent="0.4">
      <c r="F267" s="72"/>
      <c r="G267" s="72"/>
      <c r="H267" s="72"/>
    </row>
    <row r="268" spans="6:8" x14ac:dyDescent="0.4">
      <c r="F268" s="72"/>
      <c r="G268" s="72"/>
      <c r="H268" s="72"/>
    </row>
    <row r="269" spans="6:8" x14ac:dyDescent="0.4">
      <c r="F269" s="72"/>
      <c r="G269" s="72"/>
      <c r="H269" s="72"/>
    </row>
    <row r="270" spans="6:8" x14ac:dyDescent="0.4">
      <c r="F270" s="72"/>
      <c r="G270" s="72"/>
      <c r="H270" s="72"/>
    </row>
    <row r="271" spans="6:8" x14ac:dyDescent="0.4">
      <c r="F271" s="72"/>
      <c r="G271" s="72"/>
      <c r="H271" s="72"/>
    </row>
    <row r="272" spans="6:8" x14ac:dyDescent="0.4">
      <c r="F272" s="72"/>
      <c r="G272" s="72"/>
      <c r="H272" s="72"/>
    </row>
    <row r="273" spans="6:8" x14ac:dyDescent="0.4">
      <c r="F273" s="72"/>
      <c r="G273" s="72"/>
      <c r="H273" s="72"/>
    </row>
    <row r="274" spans="6:8" x14ac:dyDescent="0.4">
      <c r="F274" s="72"/>
      <c r="G274" s="72"/>
      <c r="H274" s="72"/>
    </row>
    <row r="275" spans="6:8" x14ac:dyDescent="0.4">
      <c r="F275" s="72"/>
      <c r="G275" s="72"/>
      <c r="H275" s="72"/>
    </row>
    <row r="276" spans="6:8" x14ac:dyDescent="0.4">
      <c r="F276" s="72"/>
      <c r="G276" s="72"/>
      <c r="H276" s="72"/>
    </row>
    <row r="277" spans="6:8" x14ac:dyDescent="0.4">
      <c r="F277" s="72"/>
      <c r="G277" s="72"/>
      <c r="H277" s="72"/>
    </row>
    <row r="278" spans="6:8" x14ac:dyDescent="0.4">
      <c r="F278" s="72"/>
      <c r="G278" s="72"/>
      <c r="H278" s="72"/>
    </row>
    <row r="279" spans="6:8" x14ac:dyDescent="0.4">
      <c r="F279" s="72"/>
      <c r="G279" s="72"/>
      <c r="H279" s="72"/>
    </row>
    <row r="280" spans="6:8" x14ac:dyDescent="0.4">
      <c r="F280" s="72"/>
      <c r="G280" s="72"/>
      <c r="H280" s="72"/>
    </row>
    <row r="281" spans="6:8" x14ac:dyDescent="0.4">
      <c r="F281" s="72"/>
      <c r="G281" s="72"/>
      <c r="H281" s="72"/>
    </row>
    <row r="282" spans="6:8" x14ac:dyDescent="0.4">
      <c r="F282" s="72"/>
      <c r="G282" s="72"/>
      <c r="H282" s="72"/>
    </row>
    <row r="283" spans="6:8" x14ac:dyDescent="0.4">
      <c r="F283" s="72"/>
      <c r="G283" s="72"/>
      <c r="H283" s="72"/>
    </row>
    <row r="284" spans="6:8" x14ac:dyDescent="0.4">
      <c r="F284" s="72"/>
      <c r="G284" s="72"/>
      <c r="H284" s="72"/>
    </row>
    <row r="285" spans="6:8" x14ac:dyDescent="0.4">
      <c r="F285" s="72"/>
      <c r="G285" s="72"/>
      <c r="H285" s="72"/>
    </row>
    <row r="286" spans="6:8" x14ac:dyDescent="0.4">
      <c r="F286" s="72"/>
      <c r="G286" s="72"/>
      <c r="H286" s="72"/>
    </row>
    <row r="287" spans="6:8" x14ac:dyDescent="0.4">
      <c r="F287" s="72"/>
      <c r="G287" s="72"/>
      <c r="H287" s="72"/>
    </row>
    <row r="288" spans="6:8" x14ac:dyDescent="0.4">
      <c r="F288" s="72"/>
      <c r="G288" s="72"/>
      <c r="H288" s="72"/>
    </row>
    <row r="289" spans="6:8" x14ac:dyDescent="0.4">
      <c r="F289" s="72"/>
      <c r="G289" s="72"/>
      <c r="H289" s="72"/>
    </row>
    <row r="290" spans="6:8" x14ac:dyDescent="0.4">
      <c r="F290" s="72"/>
      <c r="G290" s="72"/>
      <c r="H290" s="72"/>
    </row>
    <row r="291" spans="6:8" x14ac:dyDescent="0.4">
      <c r="F291" s="72"/>
      <c r="G291" s="72"/>
      <c r="H291" s="72"/>
    </row>
    <row r="292" spans="6:8" x14ac:dyDescent="0.4">
      <c r="F292" s="72"/>
      <c r="G292" s="72"/>
      <c r="H292" s="72"/>
    </row>
    <row r="293" spans="6:8" x14ac:dyDescent="0.4">
      <c r="F293" s="72"/>
      <c r="G293" s="72"/>
      <c r="H293" s="72"/>
    </row>
    <row r="294" spans="6:8" x14ac:dyDescent="0.4">
      <c r="F294" s="72"/>
      <c r="G294" s="72"/>
      <c r="H294" s="72"/>
    </row>
    <row r="295" spans="6:8" x14ac:dyDescent="0.4">
      <c r="F295" s="72"/>
      <c r="G295" s="72"/>
      <c r="H295" s="72"/>
    </row>
    <row r="296" spans="6:8" x14ac:dyDescent="0.4">
      <c r="F296" s="72"/>
      <c r="G296" s="72"/>
      <c r="H296" s="72"/>
    </row>
    <row r="297" spans="6:8" x14ac:dyDescent="0.4">
      <c r="F297" s="72"/>
      <c r="G297" s="72"/>
      <c r="H297" s="72"/>
    </row>
    <row r="298" spans="6:8" x14ac:dyDescent="0.4">
      <c r="F298" s="72"/>
      <c r="G298" s="72"/>
      <c r="H298" s="72"/>
    </row>
    <row r="299" spans="6:8" x14ac:dyDescent="0.4">
      <c r="F299" s="72"/>
      <c r="G299" s="72"/>
      <c r="H299" s="72"/>
    </row>
    <row r="300" spans="6:8" x14ac:dyDescent="0.4">
      <c r="F300" s="72"/>
      <c r="G300" s="72"/>
      <c r="H300" s="72"/>
    </row>
    <row r="301" spans="6:8" x14ac:dyDescent="0.4">
      <c r="F301" s="72"/>
      <c r="G301" s="72"/>
      <c r="H301" s="72"/>
    </row>
    <row r="302" spans="6:8" x14ac:dyDescent="0.4">
      <c r="F302" s="72"/>
      <c r="G302" s="72"/>
      <c r="H302" s="72"/>
    </row>
    <row r="303" spans="6:8" x14ac:dyDescent="0.4">
      <c r="F303" s="72"/>
      <c r="G303" s="72"/>
      <c r="H303" s="72"/>
    </row>
    <row r="304" spans="6:8" x14ac:dyDescent="0.4">
      <c r="F304" s="72"/>
      <c r="G304" s="72"/>
      <c r="H304" s="72"/>
    </row>
    <row r="305" spans="6:8" x14ac:dyDescent="0.4">
      <c r="F305" s="72"/>
      <c r="G305" s="72"/>
      <c r="H305" s="72"/>
    </row>
    <row r="306" spans="6:8" x14ac:dyDescent="0.4">
      <c r="F306" s="72"/>
      <c r="G306" s="72"/>
      <c r="H306" s="72"/>
    </row>
    <row r="307" spans="6:8" x14ac:dyDescent="0.4">
      <c r="F307" s="72"/>
      <c r="G307" s="72"/>
      <c r="H307" s="72"/>
    </row>
    <row r="308" spans="6:8" x14ac:dyDescent="0.4">
      <c r="F308" s="72"/>
      <c r="G308" s="72"/>
      <c r="H308" s="72"/>
    </row>
    <row r="309" spans="6:8" x14ac:dyDescent="0.4">
      <c r="F309" s="72"/>
      <c r="G309" s="72"/>
      <c r="H309" s="72"/>
    </row>
    <row r="310" spans="6:8" x14ac:dyDescent="0.4">
      <c r="F310" s="72"/>
      <c r="G310" s="72"/>
      <c r="H310" s="72"/>
    </row>
    <row r="311" spans="6:8" x14ac:dyDescent="0.4">
      <c r="F311" s="72"/>
      <c r="G311" s="72"/>
      <c r="H311" s="72"/>
    </row>
    <row r="312" spans="6:8" x14ac:dyDescent="0.4">
      <c r="F312" s="72"/>
      <c r="G312" s="72"/>
      <c r="H312" s="72"/>
    </row>
    <row r="313" spans="6:8" x14ac:dyDescent="0.4">
      <c r="F313" s="72"/>
      <c r="G313" s="72"/>
      <c r="H313" s="72"/>
    </row>
    <row r="314" spans="6:8" x14ac:dyDescent="0.4">
      <c r="F314" s="72"/>
      <c r="G314" s="72"/>
      <c r="H314" s="72"/>
    </row>
    <row r="315" spans="6:8" x14ac:dyDescent="0.4">
      <c r="F315" s="72"/>
      <c r="G315" s="72"/>
      <c r="H315" s="72"/>
    </row>
    <row r="316" spans="6:8" x14ac:dyDescent="0.4">
      <c r="F316" s="72"/>
      <c r="G316" s="72"/>
      <c r="H316" s="72"/>
    </row>
    <row r="317" spans="6:8" x14ac:dyDescent="0.4">
      <c r="F317" s="72"/>
      <c r="G317" s="72"/>
      <c r="H317" s="72"/>
    </row>
    <row r="318" spans="6:8" x14ac:dyDescent="0.4">
      <c r="F318" s="72"/>
      <c r="G318" s="72"/>
      <c r="H318" s="72"/>
    </row>
    <row r="319" spans="6:8" x14ac:dyDescent="0.4">
      <c r="F319" s="72"/>
      <c r="G319" s="72"/>
      <c r="H319" s="72"/>
    </row>
    <row r="320" spans="6:8" x14ac:dyDescent="0.4">
      <c r="F320" s="72"/>
      <c r="G320" s="72"/>
      <c r="H320" s="72"/>
    </row>
    <row r="321" spans="6:8" x14ac:dyDescent="0.4">
      <c r="F321" s="72"/>
      <c r="G321" s="72"/>
      <c r="H321" s="72"/>
    </row>
    <row r="322" spans="6:8" x14ac:dyDescent="0.4">
      <c r="F322" s="72"/>
      <c r="G322" s="72"/>
      <c r="H322" s="72"/>
    </row>
    <row r="323" spans="6:8" x14ac:dyDescent="0.4">
      <c r="F323" s="72"/>
      <c r="G323" s="72"/>
      <c r="H323" s="72"/>
    </row>
    <row r="324" spans="6:8" x14ac:dyDescent="0.4">
      <c r="F324" s="72"/>
      <c r="G324" s="72"/>
      <c r="H324" s="72"/>
    </row>
    <row r="325" spans="6:8" x14ac:dyDescent="0.4">
      <c r="F325" s="72"/>
      <c r="G325" s="72"/>
      <c r="H325" s="72"/>
    </row>
    <row r="326" spans="6:8" x14ac:dyDescent="0.4">
      <c r="F326" s="72"/>
      <c r="G326" s="72"/>
      <c r="H326" s="72"/>
    </row>
    <row r="327" spans="6:8" x14ac:dyDescent="0.4">
      <c r="F327" s="72"/>
      <c r="G327" s="72"/>
      <c r="H327" s="72"/>
    </row>
    <row r="328" spans="6:8" x14ac:dyDescent="0.4">
      <c r="F328" s="72"/>
      <c r="G328" s="72"/>
      <c r="H328" s="72"/>
    </row>
    <row r="329" spans="6:8" x14ac:dyDescent="0.4">
      <c r="F329" s="72"/>
      <c r="G329" s="72"/>
      <c r="H329" s="72"/>
    </row>
    <row r="330" spans="6:8" x14ac:dyDescent="0.4">
      <c r="F330" s="72"/>
      <c r="G330" s="72"/>
      <c r="H330" s="72"/>
    </row>
    <row r="331" spans="6:8" x14ac:dyDescent="0.4">
      <c r="F331" s="72"/>
      <c r="G331" s="72"/>
      <c r="H331" s="72"/>
    </row>
    <row r="332" spans="6:8" x14ac:dyDescent="0.4">
      <c r="F332" s="72"/>
      <c r="G332" s="72"/>
      <c r="H332" s="72"/>
    </row>
    <row r="333" spans="6:8" x14ac:dyDescent="0.4">
      <c r="F333" s="72"/>
      <c r="G333" s="72"/>
      <c r="H333" s="72"/>
    </row>
    <row r="334" spans="6:8" x14ac:dyDescent="0.4">
      <c r="F334" s="72"/>
      <c r="G334" s="72"/>
      <c r="H334" s="72"/>
    </row>
    <row r="335" spans="6:8" x14ac:dyDescent="0.4">
      <c r="F335" s="72"/>
      <c r="G335" s="72"/>
      <c r="H335" s="72"/>
    </row>
    <row r="336" spans="6:8" x14ac:dyDescent="0.4">
      <c r="F336" s="72"/>
      <c r="G336" s="72"/>
      <c r="H336" s="72"/>
    </row>
    <row r="337" spans="6:8" x14ac:dyDescent="0.4">
      <c r="F337" s="72"/>
      <c r="G337" s="72"/>
      <c r="H337" s="72"/>
    </row>
    <row r="338" spans="6:8" x14ac:dyDescent="0.4">
      <c r="F338" s="72"/>
      <c r="G338" s="72"/>
      <c r="H338" s="72"/>
    </row>
    <row r="339" spans="6:8" x14ac:dyDescent="0.4">
      <c r="F339" s="72"/>
      <c r="G339" s="72"/>
      <c r="H339" s="72"/>
    </row>
    <row r="340" spans="6:8" x14ac:dyDescent="0.4">
      <c r="F340" s="72"/>
      <c r="G340" s="72"/>
      <c r="H340" s="72"/>
    </row>
    <row r="341" spans="6:8" x14ac:dyDescent="0.4">
      <c r="F341" s="72"/>
      <c r="G341" s="72"/>
      <c r="H341" s="72"/>
    </row>
    <row r="342" spans="6:8" x14ac:dyDescent="0.4">
      <c r="F342" s="72"/>
      <c r="G342" s="72"/>
      <c r="H342" s="72"/>
    </row>
    <row r="343" spans="6:8" x14ac:dyDescent="0.4">
      <c r="F343" s="72"/>
      <c r="G343" s="72"/>
      <c r="H343" s="72"/>
    </row>
    <row r="344" spans="6:8" x14ac:dyDescent="0.4">
      <c r="F344" s="72"/>
      <c r="G344" s="72"/>
      <c r="H344" s="72"/>
    </row>
    <row r="345" spans="6:8" x14ac:dyDescent="0.4">
      <c r="F345" s="72"/>
      <c r="G345" s="72"/>
      <c r="H345" s="72"/>
    </row>
    <row r="346" spans="6:8" x14ac:dyDescent="0.4">
      <c r="F346" s="72"/>
      <c r="G346" s="72"/>
      <c r="H346" s="72"/>
    </row>
    <row r="347" spans="6:8" x14ac:dyDescent="0.4">
      <c r="F347" s="72"/>
      <c r="G347" s="72"/>
      <c r="H347" s="72"/>
    </row>
    <row r="348" spans="6:8" x14ac:dyDescent="0.4">
      <c r="F348" s="72"/>
      <c r="G348" s="72"/>
      <c r="H348" s="72"/>
    </row>
    <row r="349" spans="6:8" x14ac:dyDescent="0.4">
      <c r="F349" s="72"/>
      <c r="G349" s="72"/>
      <c r="H349" s="72"/>
    </row>
    <row r="350" spans="6:8" x14ac:dyDescent="0.4">
      <c r="F350" s="72"/>
      <c r="G350" s="72"/>
      <c r="H350" s="72"/>
    </row>
    <row r="351" spans="6:8" x14ac:dyDescent="0.4">
      <c r="F351" s="72"/>
      <c r="G351" s="72"/>
      <c r="H351" s="72"/>
    </row>
    <row r="352" spans="6:8" x14ac:dyDescent="0.4">
      <c r="F352" s="72"/>
      <c r="G352" s="72"/>
      <c r="H352" s="72"/>
    </row>
    <row r="353" spans="6:8" x14ac:dyDescent="0.4">
      <c r="F353" s="72"/>
      <c r="G353" s="72"/>
      <c r="H353" s="72"/>
    </row>
    <row r="354" spans="6:8" x14ac:dyDescent="0.4">
      <c r="F354" s="72"/>
      <c r="G354" s="72"/>
      <c r="H354" s="72"/>
    </row>
    <row r="355" spans="6:8" x14ac:dyDescent="0.4">
      <c r="F355" s="72"/>
      <c r="G355" s="72"/>
      <c r="H355" s="72"/>
    </row>
    <row r="356" spans="6:8" x14ac:dyDescent="0.4">
      <c r="F356" s="72"/>
      <c r="G356" s="72"/>
      <c r="H356" s="72"/>
    </row>
    <row r="357" spans="6:8" x14ac:dyDescent="0.4">
      <c r="F357" s="72"/>
      <c r="G357" s="72"/>
      <c r="H357" s="72"/>
    </row>
    <row r="358" spans="6:8" x14ac:dyDescent="0.4">
      <c r="F358" s="72"/>
      <c r="G358" s="72"/>
      <c r="H358" s="72"/>
    </row>
    <row r="359" spans="6:8" x14ac:dyDescent="0.4">
      <c r="F359" s="72"/>
      <c r="G359" s="72"/>
      <c r="H359" s="72"/>
    </row>
    <row r="360" spans="6:8" x14ac:dyDescent="0.4">
      <c r="F360" s="72"/>
      <c r="G360" s="72"/>
      <c r="H360" s="72"/>
    </row>
    <row r="361" spans="6:8" x14ac:dyDescent="0.4">
      <c r="F361" s="72"/>
      <c r="G361" s="72"/>
      <c r="H361" s="72"/>
    </row>
    <row r="362" spans="6:8" x14ac:dyDescent="0.4">
      <c r="F362" s="72"/>
      <c r="G362" s="72"/>
      <c r="H362" s="72"/>
    </row>
    <row r="363" spans="6:8" x14ac:dyDescent="0.4">
      <c r="F363" s="72"/>
      <c r="G363" s="72"/>
      <c r="H363" s="72"/>
    </row>
    <row r="364" spans="6:8" x14ac:dyDescent="0.4">
      <c r="F364" s="72"/>
      <c r="G364" s="72"/>
      <c r="H364" s="72"/>
    </row>
    <row r="365" spans="6:8" x14ac:dyDescent="0.4">
      <c r="F365" s="72"/>
      <c r="G365" s="72"/>
      <c r="H365" s="72"/>
    </row>
    <row r="366" spans="6:8" x14ac:dyDescent="0.4">
      <c r="F366" s="72"/>
      <c r="G366" s="72"/>
      <c r="H366" s="72"/>
    </row>
    <row r="367" spans="6:8" x14ac:dyDescent="0.4">
      <c r="F367" s="72"/>
      <c r="G367" s="72"/>
      <c r="H367" s="72"/>
    </row>
    <row r="368" spans="6:8" x14ac:dyDescent="0.4">
      <c r="F368" s="72"/>
      <c r="G368" s="72"/>
      <c r="H368" s="72"/>
    </row>
    <row r="369" spans="6:8" x14ac:dyDescent="0.4">
      <c r="F369" s="72"/>
      <c r="G369" s="72"/>
      <c r="H369" s="72"/>
    </row>
    <row r="370" spans="6:8" x14ac:dyDescent="0.4">
      <c r="F370" s="72"/>
      <c r="G370" s="72"/>
      <c r="H370" s="72"/>
    </row>
    <row r="371" spans="6:8" x14ac:dyDescent="0.4">
      <c r="F371" s="72"/>
      <c r="G371" s="72"/>
      <c r="H371" s="72"/>
    </row>
    <row r="372" spans="6:8" x14ac:dyDescent="0.4">
      <c r="F372" s="72"/>
      <c r="G372" s="72"/>
      <c r="H372" s="72"/>
    </row>
    <row r="373" spans="6:8" x14ac:dyDescent="0.4">
      <c r="F373" s="72"/>
      <c r="G373" s="72"/>
      <c r="H373" s="72"/>
    </row>
    <row r="374" spans="6:8" x14ac:dyDescent="0.4">
      <c r="F374" s="72"/>
      <c r="G374" s="72"/>
      <c r="H374" s="72"/>
    </row>
    <row r="375" spans="6:8" x14ac:dyDescent="0.4">
      <c r="F375" s="72"/>
      <c r="G375" s="72"/>
      <c r="H375" s="72"/>
    </row>
    <row r="376" spans="6:8" x14ac:dyDescent="0.4">
      <c r="F376" s="72"/>
      <c r="G376" s="72"/>
      <c r="H376" s="72"/>
    </row>
    <row r="377" spans="6:8" x14ac:dyDescent="0.4">
      <c r="F377" s="72"/>
      <c r="G377" s="72"/>
      <c r="H377" s="72"/>
    </row>
    <row r="378" spans="6:8" x14ac:dyDescent="0.4">
      <c r="F378" s="72"/>
      <c r="G378" s="72"/>
      <c r="H378" s="72"/>
    </row>
    <row r="379" spans="6:8" x14ac:dyDescent="0.4">
      <c r="F379" s="72"/>
      <c r="G379" s="72"/>
      <c r="H379" s="72"/>
    </row>
    <row r="380" spans="6:8" x14ac:dyDescent="0.4">
      <c r="F380" s="72"/>
      <c r="G380" s="72"/>
      <c r="H380" s="72"/>
    </row>
    <row r="381" spans="6:8" x14ac:dyDescent="0.4">
      <c r="F381" s="72"/>
      <c r="G381" s="72"/>
      <c r="H381" s="72"/>
    </row>
    <row r="382" spans="6:8" x14ac:dyDescent="0.4">
      <c r="F382" s="72"/>
      <c r="G382" s="72"/>
      <c r="H382" s="72"/>
    </row>
    <row r="383" spans="6:8" x14ac:dyDescent="0.4">
      <c r="F383" s="72"/>
      <c r="G383" s="72"/>
      <c r="H383" s="72"/>
    </row>
    <row r="384" spans="6:8" x14ac:dyDescent="0.4">
      <c r="F384" s="72"/>
      <c r="G384" s="72"/>
      <c r="H384" s="72"/>
    </row>
    <row r="385" spans="6:8" x14ac:dyDescent="0.4">
      <c r="F385" s="72"/>
      <c r="G385" s="72"/>
      <c r="H385" s="72"/>
    </row>
    <row r="386" spans="6:8" x14ac:dyDescent="0.4">
      <c r="F386" s="72"/>
      <c r="G386" s="72"/>
      <c r="H386" s="72"/>
    </row>
    <row r="387" spans="6:8" x14ac:dyDescent="0.4">
      <c r="F387" s="72"/>
      <c r="G387" s="72"/>
      <c r="H387" s="72"/>
    </row>
    <row r="388" spans="6:8" x14ac:dyDescent="0.4">
      <c r="F388" s="72"/>
      <c r="G388" s="72"/>
      <c r="H388" s="72"/>
    </row>
    <row r="389" spans="6:8" x14ac:dyDescent="0.4">
      <c r="F389" s="72"/>
      <c r="G389" s="72"/>
      <c r="H389" s="72"/>
    </row>
    <row r="390" spans="6:8" x14ac:dyDescent="0.4">
      <c r="F390" s="72"/>
      <c r="G390" s="72"/>
      <c r="H390" s="72"/>
    </row>
    <row r="391" spans="6:8" x14ac:dyDescent="0.4">
      <c r="F391" s="72"/>
      <c r="G391" s="72"/>
      <c r="H391" s="72"/>
    </row>
    <row r="392" spans="6:8" x14ac:dyDescent="0.4">
      <c r="F392" s="72"/>
      <c r="G392" s="72"/>
      <c r="H392" s="72"/>
    </row>
    <row r="393" spans="6:8" x14ac:dyDescent="0.4">
      <c r="F393" s="72"/>
      <c r="G393" s="72"/>
      <c r="H393" s="72"/>
    </row>
    <row r="394" spans="6:8" x14ac:dyDescent="0.4">
      <c r="F394" s="72"/>
      <c r="G394" s="72"/>
      <c r="H394" s="72"/>
    </row>
    <row r="395" spans="6:8" x14ac:dyDescent="0.4">
      <c r="F395" s="72"/>
      <c r="G395" s="72"/>
      <c r="H395" s="72"/>
    </row>
    <row r="396" spans="6:8" x14ac:dyDescent="0.4">
      <c r="F396" s="72"/>
      <c r="G396" s="72"/>
      <c r="H396" s="72"/>
    </row>
    <row r="397" spans="6:8" x14ac:dyDescent="0.4">
      <c r="F397" s="72"/>
      <c r="G397" s="72"/>
      <c r="H397" s="72"/>
    </row>
    <row r="398" spans="6:8" x14ac:dyDescent="0.4">
      <c r="F398" s="72"/>
      <c r="G398" s="72"/>
      <c r="H398" s="72"/>
    </row>
    <row r="399" spans="6:8" x14ac:dyDescent="0.4">
      <c r="F399" s="72"/>
      <c r="G399" s="72"/>
      <c r="H399" s="72"/>
    </row>
    <row r="400" spans="6:8" x14ac:dyDescent="0.4">
      <c r="F400" s="72"/>
      <c r="G400" s="72"/>
      <c r="H400" s="72"/>
    </row>
    <row r="401" spans="6:8" x14ac:dyDescent="0.4">
      <c r="F401" s="72"/>
      <c r="G401" s="72"/>
      <c r="H401" s="72"/>
    </row>
    <row r="402" spans="6:8" x14ac:dyDescent="0.4">
      <c r="F402" s="72"/>
      <c r="G402" s="72"/>
      <c r="H402" s="72"/>
    </row>
    <row r="403" spans="6:8" x14ac:dyDescent="0.4">
      <c r="F403" s="72"/>
      <c r="G403" s="72"/>
      <c r="H403" s="72"/>
    </row>
    <row r="404" spans="6:8" x14ac:dyDescent="0.4">
      <c r="F404" s="72"/>
      <c r="G404" s="72"/>
      <c r="H404" s="72"/>
    </row>
    <row r="405" spans="6:8" x14ac:dyDescent="0.4">
      <c r="F405" s="72"/>
      <c r="G405" s="72"/>
      <c r="H405" s="72"/>
    </row>
    <row r="406" spans="6:8" x14ac:dyDescent="0.4">
      <c r="F406" s="72"/>
      <c r="G406" s="72"/>
      <c r="H406" s="72"/>
    </row>
    <row r="407" spans="6:8" x14ac:dyDescent="0.4">
      <c r="F407" s="72"/>
      <c r="G407" s="72"/>
      <c r="H407" s="72"/>
    </row>
    <row r="408" spans="6:8" x14ac:dyDescent="0.4">
      <c r="F408" s="72"/>
      <c r="G408" s="72"/>
      <c r="H408" s="72"/>
    </row>
    <row r="409" spans="6:8" x14ac:dyDescent="0.4">
      <c r="F409" s="72"/>
      <c r="G409" s="72"/>
      <c r="H409" s="72"/>
    </row>
    <row r="410" spans="6:8" x14ac:dyDescent="0.4">
      <c r="F410" s="72"/>
      <c r="G410" s="72"/>
      <c r="H410" s="72"/>
    </row>
    <row r="411" spans="6:8" x14ac:dyDescent="0.4">
      <c r="F411" s="72"/>
      <c r="G411" s="72"/>
      <c r="H411" s="72"/>
    </row>
    <row r="412" spans="6:8" x14ac:dyDescent="0.4">
      <c r="F412" s="72"/>
      <c r="G412" s="72"/>
      <c r="H412" s="72"/>
    </row>
    <row r="413" spans="6:8" x14ac:dyDescent="0.4">
      <c r="F413" s="72"/>
      <c r="G413" s="72"/>
      <c r="H413" s="72"/>
    </row>
    <row r="414" spans="6:8" x14ac:dyDescent="0.4">
      <c r="F414" s="72"/>
      <c r="G414" s="72"/>
      <c r="H414" s="72"/>
    </row>
    <row r="415" spans="6:8" x14ac:dyDescent="0.4">
      <c r="F415" s="72"/>
      <c r="G415" s="72"/>
      <c r="H415" s="72"/>
    </row>
    <row r="416" spans="6:8" x14ac:dyDescent="0.4">
      <c r="F416" s="72"/>
      <c r="G416" s="72"/>
      <c r="H416" s="72"/>
    </row>
    <row r="417" spans="6:8" x14ac:dyDescent="0.4">
      <c r="F417" s="72"/>
      <c r="G417" s="72"/>
      <c r="H417" s="72"/>
    </row>
    <row r="418" spans="6:8" x14ac:dyDescent="0.4">
      <c r="F418" s="72"/>
      <c r="G418" s="72"/>
      <c r="H418" s="72"/>
    </row>
    <row r="419" spans="6:8" x14ac:dyDescent="0.4">
      <c r="F419" s="72"/>
      <c r="G419" s="72"/>
      <c r="H419" s="72"/>
    </row>
    <row r="420" spans="6:8" x14ac:dyDescent="0.4">
      <c r="F420" s="72"/>
      <c r="G420" s="72"/>
      <c r="H420" s="72"/>
    </row>
    <row r="421" spans="6:8" x14ac:dyDescent="0.4">
      <c r="F421" s="72"/>
      <c r="G421" s="72"/>
      <c r="H421" s="72"/>
    </row>
    <row r="422" spans="6:8" x14ac:dyDescent="0.4">
      <c r="F422" s="72"/>
      <c r="G422" s="72"/>
      <c r="H422" s="72"/>
    </row>
    <row r="423" spans="6:8" x14ac:dyDescent="0.4">
      <c r="F423" s="72"/>
      <c r="G423" s="72"/>
      <c r="H423" s="72"/>
    </row>
    <row r="424" spans="6:8" x14ac:dyDescent="0.4">
      <c r="F424" s="72"/>
      <c r="G424" s="72"/>
      <c r="H424" s="72"/>
    </row>
    <row r="425" spans="6:8" x14ac:dyDescent="0.4">
      <c r="F425" s="72"/>
      <c r="G425" s="72"/>
      <c r="H425" s="72"/>
    </row>
    <row r="426" spans="6:8" x14ac:dyDescent="0.4">
      <c r="F426" s="72"/>
      <c r="G426" s="72"/>
      <c r="H426" s="72"/>
    </row>
    <row r="427" spans="6:8" x14ac:dyDescent="0.4">
      <c r="F427" s="72"/>
      <c r="G427" s="72"/>
      <c r="H427" s="72"/>
    </row>
    <row r="428" spans="6:8" x14ac:dyDescent="0.4">
      <c r="F428" s="72"/>
      <c r="G428" s="72"/>
      <c r="H428" s="72"/>
    </row>
    <row r="429" spans="6:8" x14ac:dyDescent="0.4">
      <c r="F429" s="72"/>
      <c r="G429" s="72"/>
      <c r="H429" s="72"/>
    </row>
    <row r="430" spans="6:8" x14ac:dyDescent="0.4">
      <c r="F430" s="72"/>
      <c r="G430" s="72"/>
      <c r="H430" s="72"/>
    </row>
    <row r="431" spans="6:8" x14ac:dyDescent="0.4">
      <c r="F431" s="72"/>
      <c r="G431" s="72"/>
      <c r="H431" s="72"/>
    </row>
    <row r="432" spans="6:8" x14ac:dyDescent="0.4">
      <c r="F432" s="72"/>
      <c r="G432" s="72"/>
      <c r="H432" s="72"/>
    </row>
    <row r="433" spans="6:8" x14ac:dyDescent="0.4">
      <c r="F433" s="72"/>
      <c r="G433" s="72"/>
      <c r="H433" s="72"/>
    </row>
    <row r="434" spans="6:8" x14ac:dyDescent="0.4">
      <c r="F434" s="72"/>
      <c r="G434" s="72"/>
      <c r="H434" s="72"/>
    </row>
    <row r="435" spans="6:8" x14ac:dyDescent="0.4">
      <c r="F435" s="72"/>
      <c r="G435" s="72"/>
      <c r="H435" s="72"/>
    </row>
    <row r="436" spans="6:8" x14ac:dyDescent="0.4">
      <c r="F436" s="72"/>
      <c r="G436" s="72"/>
      <c r="H436" s="72"/>
    </row>
    <row r="437" spans="6:8" x14ac:dyDescent="0.4">
      <c r="F437" s="72"/>
      <c r="G437" s="72"/>
      <c r="H437" s="72"/>
    </row>
    <row r="438" spans="6:8" x14ac:dyDescent="0.4">
      <c r="F438" s="72"/>
      <c r="G438" s="72"/>
      <c r="H438" s="72"/>
    </row>
    <row r="439" spans="6:8" x14ac:dyDescent="0.4">
      <c r="F439" s="72"/>
      <c r="G439" s="72"/>
      <c r="H439" s="72"/>
    </row>
    <row r="440" spans="6:8" x14ac:dyDescent="0.4">
      <c r="F440" s="72"/>
      <c r="G440" s="72"/>
      <c r="H440" s="72"/>
    </row>
    <row r="441" spans="6:8" x14ac:dyDescent="0.4">
      <c r="F441" s="72"/>
      <c r="G441" s="72"/>
      <c r="H441" s="72"/>
    </row>
    <row r="442" spans="6:8" x14ac:dyDescent="0.4">
      <c r="F442" s="72"/>
      <c r="G442" s="72"/>
      <c r="H442" s="72"/>
    </row>
    <row r="443" spans="6:8" x14ac:dyDescent="0.4">
      <c r="F443" s="72"/>
      <c r="G443" s="72"/>
      <c r="H443" s="72"/>
    </row>
    <row r="444" spans="6:8" x14ac:dyDescent="0.4">
      <c r="F444" s="72"/>
      <c r="G444" s="72"/>
      <c r="H444" s="72"/>
    </row>
    <row r="445" spans="6:8" x14ac:dyDescent="0.4">
      <c r="F445" s="72"/>
      <c r="G445" s="72"/>
      <c r="H445" s="72"/>
    </row>
    <row r="446" spans="6:8" x14ac:dyDescent="0.4">
      <c r="F446" s="72"/>
      <c r="G446" s="72"/>
      <c r="H446" s="72"/>
    </row>
    <row r="447" spans="6:8" x14ac:dyDescent="0.4">
      <c r="F447" s="72"/>
      <c r="G447" s="72"/>
      <c r="H447" s="72"/>
    </row>
    <row r="448" spans="6:8" x14ac:dyDescent="0.4">
      <c r="F448" s="72"/>
      <c r="G448" s="72"/>
      <c r="H448" s="72"/>
    </row>
    <row r="449" spans="6:8" x14ac:dyDescent="0.4">
      <c r="F449" s="72"/>
      <c r="G449" s="72"/>
      <c r="H449" s="72"/>
    </row>
    <row r="450" spans="6:8" x14ac:dyDescent="0.4">
      <c r="F450" s="72"/>
      <c r="G450" s="72"/>
      <c r="H450" s="72"/>
    </row>
    <row r="451" spans="6:8" x14ac:dyDescent="0.4">
      <c r="F451" s="72"/>
      <c r="G451" s="72"/>
      <c r="H451" s="72"/>
    </row>
    <row r="452" spans="6:8" x14ac:dyDescent="0.4">
      <c r="F452" s="72"/>
      <c r="G452" s="72"/>
      <c r="H452" s="72"/>
    </row>
    <row r="453" spans="6:8" x14ac:dyDescent="0.4">
      <c r="F453" s="72"/>
      <c r="G453" s="72"/>
      <c r="H453" s="72"/>
    </row>
    <row r="454" spans="6:8" x14ac:dyDescent="0.4">
      <c r="F454" s="72"/>
      <c r="G454" s="72"/>
      <c r="H454" s="72"/>
    </row>
    <row r="455" spans="6:8" x14ac:dyDescent="0.4">
      <c r="F455" s="72"/>
      <c r="G455" s="72"/>
      <c r="H455" s="72"/>
    </row>
    <row r="456" spans="6:8" x14ac:dyDescent="0.4">
      <c r="F456" s="72"/>
      <c r="G456" s="72"/>
      <c r="H456" s="72"/>
    </row>
    <row r="457" spans="6:8" x14ac:dyDescent="0.4">
      <c r="F457" s="72"/>
      <c r="G457" s="72"/>
      <c r="H457" s="72"/>
    </row>
    <row r="458" spans="6:8" x14ac:dyDescent="0.4">
      <c r="F458" s="72"/>
      <c r="G458" s="72"/>
      <c r="H458" s="72"/>
    </row>
    <row r="459" spans="6:8" x14ac:dyDescent="0.4">
      <c r="F459" s="72"/>
      <c r="G459" s="72"/>
      <c r="H459" s="72"/>
    </row>
    <row r="460" spans="6:8" x14ac:dyDescent="0.4">
      <c r="F460" s="72"/>
      <c r="G460" s="72"/>
      <c r="H460" s="72"/>
    </row>
    <row r="461" spans="6:8" x14ac:dyDescent="0.4">
      <c r="F461" s="72"/>
      <c r="G461" s="72"/>
      <c r="H461" s="72"/>
    </row>
    <row r="462" spans="6:8" x14ac:dyDescent="0.4">
      <c r="F462" s="72"/>
      <c r="G462" s="72"/>
      <c r="H462" s="72"/>
    </row>
    <row r="463" spans="6:8" x14ac:dyDescent="0.4">
      <c r="F463" s="72"/>
      <c r="G463" s="72"/>
      <c r="H463" s="72"/>
    </row>
    <row r="464" spans="6:8" x14ac:dyDescent="0.4">
      <c r="F464" s="72"/>
      <c r="G464" s="72"/>
      <c r="H464" s="72"/>
    </row>
    <row r="465" spans="6:8" x14ac:dyDescent="0.4">
      <c r="F465" s="72"/>
      <c r="G465" s="72"/>
      <c r="H465" s="72"/>
    </row>
    <row r="466" spans="6:8" x14ac:dyDescent="0.4">
      <c r="F466" s="72"/>
      <c r="G466" s="72"/>
      <c r="H466" s="72"/>
    </row>
    <row r="467" spans="6:8" x14ac:dyDescent="0.4">
      <c r="F467" s="72"/>
      <c r="G467" s="72"/>
      <c r="H467" s="72"/>
    </row>
    <row r="468" spans="6:8" x14ac:dyDescent="0.4">
      <c r="F468" s="72"/>
      <c r="G468" s="72"/>
      <c r="H468" s="72"/>
    </row>
    <row r="469" spans="6:8" x14ac:dyDescent="0.4">
      <c r="F469" s="72"/>
      <c r="G469" s="72"/>
      <c r="H469" s="72"/>
    </row>
    <row r="470" spans="6:8" x14ac:dyDescent="0.4">
      <c r="F470" s="72"/>
      <c r="G470" s="72"/>
      <c r="H470" s="72"/>
    </row>
    <row r="471" spans="6:8" x14ac:dyDescent="0.4">
      <c r="F471" s="72"/>
      <c r="G471" s="72"/>
      <c r="H471" s="72"/>
    </row>
    <row r="472" spans="6:8" x14ac:dyDescent="0.4">
      <c r="F472" s="72"/>
      <c r="G472" s="72"/>
      <c r="H472" s="72"/>
    </row>
    <row r="473" spans="6:8" x14ac:dyDescent="0.4">
      <c r="F473" s="72"/>
      <c r="G473" s="72"/>
      <c r="H473" s="72"/>
    </row>
    <row r="474" spans="6:8" x14ac:dyDescent="0.4">
      <c r="F474" s="72"/>
      <c r="G474" s="72"/>
      <c r="H474" s="72"/>
    </row>
    <row r="475" spans="6:8" x14ac:dyDescent="0.4">
      <c r="F475" s="72"/>
      <c r="G475" s="72"/>
      <c r="H475" s="72"/>
    </row>
    <row r="476" spans="6:8" x14ac:dyDescent="0.4">
      <c r="F476" s="72"/>
      <c r="G476" s="72"/>
      <c r="H476" s="72"/>
    </row>
    <row r="477" spans="6:8" x14ac:dyDescent="0.4">
      <c r="F477" s="72"/>
      <c r="G477" s="72"/>
      <c r="H477" s="72"/>
    </row>
    <row r="478" spans="6:8" x14ac:dyDescent="0.4">
      <c r="F478" s="72"/>
      <c r="G478" s="72"/>
      <c r="H478" s="72"/>
    </row>
    <row r="479" spans="6:8" x14ac:dyDescent="0.4">
      <c r="F479" s="72"/>
      <c r="G479" s="72"/>
      <c r="H479" s="72"/>
    </row>
    <row r="480" spans="6:8" x14ac:dyDescent="0.4">
      <c r="F480" s="72"/>
      <c r="G480" s="72"/>
      <c r="H480" s="72"/>
    </row>
    <row r="481" spans="6:8" x14ac:dyDescent="0.4">
      <c r="F481" s="72"/>
      <c r="G481" s="72"/>
      <c r="H481" s="72"/>
    </row>
    <row r="482" spans="6:8" x14ac:dyDescent="0.4">
      <c r="F482" s="72"/>
      <c r="G482" s="72"/>
      <c r="H482" s="72"/>
    </row>
    <row r="483" spans="6:8" x14ac:dyDescent="0.4">
      <c r="F483" s="72"/>
      <c r="G483" s="72"/>
      <c r="H483" s="72"/>
    </row>
    <row r="484" spans="6:8" x14ac:dyDescent="0.4">
      <c r="F484" s="72"/>
      <c r="G484" s="72"/>
      <c r="H484" s="72"/>
    </row>
    <row r="485" spans="6:8" x14ac:dyDescent="0.4">
      <c r="F485" s="72"/>
      <c r="G485" s="72"/>
      <c r="H485" s="72"/>
    </row>
    <row r="486" spans="6:8" x14ac:dyDescent="0.4">
      <c r="F486" s="72"/>
      <c r="G486" s="72"/>
      <c r="H486" s="72"/>
    </row>
    <row r="487" spans="6:8" x14ac:dyDescent="0.4">
      <c r="F487" s="72"/>
      <c r="G487" s="72"/>
      <c r="H487" s="72"/>
    </row>
    <row r="488" spans="6:8" x14ac:dyDescent="0.4">
      <c r="F488" s="72"/>
      <c r="G488" s="72"/>
      <c r="H488" s="72"/>
    </row>
    <row r="489" spans="6:8" x14ac:dyDescent="0.4">
      <c r="F489" s="72"/>
      <c r="G489" s="72"/>
      <c r="H489" s="72"/>
    </row>
    <row r="490" spans="6:8" x14ac:dyDescent="0.4">
      <c r="F490" s="72"/>
      <c r="G490" s="72"/>
      <c r="H490" s="72"/>
    </row>
    <row r="491" spans="6:8" x14ac:dyDescent="0.4">
      <c r="F491" s="72"/>
      <c r="G491" s="72"/>
      <c r="H491" s="72"/>
    </row>
    <row r="492" spans="6:8" x14ac:dyDescent="0.4">
      <c r="F492" s="72"/>
      <c r="G492" s="72"/>
      <c r="H492" s="72"/>
    </row>
    <row r="493" spans="6:8" x14ac:dyDescent="0.4">
      <c r="F493" s="72"/>
      <c r="G493" s="72"/>
      <c r="H493" s="72"/>
    </row>
    <row r="494" spans="6:8" x14ac:dyDescent="0.4">
      <c r="F494" s="72"/>
      <c r="G494" s="72"/>
      <c r="H494" s="72"/>
    </row>
    <row r="495" spans="6:8" x14ac:dyDescent="0.4">
      <c r="F495" s="72"/>
      <c r="G495" s="72"/>
      <c r="H495" s="72"/>
    </row>
    <row r="496" spans="6:8" x14ac:dyDescent="0.4">
      <c r="F496" s="72"/>
      <c r="G496" s="72"/>
      <c r="H496" s="72"/>
    </row>
    <row r="497" spans="6:8" x14ac:dyDescent="0.4">
      <c r="F497" s="72"/>
      <c r="G497" s="72"/>
      <c r="H497" s="72"/>
    </row>
    <row r="498" spans="6:8" x14ac:dyDescent="0.4">
      <c r="F498" s="72"/>
      <c r="G498" s="72"/>
      <c r="H498" s="72"/>
    </row>
    <row r="499" spans="6:8" x14ac:dyDescent="0.4">
      <c r="F499" s="72"/>
      <c r="G499" s="72"/>
      <c r="H499" s="72"/>
    </row>
    <row r="500" spans="6:8" x14ac:dyDescent="0.4">
      <c r="F500" s="72"/>
      <c r="G500" s="72"/>
      <c r="H500" s="72"/>
    </row>
    <row r="501" spans="6:8" x14ac:dyDescent="0.4">
      <c r="F501" s="72"/>
      <c r="G501" s="72"/>
      <c r="H501" s="72"/>
    </row>
    <row r="502" spans="6:8" x14ac:dyDescent="0.4">
      <c r="F502" s="72"/>
      <c r="G502" s="72"/>
      <c r="H502" s="72"/>
    </row>
    <row r="503" spans="6:8" x14ac:dyDescent="0.4">
      <c r="F503" s="72"/>
      <c r="G503" s="72"/>
      <c r="H503" s="72"/>
    </row>
    <row r="504" spans="6:8" x14ac:dyDescent="0.4">
      <c r="F504" s="72"/>
      <c r="G504" s="72"/>
      <c r="H504" s="72"/>
    </row>
    <row r="505" spans="6:8" x14ac:dyDescent="0.4">
      <c r="F505" s="72"/>
      <c r="G505" s="72"/>
      <c r="H505" s="72"/>
    </row>
    <row r="506" spans="6:8" x14ac:dyDescent="0.4">
      <c r="F506" s="72"/>
      <c r="G506" s="72"/>
      <c r="H506" s="72"/>
    </row>
    <row r="507" spans="6:8" x14ac:dyDescent="0.4">
      <c r="F507" s="72"/>
      <c r="G507" s="72"/>
      <c r="H507" s="72"/>
    </row>
    <row r="508" spans="6:8" x14ac:dyDescent="0.4">
      <c r="F508" s="72"/>
      <c r="G508" s="72"/>
      <c r="H508" s="72"/>
    </row>
    <row r="509" spans="6:8" x14ac:dyDescent="0.4">
      <c r="F509" s="72"/>
      <c r="G509" s="72"/>
      <c r="H509" s="72"/>
    </row>
    <row r="510" spans="6:8" x14ac:dyDescent="0.4">
      <c r="F510" s="72"/>
      <c r="G510" s="72"/>
      <c r="H510" s="72"/>
    </row>
    <row r="511" spans="6:8" x14ac:dyDescent="0.4">
      <c r="F511" s="72"/>
      <c r="G511" s="72"/>
      <c r="H511" s="72"/>
    </row>
    <row r="512" spans="6:8" x14ac:dyDescent="0.4">
      <c r="F512" s="72"/>
      <c r="G512" s="72"/>
      <c r="H512" s="72"/>
    </row>
    <row r="513" spans="6:8" x14ac:dyDescent="0.4">
      <c r="F513" s="72"/>
      <c r="G513" s="72"/>
      <c r="H513" s="72"/>
    </row>
    <row r="514" spans="6:8" x14ac:dyDescent="0.4">
      <c r="F514" s="72"/>
      <c r="G514" s="72"/>
      <c r="H514" s="72"/>
    </row>
    <row r="515" spans="6:8" x14ac:dyDescent="0.4">
      <c r="F515" s="72"/>
      <c r="G515" s="72"/>
      <c r="H515" s="72"/>
    </row>
    <row r="516" spans="6:8" x14ac:dyDescent="0.4">
      <c r="F516" s="72"/>
      <c r="G516" s="72"/>
      <c r="H516" s="72"/>
    </row>
    <row r="517" spans="6:8" x14ac:dyDescent="0.4">
      <c r="F517" s="72"/>
      <c r="G517" s="72"/>
      <c r="H517" s="72"/>
    </row>
    <row r="518" spans="6:8" x14ac:dyDescent="0.4">
      <c r="F518" s="72"/>
      <c r="G518" s="72"/>
      <c r="H518" s="72"/>
    </row>
    <row r="519" spans="6:8" x14ac:dyDescent="0.4">
      <c r="F519" s="72"/>
      <c r="G519" s="72"/>
      <c r="H519" s="72"/>
    </row>
    <row r="520" spans="6:8" x14ac:dyDescent="0.4">
      <c r="F520" s="72"/>
      <c r="G520" s="72"/>
      <c r="H520" s="72"/>
    </row>
    <row r="521" spans="6:8" x14ac:dyDescent="0.4">
      <c r="F521" s="72"/>
      <c r="G521" s="72"/>
      <c r="H521" s="72"/>
    </row>
    <row r="522" spans="6:8" x14ac:dyDescent="0.4">
      <c r="F522" s="72"/>
      <c r="G522" s="72"/>
      <c r="H522" s="72"/>
    </row>
    <row r="523" spans="6:8" x14ac:dyDescent="0.4">
      <c r="F523" s="72"/>
      <c r="G523" s="72"/>
      <c r="H523" s="72"/>
    </row>
    <row r="524" spans="6:8" x14ac:dyDescent="0.4">
      <c r="F524" s="72"/>
      <c r="G524" s="72"/>
      <c r="H524" s="72"/>
    </row>
    <row r="525" spans="6:8" x14ac:dyDescent="0.4">
      <c r="F525" s="72"/>
      <c r="G525" s="72"/>
      <c r="H525" s="72"/>
    </row>
    <row r="526" spans="6:8" x14ac:dyDescent="0.4">
      <c r="F526" s="72"/>
      <c r="G526" s="72"/>
      <c r="H526" s="72"/>
    </row>
    <row r="527" spans="6:8" x14ac:dyDescent="0.4">
      <c r="F527" s="72"/>
      <c r="G527" s="72"/>
      <c r="H527" s="72"/>
    </row>
    <row r="528" spans="6:8" x14ac:dyDescent="0.4">
      <c r="F528" s="72"/>
      <c r="G528" s="72"/>
      <c r="H528" s="72"/>
    </row>
    <row r="529" spans="6:8" x14ac:dyDescent="0.4">
      <c r="F529" s="72"/>
      <c r="G529" s="72"/>
      <c r="H529" s="72"/>
    </row>
    <row r="530" spans="6:8" x14ac:dyDescent="0.4">
      <c r="F530" s="72"/>
      <c r="G530" s="72"/>
      <c r="H530" s="72"/>
    </row>
    <row r="531" spans="6:8" x14ac:dyDescent="0.4">
      <c r="F531" s="72"/>
      <c r="G531" s="72"/>
      <c r="H531" s="72"/>
    </row>
    <row r="532" spans="6:8" x14ac:dyDescent="0.4">
      <c r="F532" s="72"/>
      <c r="G532" s="72"/>
      <c r="H532" s="72"/>
    </row>
    <row r="533" spans="6:8" x14ac:dyDescent="0.4">
      <c r="F533" s="72"/>
      <c r="G533" s="72"/>
      <c r="H533" s="72"/>
    </row>
    <row r="534" spans="6:8" x14ac:dyDescent="0.4">
      <c r="F534" s="72"/>
      <c r="G534" s="72"/>
      <c r="H534" s="72"/>
    </row>
    <row r="535" spans="6:8" x14ac:dyDescent="0.4">
      <c r="F535" s="72"/>
      <c r="G535" s="72"/>
      <c r="H535" s="72"/>
    </row>
    <row r="536" spans="6:8" x14ac:dyDescent="0.4">
      <c r="F536" s="72"/>
      <c r="G536" s="72"/>
      <c r="H536" s="72"/>
    </row>
    <row r="537" spans="6:8" x14ac:dyDescent="0.4">
      <c r="F537" s="72"/>
      <c r="G537" s="72"/>
      <c r="H537" s="72"/>
    </row>
    <row r="538" spans="6:8" x14ac:dyDescent="0.4">
      <c r="F538" s="72"/>
      <c r="G538" s="72"/>
      <c r="H538" s="72"/>
    </row>
    <row r="539" spans="6:8" x14ac:dyDescent="0.4">
      <c r="F539" s="72"/>
      <c r="G539" s="72"/>
      <c r="H539" s="72"/>
    </row>
    <row r="540" spans="6:8" x14ac:dyDescent="0.4">
      <c r="F540" s="72"/>
      <c r="G540" s="72"/>
      <c r="H540" s="72"/>
    </row>
    <row r="541" spans="6:8" x14ac:dyDescent="0.4">
      <c r="F541" s="72"/>
      <c r="G541" s="72"/>
      <c r="H541" s="72"/>
    </row>
    <row r="542" spans="6:8" x14ac:dyDescent="0.4">
      <c r="F542" s="72"/>
      <c r="G542" s="72"/>
      <c r="H542" s="72"/>
    </row>
    <row r="543" spans="6:8" x14ac:dyDescent="0.4">
      <c r="F543" s="72"/>
      <c r="G543" s="72"/>
      <c r="H543" s="72"/>
    </row>
    <row r="544" spans="6:8" x14ac:dyDescent="0.4">
      <c r="F544" s="72"/>
      <c r="G544" s="72"/>
      <c r="H544" s="72"/>
    </row>
    <row r="545" spans="6:8" x14ac:dyDescent="0.4">
      <c r="F545" s="72"/>
      <c r="G545" s="72"/>
      <c r="H545" s="72"/>
    </row>
    <row r="546" spans="6:8" x14ac:dyDescent="0.4">
      <c r="F546" s="72"/>
      <c r="G546" s="72"/>
      <c r="H546" s="72"/>
    </row>
    <row r="547" spans="6:8" x14ac:dyDescent="0.4">
      <c r="F547" s="72"/>
      <c r="G547" s="72"/>
      <c r="H547" s="72"/>
    </row>
    <row r="548" spans="6:8" x14ac:dyDescent="0.4">
      <c r="F548" s="72"/>
      <c r="G548" s="72"/>
      <c r="H548" s="72"/>
    </row>
    <row r="549" spans="6:8" x14ac:dyDescent="0.4">
      <c r="F549" s="72"/>
      <c r="G549" s="72"/>
      <c r="H549" s="72"/>
    </row>
    <row r="550" spans="6:8" x14ac:dyDescent="0.4">
      <c r="F550" s="72"/>
      <c r="G550" s="72"/>
      <c r="H550" s="72"/>
    </row>
    <row r="551" spans="6:8" x14ac:dyDescent="0.4">
      <c r="F551" s="72"/>
      <c r="G551" s="72"/>
      <c r="H551" s="72"/>
    </row>
    <row r="552" spans="6:8" x14ac:dyDescent="0.4">
      <c r="F552" s="72"/>
      <c r="G552" s="72"/>
      <c r="H552" s="72"/>
    </row>
    <row r="553" spans="6:8" x14ac:dyDescent="0.4">
      <c r="F553" s="72"/>
      <c r="G553" s="72"/>
      <c r="H553" s="72"/>
    </row>
    <row r="554" spans="6:8" x14ac:dyDescent="0.4">
      <c r="F554" s="72"/>
      <c r="G554" s="72"/>
      <c r="H554" s="72"/>
    </row>
    <row r="555" spans="6:8" x14ac:dyDescent="0.4">
      <c r="F555" s="72"/>
      <c r="G555" s="72"/>
      <c r="H555" s="72"/>
    </row>
    <row r="556" spans="6:8" x14ac:dyDescent="0.4">
      <c r="F556" s="72"/>
      <c r="G556" s="72"/>
      <c r="H556" s="72"/>
    </row>
    <row r="557" spans="6:8" x14ac:dyDescent="0.4">
      <c r="F557" s="72"/>
      <c r="G557" s="72"/>
      <c r="H557" s="72"/>
    </row>
    <row r="558" spans="6:8" x14ac:dyDescent="0.4">
      <c r="F558" s="72"/>
      <c r="G558" s="72"/>
      <c r="H558" s="72"/>
    </row>
    <row r="559" spans="6:8" x14ac:dyDescent="0.4">
      <c r="F559" s="72"/>
      <c r="G559" s="72"/>
      <c r="H559" s="72"/>
    </row>
    <row r="560" spans="6:8" x14ac:dyDescent="0.4">
      <c r="F560" s="72"/>
      <c r="G560" s="72"/>
      <c r="H560" s="72"/>
    </row>
    <row r="561" spans="6:8" x14ac:dyDescent="0.4">
      <c r="F561" s="72"/>
      <c r="G561" s="72"/>
      <c r="H561" s="72"/>
    </row>
    <row r="562" spans="6:8" x14ac:dyDescent="0.4">
      <c r="F562" s="72"/>
      <c r="G562" s="72"/>
      <c r="H562" s="72"/>
    </row>
    <row r="563" spans="6:8" x14ac:dyDescent="0.4">
      <c r="F563" s="72"/>
      <c r="G563" s="72"/>
      <c r="H563" s="72"/>
    </row>
    <row r="564" spans="6:8" x14ac:dyDescent="0.4">
      <c r="F564" s="72"/>
      <c r="G564" s="72"/>
      <c r="H564" s="72"/>
    </row>
    <row r="565" spans="6:8" x14ac:dyDescent="0.4">
      <c r="F565" s="72"/>
      <c r="G565" s="72"/>
      <c r="H565" s="72"/>
    </row>
    <row r="566" spans="6:8" x14ac:dyDescent="0.4">
      <c r="F566" s="72"/>
      <c r="G566" s="72"/>
      <c r="H566" s="72"/>
    </row>
    <row r="567" spans="6:8" x14ac:dyDescent="0.4">
      <c r="F567" s="72"/>
      <c r="G567" s="72"/>
      <c r="H567" s="72"/>
    </row>
    <row r="568" spans="6:8" x14ac:dyDescent="0.4">
      <c r="F568" s="72"/>
      <c r="G568" s="72"/>
      <c r="H568" s="72"/>
    </row>
    <row r="569" spans="6:8" x14ac:dyDescent="0.4">
      <c r="F569" s="72"/>
      <c r="G569" s="72"/>
      <c r="H569" s="72"/>
    </row>
    <row r="570" spans="6:8" x14ac:dyDescent="0.4">
      <c r="F570" s="72"/>
      <c r="G570" s="72"/>
      <c r="H570" s="72"/>
    </row>
    <row r="571" spans="6:8" x14ac:dyDescent="0.4">
      <c r="F571" s="72"/>
      <c r="G571" s="72"/>
      <c r="H571" s="72"/>
    </row>
    <row r="572" spans="6:8" x14ac:dyDescent="0.4">
      <c r="F572" s="72"/>
      <c r="G572" s="72"/>
      <c r="H572" s="72"/>
    </row>
    <row r="573" spans="6:8" x14ac:dyDescent="0.4">
      <c r="F573" s="72"/>
      <c r="G573" s="72"/>
      <c r="H573" s="72"/>
    </row>
    <row r="574" spans="6:8" x14ac:dyDescent="0.4">
      <c r="F574" s="72"/>
      <c r="G574" s="72"/>
      <c r="H574" s="72"/>
    </row>
    <row r="575" spans="6:8" x14ac:dyDescent="0.4">
      <c r="F575" s="72"/>
      <c r="G575" s="72"/>
      <c r="H575" s="72"/>
    </row>
    <row r="576" spans="6:8" x14ac:dyDescent="0.4">
      <c r="F576" s="72"/>
      <c r="G576" s="72"/>
      <c r="H576" s="72"/>
    </row>
    <row r="577" spans="6:8" x14ac:dyDescent="0.4">
      <c r="F577" s="72"/>
      <c r="G577" s="72"/>
      <c r="H577" s="72"/>
    </row>
    <row r="578" spans="6:8" x14ac:dyDescent="0.4">
      <c r="F578" s="72"/>
      <c r="G578" s="72"/>
      <c r="H578" s="72"/>
    </row>
    <row r="579" spans="6:8" x14ac:dyDescent="0.4">
      <c r="F579" s="72"/>
      <c r="G579" s="72"/>
      <c r="H579" s="72"/>
    </row>
    <row r="580" spans="6:8" x14ac:dyDescent="0.4">
      <c r="F580" s="72"/>
      <c r="G580" s="72"/>
      <c r="H580" s="72"/>
    </row>
    <row r="581" spans="6:8" x14ac:dyDescent="0.4">
      <c r="F581" s="72"/>
      <c r="G581" s="72"/>
      <c r="H581" s="72"/>
    </row>
    <row r="582" spans="6:8" x14ac:dyDescent="0.4">
      <c r="F582" s="72"/>
      <c r="G582" s="72"/>
      <c r="H582" s="72"/>
    </row>
    <row r="583" spans="6:8" x14ac:dyDescent="0.4">
      <c r="F583" s="72"/>
      <c r="G583" s="72"/>
      <c r="H583" s="72"/>
    </row>
    <row r="584" spans="6:8" x14ac:dyDescent="0.4">
      <c r="F584" s="72"/>
      <c r="G584" s="72"/>
      <c r="H584" s="72"/>
    </row>
    <row r="585" spans="6:8" x14ac:dyDescent="0.4">
      <c r="F585" s="72"/>
      <c r="G585" s="72"/>
      <c r="H585" s="72"/>
    </row>
    <row r="586" spans="6:8" x14ac:dyDescent="0.4">
      <c r="F586" s="72"/>
      <c r="G586" s="72"/>
      <c r="H586" s="72"/>
    </row>
    <row r="587" spans="6:8" x14ac:dyDescent="0.4">
      <c r="F587" s="72"/>
      <c r="G587" s="72"/>
      <c r="H587" s="72"/>
    </row>
    <row r="588" spans="6:8" x14ac:dyDescent="0.4">
      <c r="F588" s="72"/>
      <c r="G588" s="72"/>
      <c r="H588" s="72"/>
    </row>
    <row r="589" spans="6:8" x14ac:dyDescent="0.4">
      <c r="F589" s="72"/>
      <c r="G589" s="72"/>
      <c r="H589" s="72"/>
    </row>
    <row r="590" spans="6:8" x14ac:dyDescent="0.4">
      <c r="F590" s="72"/>
      <c r="G590" s="72"/>
      <c r="H590" s="72"/>
    </row>
    <row r="591" spans="6:8" x14ac:dyDescent="0.4">
      <c r="F591" s="72"/>
      <c r="G591" s="72"/>
      <c r="H591" s="72"/>
    </row>
    <row r="592" spans="6:8" x14ac:dyDescent="0.4">
      <c r="F592" s="72"/>
      <c r="G592" s="72"/>
      <c r="H592" s="72"/>
    </row>
    <row r="593" spans="6:8" x14ac:dyDescent="0.4">
      <c r="F593" s="72"/>
      <c r="G593" s="72"/>
      <c r="H593" s="72"/>
    </row>
    <row r="594" spans="6:8" x14ac:dyDescent="0.4">
      <c r="F594" s="72"/>
      <c r="G594" s="72"/>
      <c r="H594" s="72"/>
    </row>
    <row r="595" spans="6:8" x14ac:dyDescent="0.4">
      <c r="F595" s="72"/>
      <c r="G595" s="72"/>
      <c r="H595" s="72"/>
    </row>
    <row r="596" spans="6:8" x14ac:dyDescent="0.4">
      <c r="F596" s="72"/>
      <c r="G596" s="72"/>
      <c r="H596" s="72"/>
    </row>
    <row r="597" spans="6:8" x14ac:dyDescent="0.4">
      <c r="F597" s="72"/>
      <c r="G597" s="72"/>
      <c r="H597" s="72"/>
    </row>
    <row r="598" spans="6:8" x14ac:dyDescent="0.4">
      <c r="F598" s="72"/>
      <c r="G598" s="72"/>
      <c r="H598" s="72"/>
    </row>
    <row r="599" spans="6:8" x14ac:dyDescent="0.4">
      <c r="F599" s="72"/>
      <c r="G599" s="72"/>
      <c r="H599" s="72"/>
    </row>
    <row r="600" spans="6:8" x14ac:dyDescent="0.4">
      <c r="F600" s="72"/>
      <c r="G600" s="72"/>
      <c r="H600" s="72"/>
    </row>
    <row r="601" spans="6:8" x14ac:dyDescent="0.4">
      <c r="F601" s="72"/>
      <c r="G601" s="72"/>
      <c r="H601" s="72"/>
    </row>
    <row r="602" spans="6:8" x14ac:dyDescent="0.4">
      <c r="F602" s="72"/>
      <c r="G602" s="72"/>
      <c r="H602" s="72"/>
    </row>
    <row r="603" spans="6:8" x14ac:dyDescent="0.4">
      <c r="F603" s="72"/>
      <c r="G603" s="72"/>
      <c r="H603" s="72"/>
    </row>
    <row r="604" spans="6:8" x14ac:dyDescent="0.4">
      <c r="F604" s="72"/>
      <c r="G604" s="72"/>
      <c r="H604" s="72"/>
    </row>
    <row r="605" spans="6:8" x14ac:dyDescent="0.4">
      <c r="F605" s="72"/>
      <c r="G605" s="72"/>
      <c r="H605" s="72"/>
    </row>
    <row r="606" spans="6:8" x14ac:dyDescent="0.4">
      <c r="F606" s="72"/>
      <c r="G606" s="72"/>
      <c r="H606" s="72"/>
    </row>
    <row r="607" spans="6:8" x14ac:dyDescent="0.4">
      <c r="F607" s="72"/>
      <c r="G607" s="72"/>
      <c r="H607" s="72"/>
    </row>
    <row r="608" spans="6:8" x14ac:dyDescent="0.4">
      <c r="F608" s="72"/>
      <c r="G608" s="72"/>
      <c r="H608" s="72"/>
    </row>
    <row r="609" spans="6:8" x14ac:dyDescent="0.4">
      <c r="F609" s="72"/>
      <c r="G609" s="72"/>
      <c r="H609" s="72"/>
    </row>
    <row r="610" spans="6:8" x14ac:dyDescent="0.4">
      <c r="F610" s="72"/>
      <c r="G610" s="72"/>
      <c r="H610" s="72"/>
    </row>
    <row r="611" spans="6:8" x14ac:dyDescent="0.4">
      <c r="F611" s="72"/>
      <c r="G611" s="72"/>
      <c r="H611" s="72"/>
    </row>
    <row r="612" spans="6:8" x14ac:dyDescent="0.4">
      <c r="F612" s="72"/>
      <c r="G612" s="72"/>
      <c r="H612" s="72"/>
    </row>
    <row r="613" spans="6:8" x14ac:dyDescent="0.4">
      <c r="F613" s="72"/>
      <c r="G613" s="72"/>
      <c r="H613" s="72"/>
    </row>
    <row r="614" spans="6:8" x14ac:dyDescent="0.4">
      <c r="F614" s="72"/>
      <c r="G614" s="72"/>
      <c r="H614" s="72"/>
    </row>
    <row r="615" spans="6:8" x14ac:dyDescent="0.4">
      <c r="F615" s="72"/>
      <c r="G615" s="72"/>
      <c r="H615" s="72"/>
    </row>
    <row r="616" spans="6:8" x14ac:dyDescent="0.4">
      <c r="F616" s="72"/>
      <c r="G616" s="72"/>
      <c r="H616" s="72"/>
    </row>
    <row r="617" spans="6:8" x14ac:dyDescent="0.4">
      <c r="F617" s="72"/>
      <c r="G617" s="72"/>
      <c r="H617" s="72"/>
    </row>
    <row r="618" spans="6:8" x14ac:dyDescent="0.4">
      <c r="F618" s="72"/>
      <c r="G618" s="72"/>
      <c r="H618" s="72"/>
    </row>
    <row r="619" spans="6:8" x14ac:dyDescent="0.4">
      <c r="F619" s="72"/>
      <c r="G619" s="72"/>
      <c r="H619" s="72"/>
    </row>
    <row r="620" spans="6:8" x14ac:dyDescent="0.4">
      <c r="F620" s="72"/>
      <c r="G620" s="72"/>
      <c r="H620" s="72"/>
    </row>
    <row r="621" spans="6:8" x14ac:dyDescent="0.4">
      <c r="F621" s="72"/>
      <c r="G621" s="72"/>
      <c r="H621" s="72"/>
    </row>
    <row r="622" spans="6:8" x14ac:dyDescent="0.4">
      <c r="F622" s="72"/>
      <c r="G622" s="72"/>
      <c r="H622" s="72"/>
    </row>
    <row r="623" spans="6:8" x14ac:dyDescent="0.4">
      <c r="F623" s="72"/>
      <c r="G623" s="72"/>
      <c r="H623" s="72"/>
    </row>
    <row r="624" spans="6:8" x14ac:dyDescent="0.4">
      <c r="F624" s="72"/>
      <c r="G624" s="72"/>
      <c r="H624" s="72"/>
    </row>
    <row r="625" spans="6:8" x14ac:dyDescent="0.4">
      <c r="F625" s="72"/>
      <c r="G625" s="72"/>
      <c r="H625" s="72"/>
    </row>
    <row r="626" spans="6:8" x14ac:dyDescent="0.4">
      <c r="F626" s="72"/>
      <c r="G626" s="72"/>
      <c r="H626" s="72"/>
    </row>
    <row r="627" spans="6:8" x14ac:dyDescent="0.4">
      <c r="F627" s="72"/>
      <c r="G627" s="72"/>
      <c r="H627" s="72"/>
    </row>
    <row r="628" spans="6:8" x14ac:dyDescent="0.4">
      <c r="F628" s="72"/>
      <c r="G628" s="72"/>
      <c r="H628" s="72"/>
    </row>
    <row r="629" spans="6:8" x14ac:dyDescent="0.4">
      <c r="F629" s="72"/>
      <c r="G629" s="72"/>
      <c r="H629" s="72"/>
    </row>
    <row r="630" spans="6:8" x14ac:dyDescent="0.4">
      <c r="F630" s="72"/>
      <c r="G630" s="72"/>
      <c r="H630" s="72"/>
    </row>
    <row r="631" spans="6:8" x14ac:dyDescent="0.4">
      <c r="F631" s="72"/>
      <c r="G631" s="72"/>
      <c r="H631" s="72"/>
    </row>
    <row r="632" spans="6:8" x14ac:dyDescent="0.4">
      <c r="F632" s="72"/>
      <c r="G632" s="72"/>
      <c r="H632" s="72"/>
    </row>
    <row r="633" spans="6:8" x14ac:dyDescent="0.4">
      <c r="F633" s="72"/>
      <c r="G633" s="72"/>
      <c r="H633" s="72"/>
    </row>
    <row r="634" spans="6:8" x14ac:dyDescent="0.4">
      <c r="F634" s="72"/>
      <c r="G634" s="72"/>
      <c r="H634" s="72"/>
    </row>
    <row r="635" spans="6:8" x14ac:dyDescent="0.4">
      <c r="F635" s="72"/>
      <c r="G635" s="72"/>
      <c r="H635" s="72"/>
    </row>
    <row r="636" spans="6:8" x14ac:dyDescent="0.4">
      <c r="F636" s="72"/>
      <c r="G636" s="72"/>
      <c r="H636" s="72"/>
    </row>
    <row r="637" spans="6:8" x14ac:dyDescent="0.4">
      <c r="F637" s="72"/>
      <c r="G637" s="72"/>
      <c r="H637" s="72"/>
    </row>
    <row r="638" spans="6:8" x14ac:dyDescent="0.4">
      <c r="F638" s="72"/>
      <c r="G638" s="72"/>
      <c r="H638" s="72"/>
    </row>
    <row r="639" spans="6:8" x14ac:dyDescent="0.4">
      <c r="F639" s="72"/>
      <c r="G639" s="72"/>
      <c r="H639" s="72"/>
    </row>
    <row r="640" spans="6:8" x14ac:dyDescent="0.4">
      <c r="F640" s="72"/>
      <c r="G640" s="72"/>
      <c r="H640" s="72"/>
    </row>
    <row r="641" spans="6:8" x14ac:dyDescent="0.4">
      <c r="F641" s="72"/>
      <c r="G641" s="72"/>
      <c r="H641" s="72"/>
    </row>
    <row r="642" spans="6:8" x14ac:dyDescent="0.4">
      <c r="F642" s="72"/>
      <c r="G642" s="72"/>
      <c r="H642" s="72"/>
    </row>
    <row r="643" spans="6:8" x14ac:dyDescent="0.4">
      <c r="F643" s="72"/>
      <c r="G643" s="72"/>
      <c r="H643" s="72"/>
    </row>
    <row r="644" spans="6:8" x14ac:dyDescent="0.4">
      <c r="F644" s="72"/>
      <c r="G644" s="72"/>
      <c r="H644" s="72"/>
    </row>
    <row r="645" spans="6:8" x14ac:dyDescent="0.4">
      <c r="F645" s="72"/>
      <c r="G645" s="72"/>
      <c r="H645" s="72"/>
    </row>
    <row r="646" spans="6:8" x14ac:dyDescent="0.4">
      <c r="F646" s="72"/>
      <c r="G646" s="72"/>
      <c r="H646" s="72"/>
    </row>
    <row r="647" spans="6:8" x14ac:dyDescent="0.4">
      <c r="F647" s="72"/>
      <c r="G647" s="72"/>
      <c r="H647" s="72"/>
    </row>
    <row r="648" spans="6:8" x14ac:dyDescent="0.4">
      <c r="F648" s="72"/>
      <c r="G648" s="72"/>
      <c r="H648" s="72"/>
    </row>
    <row r="649" spans="6:8" x14ac:dyDescent="0.4">
      <c r="F649" s="72"/>
      <c r="G649" s="72"/>
      <c r="H649" s="72"/>
    </row>
    <row r="650" spans="6:8" x14ac:dyDescent="0.4">
      <c r="F650" s="72"/>
      <c r="G650" s="72"/>
      <c r="H650" s="72"/>
    </row>
    <row r="651" spans="6:8" x14ac:dyDescent="0.4">
      <c r="F651" s="72"/>
      <c r="G651" s="72"/>
      <c r="H651" s="72"/>
    </row>
    <row r="652" spans="6:8" x14ac:dyDescent="0.4">
      <c r="F652" s="72"/>
      <c r="G652" s="72"/>
      <c r="H652" s="72"/>
    </row>
    <row r="653" spans="6:8" x14ac:dyDescent="0.4">
      <c r="F653" s="72"/>
      <c r="G653" s="72"/>
      <c r="H653" s="72"/>
    </row>
    <row r="654" spans="6:8" x14ac:dyDescent="0.4">
      <c r="F654" s="72"/>
      <c r="G654" s="72"/>
      <c r="H654" s="72"/>
    </row>
    <row r="655" spans="6:8" x14ac:dyDescent="0.4">
      <c r="F655" s="72"/>
      <c r="G655" s="72"/>
      <c r="H655" s="72"/>
    </row>
    <row r="656" spans="6:8" x14ac:dyDescent="0.4">
      <c r="F656" s="72"/>
      <c r="G656" s="72"/>
      <c r="H656" s="72"/>
    </row>
    <row r="657" spans="6:8" x14ac:dyDescent="0.4">
      <c r="F657" s="72"/>
      <c r="G657" s="72"/>
      <c r="H657" s="72"/>
    </row>
    <row r="658" spans="6:8" x14ac:dyDescent="0.4">
      <c r="F658" s="72"/>
      <c r="G658" s="72"/>
      <c r="H658" s="72"/>
    </row>
    <row r="659" spans="6:8" x14ac:dyDescent="0.4">
      <c r="F659" s="72"/>
      <c r="G659" s="72"/>
      <c r="H659" s="72"/>
    </row>
    <row r="660" spans="6:8" x14ac:dyDescent="0.4">
      <c r="F660" s="72"/>
      <c r="G660" s="72"/>
      <c r="H660" s="72"/>
    </row>
    <row r="661" spans="6:8" x14ac:dyDescent="0.4">
      <c r="F661" s="72"/>
      <c r="G661" s="72"/>
      <c r="H661" s="72"/>
    </row>
    <row r="662" spans="6:8" x14ac:dyDescent="0.4">
      <c r="F662" s="72"/>
      <c r="G662" s="72"/>
      <c r="H662" s="72"/>
    </row>
    <row r="663" spans="6:8" x14ac:dyDescent="0.4">
      <c r="F663" s="72"/>
      <c r="G663" s="72"/>
      <c r="H663" s="72"/>
    </row>
    <row r="664" spans="6:8" x14ac:dyDescent="0.4">
      <c r="F664" s="72"/>
      <c r="G664" s="72"/>
      <c r="H664" s="72"/>
    </row>
    <row r="665" spans="6:8" x14ac:dyDescent="0.4">
      <c r="F665" s="72"/>
      <c r="G665" s="72"/>
      <c r="H665" s="72"/>
    </row>
    <row r="666" spans="6:8" x14ac:dyDescent="0.4">
      <c r="F666" s="72"/>
      <c r="G666" s="72"/>
      <c r="H666" s="72"/>
    </row>
    <row r="667" spans="6:8" x14ac:dyDescent="0.4">
      <c r="F667" s="72"/>
      <c r="G667" s="72"/>
      <c r="H667" s="72"/>
    </row>
    <row r="668" spans="6:8" x14ac:dyDescent="0.4">
      <c r="F668" s="72"/>
      <c r="G668" s="72"/>
      <c r="H668" s="72"/>
    </row>
    <row r="669" spans="6:8" x14ac:dyDescent="0.4">
      <c r="F669" s="72"/>
      <c r="G669" s="72"/>
      <c r="H669" s="72"/>
    </row>
    <row r="670" spans="6:8" x14ac:dyDescent="0.4">
      <c r="F670" s="72"/>
      <c r="G670" s="72"/>
      <c r="H670" s="72"/>
    </row>
    <row r="671" spans="6:8" x14ac:dyDescent="0.4">
      <c r="F671" s="72"/>
      <c r="G671" s="72"/>
      <c r="H671" s="72"/>
    </row>
    <row r="672" spans="6:8" x14ac:dyDescent="0.4">
      <c r="F672" s="72"/>
      <c r="G672" s="72"/>
      <c r="H672" s="72"/>
    </row>
    <row r="673" spans="6:8" x14ac:dyDescent="0.4">
      <c r="F673" s="72"/>
      <c r="G673" s="72"/>
      <c r="H673" s="72"/>
    </row>
    <row r="674" spans="6:8" x14ac:dyDescent="0.4">
      <c r="F674" s="72"/>
      <c r="G674" s="72"/>
      <c r="H674" s="72"/>
    </row>
    <row r="675" spans="6:8" x14ac:dyDescent="0.4">
      <c r="F675" s="72"/>
      <c r="G675" s="72"/>
      <c r="H675" s="72"/>
    </row>
    <row r="676" spans="6:8" x14ac:dyDescent="0.4">
      <c r="F676" s="72"/>
      <c r="G676" s="72"/>
      <c r="H676" s="72"/>
    </row>
    <row r="677" spans="6:8" x14ac:dyDescent="0.4">
      <c r="F677" s="72"/>
      <c r="G677" s="72"/>
      <c r="H677" s="72"/>
    </row>
    <row r="678" spans="6:8" x14ac:dyDescent="0.4">
      <c r="F678" s="72"/>
      <c r="G678" s="72"/>
      <c r="H678" s="72"/>
    </row>
    <row r="679" spans="6:8" x14ac:dyDescent="0.4">
      <c r="F679" s="72"/>
      <c r="G679" s="72"/>
      <c r="H679" s="72"/>
    </row>
    <row r="680" spans="6:8" x14ac:dyDescent="0.4">
      <c r="F680" s="72"/>
      <c r="G680" s="72"/>
      <c r="H680" s="72"/>
    </row>
    <row r="681" spans="6:8" x14ac:dyDescent="0.4">
      <c r="F681" s="72"/>
      <c r="G681" s="72"/>
      <c r="H681" s="72"/>
    </row>
    <row r="682" spans="6:8" x14ac:dyDescent="0.4">
      <c r="F682" s="72"/>
      <c r="G682" s="72"/>
      <c r="H682" s="72"/>
    </row>
    <row r="683" spans="6:8" x14ac:dyDescent="0.4">
      <c r="F683" s="72"/>
      <c r="G683" s="72"/>
      <c r="H683" s="72"/>
    </row>
    <row r="684" spans="6:8" x14ac:dyDescent="0.4">
      <c r="F684" s="72"/>
      <c r="G684" s="72"/>
      <c r="H684" s="72"/>
    </row>
    <row r="685" spans="6:8" x14ac:dyDescent="0.4">
      <c r="F685" s="72"/>
      <c r="G685" s="72"/>
      <c r="H685" s="72"/>
    </row>
    <row r="686" spans="6:8" x14ac:dyDescent="0.4">
      <c r="F686" s="72"/>
      <c r="G686" s="72"/>
      <c r="H686" s="72"/>
    </row>
    <row r="687" spans="6:8" x14ac:dyDescent="0.4">
      <c r="F687" s="72"/>
      <c r="G687" s="72"/>
      <c r="H687" s="72"/>
    </row>
    <row r="688" spans="6:8" x14ac:dyDescent="0.4">
      <c r="F688" s="72"/>
      <c r="G688" s="72"/>
      <c r="H688" s="72"/>
    </row>
    <row r="689" spans="6:8" x14ac:dyDescent="0.4">
      <c r="F689" s="72"/>
      <c r="G689" s="72"/>
      <c r="H689" s="72"/>
    </row>
    <row r="690" spans="6:8" x14ac:dyDescent="0.4">
      <c r="F690" s="72"/>
      <c r="G690" s="72"/>
      <c r="H690" s="72"/>
    </row>
    <row r="691" spans="6:8" x14ac:dyDescent="0.4">
      <c r="F691" s="72"/>
      <c r="G691" s="72"/>
      <c r="H691" s="72"/>
    </row>
    <row r="692" spans="6:8" x14ac:dyDescent="0.4">
      <c r="F692" s="72"/>
      <c r="G692" s="72"/>
      <c r="H692" s="72"/>
    </row>
    <row r="693" spans="6:8" x14ac:dyDescent="0.4">
      <c r="F693" s="72"/>
      <c r="G693" s="72"/>
      <c r="H693" s="72"/>
    </row>
    <row r="694" spans="6:8" x14ac:dyDescent="0.4">
      <c r="F694" s="72"/>
      <c r="G694" s="72"/>
      <c r="H694" s="72"/>
    </row>
    <row r="695" spans="6:8" x14ac:dyDescent="0.4">
      <c r="F695" s="72"/>
      <c r="G695" s="72"/>
      <c r="H695" s="72"/>
    </row>
    <row r="696" spans="6:8" x14ac:dyDescent="0.4">
      <c r="F696" s="72"/>
      <c r="G696" s="72"/>
      <c r="H696" s="72"/>
    </row>
    <row r="697" spans="6:8" x14ac:dyDescent="0.4">
      <c r="F697" s="72"/>
      <c r="G697" s="72"/>
      <c r="H697" s="72"/>
    </row>
    <row r="698" spans="6:8" x14ac:dyDescent="0.4">
      <c r="F698" s="72"/>
      <c r="G698" s="72"/>
      <c r="H698" s="72"/>
    </row>
    <row r="699" spans="6:8" x14ac:dyDescent="0.4">
      <c r="F699" s="72"/>
      <c r="G699" s="72"/>
      <c r="H699" s="72"/>
    </row>
    <row r="700" spans="6:8" x14ac:dyDescent="0.4">
      <c r="F700" s="72"/>
      <c r="G700" s="72"/>
      <c r="H700" s="72"/>
    </row>
    <row r="701" spans="6:8" x14ac:dyDescent="0.4">
      <c r="F701" s="72"/>
      <c r="G701" s="72"/>
      <c r="H701" s="72"/>
    </row>
    <row r="702" spans="6:8" x14ac:dyDescent="0.4">
      <c r="F702" s="72"/>
      <c r="G702" s="72"/>
      <c r="H702" s="72"/>
    </row>
    <row r="703" spans="6:8" x14ac:dyDescent="0.4">
      <c r="F703" s="72"/>
      <c r="G703" s="72"/>
      <c r="H703" s="72"/>
    </row>
    <row r="704" spans="6:8" x14ac:dyDescent="0.4">
      <c r="F704" s="72"/>
      <c r="G704" s="72"/>
      <c r="H704" s="72"/>
    </row>
    <row r="705" spans="6:8" x14ac:dyDescent="0.4">
      <c r="F705" s="72"/>
      <c r="G705" s="72"/>
      <c r="H705" s="72"/>
    </row>
    <row r="706" spans="6:8" x14ac:dyDescent="0.4">
      <c r="F706" s="72"/>
      <c r="G706" s="72"/>
      <c r="H706" s="72"/>
    </row>
    <row r="707" spans="6:8" x14ac:dyDescent="0.4">
      <c r="F707" s="72"/>
      <c r="G707" s="72"/>
      <c r="H707" s="72"/>
    </row>
    <row r="708" spans="6:8" x14ac:dyDescent="0.4">
      <c r="F708" s="72"/>
      <c r="G708" s="72"/>
      <c r="H708" s="72"/>
    </row>
    <row r="709" spans="6:8" x14ac:dyDescent="0.4">
      <c r="F709" s="72"/>
      <c r="G709" s="72"/>
      <c r="H709" s="72"/>
    </row>
    <row r="710" spans="6:8" x14ac:dyDescent="0.4">
      <c r="F710" s="72"/>
      <c r="G710" s="72"/>
      <c r="H710" s="72"/>
    </row>
    <row r="711" spans="6:8" x14ac:dyDescent="0.4">
      <c r="F711" s="72"/>
      <c r="G711" s="72"/>
      <c r="H711" s="72"/>
    </row>
    <row r="712" spans="6:8" x14ac:dyDescent="0.4">
      <c r="F712" s="72"/>
      <c r="G712" s="72"/>
      <c r="H712" s="72"/>
    </row>
    <row r="713" spans="6:8" x14ac:dyDescent="0.4">
      <c r="F713" s="72"/>
      <c r="G713" s="72"/>
      <c r="H713" s="72"/>
    </row>
    <row r="714" spans="6:8" x14ac:dyDescent="0.4">
      <c r="F714" s="72"/>
      <c r="G714" s="72"/>
      <c r="H714" s="72"/>
    </row>
    <row r="715" spans="6:8" x14ac:dyDescent="0.4">
      <c r="F715" s="72"/>
      <c r="G715" s="72"/>
      <c r="H715" s="72"/>
    </row>
    <row r="716" spans="6:8" x14ac:dyDescent="0.4">
      <c r="F716" s="72"/>
      <c r="G716" s="72"/>
      <c r="H716" s="72"/>
    </row>
    <row r="717" spans="6:8" x14ac:dyDescent="0.4">
      <c r="F717" s="72"/>
      <c r="G717" s="72"/>
      <c r="H717" s="72"/>
    </row>
    <row r="718" spans="6:8" x14ac:dyDescent="0.4">
      <c r="F718" s="72"/>
      <c r="G718" s="72"/>
      <c r="H718" s="72"/>
    </row>
    <row r="719" spans="6:8" x14ac:dyDescent="0.4">
      <c r="F719" s="72"/>
      <c r="G719" s="72"/>
      <c r="H719" s="72"/>
    </row>
    <row r="720" spans="6:8" x14ac:dyDescent="0.4">
      <c r="F720" s="72"/>
      <c r="G720" s="72"/>
      <c r="H720" s="72"/>
    </row>
    <row r="721" spans="6:8" x14ac:dyDescent="0.4">
      <c r="F721" s="72"/>
      <c r="G721" s="72"/>
      <c r="H721" s="72"/>
    </row>
    <row r="722" spans="6:8" x14ac:dyDescent="0.4">
      <c r="F722" s="72"/>
      <c r="G722" s="72"/>
      <c r="H722" s="72"/>
    </row>
    <row r="723" spans="6:8" x14ac:dyDescent="0.4">
      <c r="F723" s="72"/>
      <c r="G723" s="72"/>
      <c r="H723" s="72"/>
    </row>
    <row r="724" spans="6:8" x14ac:dyDescent="0.4">
      <c r="F724" s="72"/>
      <c r="G724" s="72"/>
      <c r="H724" s="72"/>
    </row>
    <row r="725" spans="6:8" x14ac:dyDescent="0.4">
      <c r="F725" s="72"/>
      <c r="G725" s="72"/>
      <c r="H725" s="72"/>
    </row>
    <row r="726" spans="6:8" x14ac:dyDescent="0.4">
      <c r="F726" s="72"/>
      <c r="G726" s="72"/>
      <c r="H726" s="72"/>
    </row>
    <row r="727" spans="6:8" x14ac:dyDescent="0.4">
      <c r="F727" s="72"/>
      <c r="G727" s="72"/>
      <c r="H727" s="72"/>
    </row>
    <row r="728" spans="6:8" x14ac:dyDescent="0.4">
      <c r="F728" s="72"/>
      <c r="G728" s="72"/>
      <c r="H728" s="72"/>
    </row>
    <row r="729" spans="6:8" x14ac:dyDescent="0.4">
      <c r="F729" s="72"/>
      <c r="G729" s="72"/>
      <c r="H729" s="72"/>
    </row>
    <row r="730" spans="6:8" x14ac:dyDescent="0.4">
      <c r="F730" s="72"/>
      <c r="G730" s="72"/>
      <c r="H730" s="72"/>
    </row>
    <row r="731" spans="6:8" x14ac:dyDescent="0.4">
      <c r="F731" s="72"/>
      <c r="G731" s="72"/>
      <c r="H731" s="72"/>
    </row>
    <row r="732" spans="6:8" x14ac:dyDescent="0.4">
      <c r="F732" s="72"/>
      <c r="G732" s="72"/>
      <c r="H732" s="72"/>
    </row>
    <row r="733" spans="6:8" x14ac:dyDescent="0.4">
      <c r="F733" s="72"/>
      <c r="G733" s="72"/>
      <c r="H733" s="72"/>
    </row>
    <row r="734" spans="6:8" x14ac:dyDescent="0.4">
      <c r="F734" s="72"/>
      <c r="G734" s="72"/>
      <c r="H734" s="72"/>
    </row>
    <row r="735" spans="6:8" x14ac:dyDescent="0.4">
      <c r="F735" s="72"/>
      <c r="G735" s="72"/>
      <c r="H735" s="72"/>
    </row>
    <row r="736" spans="6:8" x14ac:dyDescent="0.4">
      <c r="F736" s="72"/>
      <c r="G736" s="72"/>
      <c r="H736" s="72"/>
    </row>
    <row r="737" spans="6:8" x14ac:dyDescent="0.4">
      <c r="F737" s="72"/>
      <c r="G737" s="72"/>
      <c r="H737" s="72"/>
    </row>
    <row r="738" spans="6:8" x14ac:dyDescent="0.4">
      <c r="F738" s="72"/>
      <c r="G738" s="72"/>
      <c r="H738" s="72"/>
    </row>
    <row r="739" spans="6:8" x14ac:dyDescent="0.4">
      <c r="F739" s="72"/>
      <c r="G739" s="72"/>
      <c r="H739" s="72"/>
    </row>
    <row r="740" spans="6:8" x14ac:dyDescent="0.4">
      <c r="F740" s="72"/>
      <c r="G740" s="72"/>
      <c r="H740" s="72"/>
    </row>
    <row r="741" spans="6:8" x14ac:dyDescent="0.4">
      <c r="F741" s="72"/>
      <c r="G741" s="72"/>
      <c r="H741" s="72"/>
    </row>
    <row r="742" spans="6:8" x14ac:dyDescent="0.4">
      <c r="F742" s="72"/>
      <c r="G742" s="72"/>
      <c r="H742" s="72"/>
    </row>
    <row r="743" spans="6:8" x14ac:dyDescent="0.4">
      <c r="F743" s="72"/>
      <c r="G743" s="72"/>
      <c r="H743" s="72"/>
    </row>
    <row r="744" spans="6:8" x14ac:dyDescent="0.4">
      <c r="F744" s="72"/>
      <c r="G744" s="72"/>
      <c r="H744" s="72"/>
    </row>
    <row r="745" spans="6:8" x14ac:dyDescent="0.4">
      <c r="F745" s="72"/>
      <c r="G745" s="72"/>
      <c r="H745" s="72"/>
    </row>
    <row r="746" spans="6:8" x14ac:dyDescent="0.4">
      <c r="F746" s="72"/>
      <c r="G746" s="72"/>
      <c r="H746" s="72"/>
    </row>
    <row r="747" spans="6:8" x14ac:dyDescent="0.4">
      <c r="F747" s="72"/>
      <c r="G747" s="72"/>
      <c r="H747" s="72"/>
    </row>
    <row r="748" spans="6:8" x14ac:dyDescent="0.4">
      <c r="F748" s="72"/>
      <c r="G748" s="72"/>
      <c r="H748" s="72"/>
    </row>
    <row r="749" spans="6:8" x14ac:dyDescent="0.4">
      <c r="F749" s="72"/>
      <c r="G749" s="72"/>
      <c r="H749" s="72"/>
    </row>
    <row r="750" spans="6:8" x14ac:dyDescent="0.4">
      <c r="F750" s="72"/>
      <c r="G750" s="72"/>
      <c r="H750" s="72"/>
    </row>
    <row r="751" spans="6:8" x14ac:dyDescent="0.4">
      <c r="F751" s="72"/>
      <c r="G751" s="72"/>
      <c r="H751" s="72"/>
    </row>
    <row r="752" spans="6:8" x14ac:dyDescent="0.4">
      <c r="F752" s="72"/>
      <c r="G752" s="72"/>
      <c r="H752" s="72"/>
    </row>
    <row r="753" spans="6:8" x14ac:dyDescent="0.4">
      <c r="F753" s="72"/>
      <c r="G753" s="72"/>
      <c r="H753" s="72"/>
    </row>
    <row r="754" spans="6:8" x14ac:dyDescent="0.4">
      <c r="F754" s="72"/>
      <c r="G754" s="72"/>
      <c r="H754" s="72"/>
    </row>
    <row r="755" spans="6:8" x14ac:dyDescent="0.4">
      <c r="F755" s="72"/>
      <c r="G755" s="72"/>
      <c r="H755" s="72"/>
    </row>
    <row r="756" spans="6:8" x14ac:dyDescent="0.4">
      <c r="F756" s="72"/>
      <c r="G756" s="72"/>
      <c r="H756" s="72"/>
    </row>
    <row r="757" spans="6:8" x14ac:dyDescent="0.4">
      <c r="F757" s="72"/>
      <c r="G757" s="72"/>
      <c r="H757" s="72"/>
    </row>
    <row r="758" spans="6:8" x14ac:dyDescent="0.4">
      <c r="F758" s="72"/>
      <c r="G758" s="72"/>
      <c r="H758" s="72"/>
    </row>
    <row r="759" spans="6:8" x14ac:dyDescent="0.4">
      <c r="F759" s="72"/>
      <c r="G759" s="72"/>
      <c r="H759" s="72"/>
    </row>
    <row r="760" spans="6:8" x14ac:dyDescent="0.4">
      <c r="F760" s="72"/>
      <c r="G760" s="72"/>
      <c r="H760" s="72"/>
    </row>
    <row r="761" spans="6:8" x14ac:dyDescent="0.4">
      <c r="F761" s="72"/>
      <c r="G761" s="72"/>
      <c r="H761" s="72"/>
    </row>
    <row r="762" spans="6:8" x14ac:dyDescent="0.4">
      <c r="F762" s="72"/>
      <c r="G762" s="72"/>
      <c r="H762" s="72"/>
    </row>
    <row r="763" spans="6:8" x14ac:dyDescent="0.4">
      <c r="F763" s="72"/>
      <c r="G763" s="72"/>
      <c r="H763" s="72"/>
    </row>
    <row r="764" spans="6:8" x14ac:dyDescent="0.4">
      <c r="F764" s="72"/>
      <c r="G764" s="72"/>
      <c r="H764" s="72"/>
    </row>
    <row r="765" spans="6:8" x14ac:dyDescent="0.4">
      <c r="F765" s="72"/>
      <c r="G765" s="72"/>
      <c r="H765" s="72"/>
    </row>
    <row r="766" spans="6:8" x14ac:dyDescent="0.4">
      <c r="F766" s="72"/>
      <c r="G766" s="72"/>
      <c r="H766" s="72"/>
    </row>
    <row r="767" spans="6:8" x14ac:dyDescent="0.4">
      <c r="F767" s="72"/>
      <c r="G767" s="72"/>
      <c r="H767" s="72"/>
    </row>
    <row r="768" spans="6:8" x14ac:dyDescent="0.4">
      <c r="F768" s="72"/>
      <c r="G768" s="72"/>
      <c r="H768" s="72"/>
    </row>
    <row r="769" spans="6:8" x14ac:dyDescent="0.4">
      <c r="F769" s="72"/>
      <c r="G769" s="72"/>
      <c r="H769" s="72"/>
    </row>
    <row r="770" spans="6:8" x14ac:dyDescent="0.4">
      <c r="F770" s="72"/>
      <c r="G770" s="72"/>
      <c r="H770" s="72"/>
    </row>
    <row r="771" spans="6:8" x14ac:dyDescent="0.4">
      <c r="F771" s="72"/>
      <c r="G771" s="72"/>
      <c r="H771" s="72"/>
    </row>
    <row r="772" spans="6:8" x14ac:dyDescent="0.4">
      <c r="F772" s="72"/>
      <c r="G772" s="72"/>
      <c r="H772" s="72"/>
    </row>
    <row r="773" spans="6:8" x14ac:dyDescent="0.4">
      <c r="F773" s="72"/>
      <c r="G773" s="72"/>
      <c r="H773" s="72"/>
    </row>
    <row r="774" spans="6:8" x14ac:dyDescent="0.4">
      <c r="F774" s="72"/>
      <c r="G774" s="72"/>
      <c r="H774" s="72"/>
    </row>
    <row r="775" spans="6:8" x14ac:dyDescent="0.4">
      <c r="F775" s="72"/>
      <c r="G775" s="72"/>
      <c r="H775" s="72"/>
    </row>
    <row r="776" spans="6:8" x14ac:dyDescent="0.4">
      <c r="F776" s="72"/>
      <c r="G776" s="72"/>
      <c r="H776" s="72"/>
    </row>
    <row r="777" spans="6:8" x14ac:dyDescent="0.4">
      <c r="F777" s="72"/>
      <c r="G777" s="72"/>
      <c r="H777" s="72"/>
    </row>
    <row r="778" spans="6:8" x14ac:dyDescent="0.4">
      <c r="F778" s="72"/>
      <c r="G778" s="72"/>
      <c r="H778" s="72"/>
    </row>
    <row r="779" spans="6:8" x14ac:dyDescent="0.4">
      <c r="F779" s="72"/>
      <c r="G779" s="72"/>
      <c r="H779" s="72"/>
    </row>
    <row r="780" spans="6:8" x14ac:dyDescent="0.4">
      <c r="F780" s="72"/>
      <c r="G780" s="72"/>
      <c r="H780" s="72"/>
    </row>
    <row r="781" spans="6:8" x14ac:dyDescent="0.4">
      <c r="F781" s="72"/>
      <c r="G781" s="72"/>
      <c r="H781" s="72"/>
    </row>
    <row r="782" spans="6:8" x14ac:dyDescent="0.4">
      <c r="F782" s="72"/>
      <c r="G782" s="72"/>
      <c r="H782" s="72"/>
    </row>
    <row r="783" spans="6:8" x14ac:dyDescent="0.4">
      <c r="F783" s="72"/>
      <c r="G783" s="72"/>
      <c r="H783" s="72"/>
    </row>
    <row r="784" spans="6:8" x14ac:dyDescent="0.4">
      <c r="F784" s="72"/>
      <c r="G784" s="72"/>
      <c r="H784" s="72"/>
    </row>
    <row r="785" spans="6:8" x14ac:dyDescent="0.4">
      <c r="F785" s="72"/>
      <c r="G785" s="72"/>
      <c r="H785" s="72"/>
    </row>
    <row r="786" spans="6:8" x14ac:dyDescent="0.4">
      <c r="F786" s="72"/>
      <c r="G786" s="72"/>
      <c r="H786" s="72"/>
    </row>
    <row r="787" spans="6:8" x14ac:dyDescent="0.4">
      <c r="F787" s="72"/>
      <c r="G787" s="72"/>
      <c r="H787" s="72"/>
    </row>
    <row r="788" spans="6:8" x14ac:dyDescent="0.4">
      <c r="F788" s="72"/>
      <c r="G788" s="72"/>
      <c r="H788" s="72"/>
    </row>
    <row r="789" spans="6:8" x14ac:dyDescent="0.4">
      <c r="F789" s="72"/>
      <c r="G789" s="72"/>
      <c r="H789" s="72"/>
    </row>
    <row r="790" spans="6:8" x14ac:dyDescent="0.4">
      <c r="F790" s="72"/>
      <c r="G790" s="72"/>
      <c r="H790" s="72"/>
    </row>
    <row r="791" spans="6:8" x14ac:dyDescent="0.4">
      <c r="F791" s="72"/>
      <c r="G791" s="72"/>
      <c r="H791" s="72"/>
    </row>
    <row r="792" spans="6:8" x14ac:dyDescent="0.4">
      <c r="F792" s="72"/>
      <c r="G792" s="72"/>
      <c r="H792" s="72"/>
    </row>
    <row r="793" spans="6:8" x14ac:dyDescent="0.4">
      <c r="F793" s="72"/>
      <c r="G793" s="72"/>
      <c r="H793" s="72"/>
    </row>
    <row r="794" spans="6:8" x14ac:dyDescent="0.4">
      <c r="F794" s="72"/>
      <c r="G794" s="72"/>
      <c r="H794" s="72"/>
    </row>
    <row r="795" spans="6:8" x14ac:dyDescent="0.4">
      <c r="F795" s="72"/>
      <c r="G795" s="72"/>
      <c r="H795" s="72"/>
    </row>
    <row r="796" spans="6:8" x14ac:dyDescent="0.4">
      <c r="F796" s="72"/>
      <c r="G796" s="72"/>
      <c r="H796" s="72"/>
    </row>
    <row r="797" spans="6:8" x14ac:dyDescent="0.4">
      <c r="F797" s="72"/>
      <c r="G797" s="72"/>
      <c r="H797" s="72"/>
    </row>
    <row r="798" spans="6:8" x14ac:dyDescent="0.4">
      <c r="F798" s="72"/>
      <c r="G798" s="72"/>
      <c r="H798" s="72"/>
    </row>
    <row r="799" spans="6:8" x14ac:dyDescent="0.4">
      <c r="F799" s="72"/>
      <c r="G799" s="72"/>
      <c r="H799" s="72"/>
    </row>
    <row r="800" spans="6:8" x14ac:dyDescent="0.4">
      <c r="F800" s="72"/>
      <c r="G800" s="72"/>
      <c r="H800" s="72"/>
    </row>
    <row r="801" spans="6:8" x14ac:dyDescent="0.4">
      <c r="F801" s="72"/>
      <c r="G801" s="72"/>
      <c r="H801" s="72"/>
    </row>
    <row r="802" spans="6:8" x14ac:dyDescent="0.4">
      <c r="F802" s="72"/>
      <c r="G802" s="72"/>
      <c r="H802" s="72"/>
    </row>
    <row r="803" spans="6:8" x14ac:dyDescent="0.4">
      <c r="F803" s="72"/>
      <c r="G803" s="72"/>
      <c r="H803" s="72"/>
    </row>
    <row r="804" spans="6:8" x14ac:dyDescent="0.4">
      <c r="F804" s="72"/>
      <c r="G804" s="72"/>
      <c r="H804" s="72"/>
    </row>
    <row r="805" spans="6:8" x14ac:dyDescent="0.4">
      <c r="F805" s="72"/>
      <c r="G805" s="72"/>
      <c r="H805" s="72"/>
    </row>
    <row r="806" spans="6:8" x14ac:dyDescent="0.4">
      <c r="F806" s="72"/>
      <c r="G806" s="72"/>
      <c r="H806" s="72"/>
    </row>
    <row r="807" spans="6:8" x14ac:dyDescent="0.4">
      <c r="F807" s="72"/>
      <c r="G807" s="72"/>
      <c r="H807" s="72"/>
    </row>
    <row r="808" spans="6:8" x14ac:dyDescent="0.4">
      <c r="F808" s="72"/>
      <c r="G808" s="72"/>
      <c r="H808" s="72"/>
    </row>
    <row r="809" spans="6:8" x14ac:dyDescent="0.4">
      <c r="F809" s="72"/>
      <c r="G809" s="72"/>
      <c r="H809" s="72"/>
    </row>
    <row r="810" spans="6:8" x14ac:dyDescent="0.4">
      <c r="F810" s="72"/>
      <c r="G810" s="72"/>
      <c r="H810" s="72"/>
    </row>
    <row r="811" spans="6:8" x14ac:dyDescent="0.4">
      <c r="F811" s="72"/>
      <c r="G811" s="72"/>
      <c r="H811" s="72"/>
    </row>
    <row r="812" spans="6:8" x14ac:dyDescent="0.4">
      <c r="F812" s="72"/>
      <c r="G812" s="72"/>
      <c r="H812" s="72"/>
    </row>
    <row r="813" spans="6:8" x14ac:dyDescent="0.4">
      <c r="F813" s="72"/>
      <c r="G813" s="72"/>
      <c r="H813" s="72"/>
    </row>
    <row r="814" spans="6:8" x14ac:dyDescent="0.4">
      <c r="F814" s="72"/>
      <c r="G814" s="72"/>
      <c r="H814" s="72"/>
    </row>
    <row r="815" spans="6:8" x14ac:dyDescent="0.4">
      <c r="F815" s="72"/>
      <c r="G815" s="72"/>
      <c r="H815" s="72"/>
    </row>
    <row r="816" spans="6:8" x14ac:dyDescent="0.4">
      <c r="F816" s="72"/>
      <c r="G816" s="72"/>
      <c r="H816" s="72"/>
    </row>
    <row r="817" spans="6:8" x14ac:dyDescent="0.4">
      <c r="F817" s="72"/>
      <c r="G817" s="72"/>
      <c r="H817" s="72"/>
    </row>
    <row r="818" spans="6:8" x14ac:dyDescent="0.4">
      <c r="F818" s="72"/>
      <c r="G818" s="72"/>
      <c r="H818" s="72"/>
    </row>
    <row r="819" spans="6:8" x14ac:dyDescent="0.4">
      <c r="F819" s="72"/>
      <c r="G819" s="72"/>
      <c r="H819" s="72"/>
    </row>
    <row r="820" spans="6:8" x14ac:dyDescent="0.4">
      <c r="F820" s="72"/>
      <c r="G820" s="72"/>
      <c r="H820" s="72"/>
    </row>
    <row r="821" spans="6:8" x14ac:dyDescent="0.4">
      <c r="F821" s="72"/>
      <c r="G821" s="72"/>
      <c r="H821" s="72"/>
    </row>
    <row r="822" spans="6:8" x14ac:dyDescent="0.4">
      <c r="F822" s="72"/>
      <c r="G822" s="72"/>
      <c r="H822" s="72"/>
    </row>
    <row r="823" spans="6:8" x14ac:dyDescent="0.4">
      <c r="F823" s="72"/>
      <c r="G823" s="72"/>
      <c r="H823" s="72"/>
    </row>
    <row r="824" spans="6:8" x14ac:dyDescent="0.4">
      <c r="F824" s="72"/>
      <c r="G824" s="72"/>
      <c r="H824" s="72"/>
    </row>
    <row r="825" spans="6:8" x14ac:dyDescent="0.4">
      <c r="F825" s="72"/>
      <c r="G825" s="72"/>
      <c r="H825" s="72"/>
    </row>
    <row r="826" spans="6:8" x14ac:dyDescent="0.4">
      <c r="F826" s="72"/>
      <c r="G826" s="72"/>
      <c r="H826" s="72"/>
    </row>
    <row r="827" spans="6:8" x14ac:dyDescent="0.4">
      <c r="F827" s="72"/>
      <c r="G827" s="72"/>
      <c r="H827" s="72"/>
    </row>
    <row r="828" spans="6:8" x14ac:dyDescent="0.4">
      <c r="F828" s="72"/>
      <c r="G828" s="72"/>
      <c r="H828" s="72"/>
    </row>
    <row r="829" spans="6:8" x14ac:dyDescent="0.4">
      <c r="F829" s="72"/>
      <c r="G829" s="72"/>
      <c r="H829" s="72"/>
    </row>
    <row r="830" spans="6:8" x14ac:dyDescent="0.4">
      <c r="F830" s="72"/>
      <c r="G830" s="72"/>
      <c r="H830" s="72"/>
    </row>
    <row r="831" spans="6:8" x14ac:dyDescent="0.4">
      <c r="F831" s="72"/>
      <c r="G831" s="72"/>
      <c r="H831" s="72"/>
    </row>
    <row r="832" spans="6:8" x14ac:dyDescent="0.4">
      <c r="F832" s="72"/>
      <c r="G832" s="72"/>
      <c r="H832" s="72"/>
    </row>
    <row r="833" spans="6:8" x14ac:dyDescent="0.4">
      <c r="F833" s="72"/>
      <c r="G833" s="72"/>
      <c r="H833" s="72"/>
    </row>
    <row r="834" spans="6:8" x14ac:dyDescent="0.4">
      <c r="F834" s="72"/>
      <c r="G834" s="72"/>
      <c r="H834" s="72"/>
    </row>
    <row r="835" spans="6:8" x14ac:dyDescent="0.4">
      <c r="F835" s="72"/>
      <c r="G835" s="72"/>
      <c r="H835" s="72"/>
    </row>
    <row r="836" spans="6:8" x14ac:dyDescent="0.4">
      <c r="F836" s="72"/>
      <c r="G836" s="72"/>
      <c r="H836" s="72"/>
    </row>
    <row r="837" spans="6:8" x14ac:dyDescent="0.4">
      <c r="F837" s="72"/>
      <c r="G837" s="72"/>
      <c r="H837" s="72"/>
    </row>
    <row r="838" spans="6:8" x14ac:dyDescent="0.4">
      <c r="F838" s="72"/>
      <c r="G838" s="72"/>
      <c r="H838" s="72"/>
    </row>
    <row r="839" spans="6:8" x14ac:dyDescent="0.4">
      <c r="F839" s="72"/>
      <c r="G839" s="72"/>
      <c r="H839" s="72"/>
    </row>
    <row r="840" spans="6:8" x14ac:dyDescent="0.4">
      <c r="F840" s="72"/>
      <c r="G840" s="72"/>
      <c r="H840" s="72"/>
    </row>
    <row r="841" spans="6:8" x14ac:dyDescent="0.4">
      <c r="F841" s="72"/>
      <c r="G841" s="72"/>
      <c r="H841" s="72"/>
    </row>
    <row r="842" spans="6:8" x14ac:dyDescent="0.4">
      <c r="F842" s="72"/>
      <c r="G842" s="72"/>
      <c r="H842" s="72"/>
    </row>
    <row r="843" spans="6:8" x14ac:dyDescent="0.4">
      <c r="F843" s="72"/>
      <c r="G843" s="72"/>
      <c r="H843" s="72"/>
    </row>
    <row r="844" spans="6:8" x14ac:dyDescent="0.4">
      <c r="F844" s="72"/>
      <c r="G844" s="72"/>
      <c r="H844" s="72"/>
    </row>
    <row r="845" spans="6:8" x14ac:dyDescent="0.4">
      <c r="F845" s="72"/>
      <c r="G845" s="72"/>
      <c r="H845" s="72"/>
    </row>
    <row r="846" spans="6:8" x14ac:dyDescent="0.4">
      <c r="F846" s="72"/>
      <c r="G846" s="72"/>
      <c r="H846" s="72"/>
    </row>
    <row r="847" spans="6:8" x14ac:dyDescent="0.4">
      <c r="F847" s="72"/>
      <c r="G847" s="72"/>
      <c r="H847" s="72"/>
    </row>
    <row r="848" spans="6:8" x14ac:dyDescent="0.4">
      <c r="F848" s="72"/>
      <c r="G848" s="72"/>
      <c r="H848" s="72"/>
    </row>
    <row r="849" spans="6:8" x14ac:dyDescent="0.4">
      <c r="F849" s="72"/>
      <c r="G849" s="72"/>
      <c r="H849" s="72"/>
    </row>
    <row r="850" spans="6:8" x14ac:dyDescent="0.4">
      <c r="F850" s="72"/>
      <c r="G850" s="72"/>
      <c r="H850" s="72"/>
    </row>
    <row r="851" spans="6:8" x14ac:dyDescent="0.4">
      <c r="F851" s="72"/>
      <c r="G851" s="72"/>
      <c r="H851" s="72"/>
    </row>
    <row r="852" spans="6:8" x14ac:dyDescent="0.4">
      <c r="F852" s="72"/>
      <c r="G852" s="72"/>
      <c r="H852" s="72"/>
    </row>
    <row r="853" spans="6:8" x14ac:dyDescent="0.4">
      <c r="F853" s="72"/>
      <c r="G853" s="72"/>
      <c r="H853" s="72"/>
    </row>
    <row r="854" spans="6:8" x14ac:dyDescent="0.4">
      <c r="F854" s="72"/>
      <c r="G854" s="72"/>
      <c r="H854" s="72"/>
    </row>
    <row r="855" spans="6:8" x14ac:dyDescent="0.4">
      <c r="F855" s="72"/>
      <c r="G855" s="72"/>
      <c r="H855" s="72"/>
    </row>
    <row r="856" spans="6:8" x14ac:dyDescent="0.4">
      <c r="F856" s="72"/>
      <c r="G856" s="72"/>
      <c r="H856" s="72"/>
    </row>
    <row r="857" spans="6:8" x14ac:dyDescent="0.4">
      <c r="F857" s="72"/>
      <c r="G857" s="72"/>
      <c r="H857" s="72"/>
    </row>
    <row r="858" spans="6:8" x14ac:dyDescent="0.4">
      <c r="F858" s="72"/>
      <c r="G858" s="72"/>
      <c r="H858" s="72"/>
    </row>
    <row r="859" spans="6:8" x14ac:dyDescent="0.4">
      <c r="F859" s="72"/>
      <c r="G859" s="72"/>
      <c r="H859" s="72"/>
    </row>
    <row r="860" spans="6:8" x14ac:dyDescent="0.4">
      <c r="F860" s="72"/>
      <c r="G860" s="72"/>
      <c r="H860" s="72"/>
    </row>
    <row r="861" spans="6:8" x14ac:dyDescent="0.4">
      <c r="F861" s="72"/>
      <c r="G861" s="72"/>
      <c r="H861" s="72"/>
    </row>
    <row r="862" spans="6:8" x14ac:dyDescent="0.4">
      <c r="F862" s="72"/>
      <c r="G862" s="72"/>
      <c r="H862" s="72"/>
    </row>
    <row r="863" spans="6:8" x14ac:dyDescent="0.4">
      <c r="F863" s="72"/>
      <c r="G863" s="72"/>
      <c r="H863" s="72"/>
    </row>
    <row r="864" spans="6:8" x14ac:dyDescent="0.4">
      <c r="F864" s="72"/>
      <c r="G864" s="72"/>
      <c r="H864" s="72"/>
    </row>
    <row r="865" spans="6:8" x14ac:dyDescent="0.4">
      <c r="F865" s="72"/>
      <c r="G865" s="72"/>
      <c r="H865" s="72"/>
    </row>
    <row r="866" spans="6:8" x14ac:dyDescent="0.4">
      <c r="F866" s="72"/>
      <c r="G866" s="72"/>
      <c r="H866" s="72"/>
    </row>
    <row r="867" spans="6:8" x14ac:dyDescent="0.4">
      <c r="F867" s="72"/>
      <c r="G867" s="72"/>
      <c r="H867" s="72"/>
    </row>
    <row r="868" spans="6:8" x14ac:dyDescent="0.4">
      <c r="F868" s="72"/>
      <c r="G868" s="72"/>
      <c r="H868" s="72"/>
    </row>
    <row r="869" spans="6:8" x14ac:dyDescent="0.4">
      <c r="F869" s="72"/>
      <c r="G869" s="72"/>
      <c r="H869" s="72"/>
    </row>
    <row r="870" spans="6:8" x14ac:dyDescent="0.4">
      <c r="F870" s="72"/>
      <c r="G870" s="72"/>
      <c r="H870" s="72"/>
    </row>
    <row r="871" spans="6:8" x14ac:dyDescent="0.4">
      <c r="F871" s="72"/>
      <c r="G871" s="72"/>
      <c r="H871" s="72"/>
    </row>
    <row r="872" spans="6:8" x14ac:dyDescent="0.4">
      <c r="F872" s="72"/>
      <c r="G872" s="72"/>
      <c r="H872" s="72"/>
    </row>
    <row r="873" spans="6:8" x14ac:dyDescent="0.4">
      <c r="F873" s="72"/>
      <c r="G873" s="72"/>
      <c r="H873" s="72"/>
    </row>
    <row r="874" spans="6:8" x14ac:dyDescent="0.4">
      <c r="F874" s="72"/>
      <c r="G874" s="72"/>
      <c r="H874" s="72"/>
    </row>
    <row r="875" spans="6:8" x14ac:dyDescent="0.4">
      <c r="F875" s="72"/>
      <c r="G875" s="72"/>
      <c r="H875" s="72"/>
    </row>
    <row r="876" spans="6:8" x14ac:dyDescent="0.4">
      <c r="F876" s="72"/>
      <c r="G876" s="72"/>
      <c r="H876" s="72"/>
    </row>
    <row r="877" spans="6:8" x14ac:dyDescent="0.4">
      <c r="F877" s="72"/>
      <c r="G877" s="72"/>
      <c r="H877" s="72"/>
    </row>
    <row r="878" spans="6:8" x14ac:dyDescent="0.4">
      <c r="F878" s="72"/>
      <c r="G878" s="72"/>
      <c r="H878" s="72"/>
    </row>
    <row r="879" spans="6:8" x14ac:dyDescent="0.4">
      <c r="F879" s="72"/>
      <c r="G879" s="72"/>
      <c r="H879" s="72"/>
    </row>
    <row r="880" spans="6:8" x14ac:dyDescent="0.4">
      <c r="F880" s="72"/>
      <c r="G880" s="72"/>
      <c r="H880" s="72"/>
    </row>
    <row r="881" spans="6:8" x14ac:dyDescent="0.4">
      <c r="F881" s="72"/>
      <c r="G881" s="72"/>
      <c r="H881" s="72"/>
    </row>
    <row r="882" spans="6:8" x14ac:dyDescent="0.4">
      <c r="F882" s="72"/>
      <c r="G882" s="72"/>
      <c r="H882" s="72"/>
    </row>
    <row r="883" spans="6:8" x14ac:dyDescent="0.4">
      <c r="F883" s="72"/>
      <c r="G883" s="72"/>
      <c r="H883" s="72"/>
    </row>
    <row r="884" spans="6:8" x14ac:dyDescent="0.4">
      <c r="F884" s="72"/>
      <c r="G884" s="72"/>
      <c r="H884" s="72"/>
    </row>
    <row r="885" spans="6:8" x14ac:dyDescent="0.4">
      <c r="F885" s="72"/>
      <c r="G885" s="72"/>
      <c r="H885" s="72"/>
    </row>
    <row r="886" spans="6:8" x14ac:dyDescent="0.4">
      <c r="F886" s="72"/>
      <c r="G886" s="72"/>
      <c r="H886" s="72"/>
    </row>
    <row r="887" spans="6:8" x14ac:dyDescent="0.4">
      <c r="F887" s="72"/>
      <c r="G887" s="72"/>
      <c r="H887" s="72"/>
    </row>
    <row r="888" spans="6:8" x14ac:dyDescent="0.4">
      <c r="F888" s="72"/>
      <c r="G888" s="72"/>
      <c r="H888" s="72"/>
    </row>
    <row r="889" spans="6:8" x14ac:dyDescent="0.4">
      <c r="F889" s="72"/>
      <c r="G889" s="72"/>
      <c r="H889" s="72"/>
    </row>
    <row r="890" spans="6:8" x14ac:dyDescent="0.4">
      <c r="F890" s="72"/>
      <c r="G890" s="72"/>
      <c r="H890" s="72"/>
    </row>
    <row r="891" spans="6:8" x14ac:dyDescent="0.4">
      <c r="F891" s="72"/>
      <c r="G891" s="72"/>
      <c r="H891" s="72"/>
    </row>
    <row r="892" spans="6:8" x14ac:dyDescent="0.4">
      <c r="F892" s="72"/>
      <c r="G892" s="72"/>
      <c r="H892" s="72"/>
    </row>
    <row r="893" spans="6:8" x14ac:dyDescent="0.4">
      <c r="F893" s="72"/>
      <c r="G893" s="72"/>
      <c r="H893" s="72"/>
    </row>
    <row r="894" spans="6:8" x14ac:dyDescent="0.4">
      <c r="F894" s="72"/>
      <c r="G894" s="72"/>
      <c r="H894" s="72"/>
    </row>
    <row r="895" spans="6:8" x14ac:dyDescent="0.4">
      <c r="F895" s="72"/>
      <c r="G895" s="72"/>
      <c r="H895" s="72"/>
    </row>
    <row r="896" spans="6:8" x14ac:dyDescent="0.4">
      <c r="F896" s="72"/>
      <c r="G896" s="72"/>
      <c r="H896" s="72"/>
    </row>
    <row r="897" spans="6:8" x14ac:dyDescent="0.4">
      <c r="F897" s="72"/>
      <c r="G897" s="72"/>
      <c r="H897" s="72"/>
    </row>
    <row r="898" spans="6:8" x14ac:dyDescent="0.4">
      <c r="F898" s="72"/>
      <c r="G898" s="72"/>
      <c r="H898" s="72"/>
    </row>
    <row r="899" spans="6:8" x14ac:dyDescent="0.4">
      <c r="F899" s="72"/>
      <c r="G899" s="72"/>
      <c r="H899" s="72"/>
    </row>
    <row r="900" spans="6:8" x14ac:dyDescent="0.4">
      <c r="F900" s="72"/>
      <c r="G900" s="72"/>
      <c r="H900" s="72"/>
    </row>
    <row r="901" spans="6:8" x14ac:dyDescent="0.4">
      <c r="F901" s="72"/>
      <c r="G901" s="72"/>
      <c r="H901" s="72"/>
    </row>
    <row r="902" spans="6:8" x14ac:dyDescent="0.4">
      <c r="F902" s="72"/>
      <c r="G902" s="72"/>
      <c r="H902" s="72"/>
    </row>
    <row r="903" spans="6:8" x14ac:dyDescent="0.4">
      <c r="F903" s="72"/>
      <c r="G903" s="72"/>
      <c r="H903" s="72"/>
    </row>
    <row r="904" spans="6:8" x14ac:dyDescent="0.4">
      <c r="F904" s="72"/>
      <c r="G904" s="72"/>
      <c r="H904" s="72"/>
    </row>
    <row r="905" spans="6:8" x14ac:dyDescent="0.4">
      <c r="F905" s="72"/>
      <c r="G905" s="72"/>
      <c r="H905" s="72"/>
    </row>
    <row r="906" spans="6:8" x14ac:dyDescent="0.4">
      <c r="F906" s="72"/>
      <c r="G906" s="72"/>
      <c r="H906" s="72"/>
    </row>
    <row r="907" spans="6:8" x14ac:dyDescent="0.4">
      <c r="F907" s="72"/>
      <c r="G907" s="72"/>
      <c r="H907" s="72"/>
    </row>
    <row r="908" spans="6:8" x14ac:dyDescent="0.4">
      <c r="F908" s="72"/>
      <c r="G908" s="72"/>
      <c r="H908" s="72"/>
    </row>
    <row r="909" spans="6:8" x14ac:dyDescent="0.4">
      <c r="F909" s="72"/>
      <c r="G909" s="72"/>
      <c r="H909" s="72"/>
    </row>
    <row r="910" spans="6:8" x14ac:dyDescent="0.4">
      <c r="F910" s="72"/>
      <c r="G910" s="72"/>
      <c r="H910" s="72"/>
    </row>
    <row r="911" spans="6:8" x14ac:dyDescent="0.4">
      <c r="F911" s="72"/>
      <c r="G911" s="72"/>
      <c r="H911" s="72"/>
    </row>
    <row r="912" spans="6:8" x14ac:dyDescent="0.4">
      <c r="F912" s="72"/>
      <c r="G912" s="72"/>
      <c r="H912" s="72"/>
    </row>
    <row r="913" spans="6:8" x14ac:dyDescent="0.4">
      <c r="F913" s="72"/>
      <c r="G913" s="72"/>
      <c r="H913" s="72"/>
    </row>
    <row r="914" spans="6:8" x14ac:dyDescent="0.4">
      <c r="F914" s="72"/>
      <c r="G914" s="72"/>
      <c r="H914" s="72"/>
    </row>
    <row r="915" spans="6:8" x14ac:dyDescent="0.4">
      <c r="F915" s="72"/>
      <c r="G915" s="72"/>
      <c r="H915" s="72"/>
    </row>
    <row r="916" spans="6:8" x14ac:dyDescent="0.4">
      <c r="F916" s="72"/>
      <c r="G916" s="72"/>
      <c r="H916" s="72"/>
    </row>
    <row r="917" spans="6:8" x14ac:dyDescent="0.4">
      <c r="F917" s="72"/>
      <c r="G917" s="72"/>
      <c r="H917" s="72"/>
    </row>
    <row r="918" spans="6:8" x14ac:dyDescent="0.4">
      <c r="F918" s="72"/>
      <c r="G918" s="72"/>
      <c r="H918" s="72"/>
    </row>
    <row r="919" spans="6:8" x14ac:dyDescent="0.4">
      <c r="F919" s="72"/>
      <c r="G919" s="72"/>
      <c r="H919" s="72"/>
    </row>
    <row r="920" spans="6:8" x14ac:dyDescent="0.4">
      <c r="F920" s="72"/>
      <c r="G920" s="72"/>
      <c r="H920" s="72"/>
    </row>
    <row r="921" spans="6:8" x14ac:dyDescent="0.4">
      <c r="F921" s="72"/>
      <c r="G921" s="72"/>
      <c r="H921" s="72"/>
    </row>
    <row r="922" spans="6:8" x14ac:dyDescent="0.4">
      <c r="F922" s="72"/>
      <c r="G922" s="72"/>
      <c r="H922" s="72"/>
    </row>
    <row r="923" spans="6:8" x14ac:dyDescent="0.4">
      <c r="F923" s="72"/>
      <c r="G923" s="72"/>
      <c r="H923" s="72"/>
    </row>
    <row r="924" spans="6:8" x14ac:dyDescent="0.4">
      <c r="F924" s="72"/>
      <c r="G924" s="72"/>
      <c r="H924" s="72"/>
    </row>
    <row r="925" spans="6:8" x14ac:dyDescent="0.4">
      <c r="F925" s="72"/>
      <c r="G925" s="72"/>
      <c r="H925" s="72"/>
    </row>
    <row r="926" spans="6:8" x14ac:dyDescent="0.4">
      <c r="F926" s="72"/>
      <c r="G926" s="72"/>
      <c r="H926" s="72"/>
    </row>
    <row r="927" spans="6:8" x14ac:dyDescent="0.4">
      <c r="F927" s="72"/>
      <c r="G927" s="72"/>
      <c r="H927" s="72"/>
    </row>
    <row r="928" spans="6:8" x14ac:dyDescent="0.4">
      <c r="F928" s="72"/>
      <c r="G928" s="72"/>
      <c r="H928" s="72"/>
    </row>
    <row r="929" spans="6:8" x14ac:dyDescent="0.4">
      <c r="F929" s="72"/>
      <c r="G929" s="72"/>
      <c r="H929" s="72"/>
    </row>
    <row r="930" spans="6:8" x14ac:dyDescent="0.4">
      <c r="F930" s="72"/>
      <c r="G930" s="72"/>
      <c r="H930" s="72"/>
    </row>
    <row r="931" spans="6:8" x14ac:dyDescent="0.4">
      <c r="F931" s="72"/>
      <c r="G931" s="72"/>
      <c r="H931" s="72"/>
    </row>
    <row r="932" spans="6:8" x14ac:dyDescent="0.4">
      <c r="F932" s="72"/>
      <c r="G932" s="72"/>
      <c r="H932" s="72"/>
    </row>
    <row r="933" spans="6:8" x14ac:dyDescent="0.4">
      <c r="F933" s="72"/>
      <c r="G933" s="72"/>
      <c r="H933" s="72"/>
    </row>
    <row r="934" spans="6:8" x14ac:dyDescent="0.4">
      <c r="F934" s="72"/>
      <c r="G934" s="72"/>
      <c r="H934" s="72"/>
    </row>
    <row r="935" spans="6:8" x14ac:dyDescent="0.4">
      <c r="F935" s="72"/>
      <c r="G935" s="72"/>
      <c r="H935" s="72"/>
    </row>
    <row r="936" spans="6:8" x14ac:dyDescent="0.4">
      <c r="F936" s="72"/>
      <c r="G936" s="72"/>
      <c r="H936" s="72"/>
    </row>
    <row r="937" spans="6:8" x14ac:dyDescent="0.4">
      <c r="F937" s="72"/>
      <c r="G937" s="72"/>
      <c r="H937" s="72"/>
    </row>
    <row r="938" spans="6:8" x14ac:dyDescent="0.4">
      <c r="F938" s="72"/>
      <c r="G938" s="72"/>
      <c r="H938" s="72"/>
    </row>
    <row r="939" spans="6:8" x14ac:dyDescent="0.4">
      <c r="F939" s="72"/>
      <c r="G939" s="72"/>
      <c r="H939" s="72"/>
    </row>
    <row r="940" spans="6:8" x14ac:dyDescent="0.4">
      <c r="F940" s="72"/>
      <c r="G940" s="72"/>
      <c r="H940" s="72"/>
    </row>
    <row r="941" spans="6:8" x14ac:dyDescent="0.4">
      <c r="F941" s="72"/>
      <c r="G941" s="72"/>
      <c r="H941" s="72"/>
    </row>
    <row r="942" spans="6:8" x14ac:dyDescent="0.4">
      <c r="F942" s="72"/>
      <c r="G942" s="72"/>
      <c r="H942" s="72"/>
    </row>
    <row r="943" spans="6:8" x14ac:dyDescent="0.4">
      <c r="F943" s="72"/>
      <c r="G943" s="72"/>
      <c r="H943" s="72"/>
    </row>
    <row r="944" spans="6:8" x14ac:dyDescent="0.4">
      <c r="F944" s="72"/>
      <c r="G944" s="72"/>
      <c r="H944" s="72"/>
    </row>
    <row r="945" spans="6:8" x14ac:dyDescent="0.4">
      <c r="F945" s="72"/>
      <c r="G945" s="72"/>
      <c r="H945" s="72"/>
    </row>
    <row r="946" spans="6:8" x14ac:dyDescent="0.4">
      <c r="F946" s="72"/>
      <c r="G946" s="72"/>
      <c r="H946" s="72"/>
    </row>
    <row r="947" spans="6:8" x14ac:dyDescent="0.4">
      <c r="F947" s="72"/>
      <c r="G947" s="72"/>
      <c r="H947" s="72"/>
    </row>
    <row r="948" spans="6:8" x14ac:dyDescent="0.4">
      <c r="F948" s="72"/>
      <c r="G948" s="72"/>
      <c r="H948" s="72"/>
    </row>
    <row r="949" spans="6:8" x14ac:dyDescent="0.4">
      <c r="F949" s="72"/>
      <c r="G949" s="72"/>
      <c r="H949" s="72"/>
    </row>
    <row r="950" spans="6:8" x14ac:dyDescent="0.4">
      <c r="F950" s="72"/>
      <c r="G950" s="72"/>
      <c r="H950" s="72"/>
    </row>
    <row r="951" spans="6:8" x14ac:dyDescent="0.4">
      <c r="F951" s="72"/>
      <c r="G951" s="72"/>
      <c r="H951" s="72"/>
    </row>
    <row r="952" spans="6:8" x14ac:dyDescent="0.4">
      <c r="F952" s="72"/>
      <c r="G952" s="72"/>
      <c r="H952" s="72"/>
    </row>
    <row r="953" spans="6:8" x14ac:dyDescent="0.4">
      <c r="F953" s="72"/>
      <c r="G953" s="72"/>
      <c r="H953" s="72"/>
    </row>
    <row r="954" spans="6:8" x14ac:dyDescent="0.4">
      <c r="F954" s="72"/>
      <c r="G954" s="72"/>
      <c r="H954" s="72"/>
    </row>
    <row r="955" spans="6:8" x14ac:dyDescent="0.4">
      <c r="F955" s="72"/>
      <c r="G955" s="72"/>
      <c r="H955" s="72"/>
    </row>
    <row r="956" spans="6:8" x14ac:dyDescent="0.4">
      <c r="F956" s="72"/>
      <c r="G956" s="72"/>
      <c r="H956" s="72"/>
    </row>
    <row r="957" spans="6:8" x14ac:dyDescent="0.4">
      <c r="F957" s="72"/>
      <c r="G957" s="72"/>
      <c r="H957" s="72"/>
    </row>
    <row r="958" spans="6:8" x14ac:dyDescent="0.4">
      <c r="F958" s="72"/>
      <c r="G958" s="72"/>
      <c r="H958" s="72"/>
    </row>
    <row r="959" spans="6:8" x14ac:dyDescent="0.4">
      <c r="F959" s="72"/>
      <c r="G959" s="72"/>
      <c r="H959" s="72"/>
    </row>
    <row r="960" spans="6:8" x14ac:dyDescent="0.4">
      <c r="F960" s="72"/>
      <c r="G960" s="72"/>
      <c r="H960" s="72"/>
    </row>
    <row r="961" spans="6:8" x14ac:dyDescent="0.4">
      <c r="F961" s="72"/>
      <c r="G961" s="72"/>
      <c r="H961" s="72"/>
    </row>
    <row r="962" spans="6:8" x14ac:dyDescent="0.4">
      <c r="F962" s="72"/>
      <c r="G962" s="72"/>
      <c r="H962" s="72"/>
    </row>
    <row r="963" spans="6:8" x14ac:dyDescent="0.4">
      <c r="F963" s="72"/>
      <c r="G963" s="72"/>
      <c r="H963" s="72"/>
    </row>
    <row r="964" spans="6:8" x14ac:dyDescent="0.4">
      <c r="F964" s="72"/>
      <c r="G964" s="72"/>
      <c r="H964" s="72"/>
    </row>
    <row r="965" spans="6:8" x14ac:dyDescent="0.4">
      <c r="F965" s="72"/>
      <c r="G965" s="72"/>
      <c r="H965" s="72"/>
    </row>
    <row r="966" spans="6:8" x14ac:dyDescent="0.4">
      <c r="F966" s="72"/>
      <c r="G966" s="72"/>
      <c r="H966" s="72"/>
    </row>
    <row r="967" spans="6:8" x14ac:dyDescent="0.4">
      <c r="F967" s="72"/>
      <c r="G967" s="72"/>
      <c r="H967" s="72"/>
    </row>
    <row r="968" spans="6:8" x14ac:dyDescent="0.4">
      <c r="F968" s="72"/>
      <c r="G968" s="72"/>
      <c r="H968" s="72"/>
    </row>
    <row r="969" spans="6:8" x14ac:dyDescent="0.4">
      <c r="F969" s="72"/>
      <c r="G969" s="72"/>
      <c r="H969" s="72"/>
    </row>
    <row r="970" spans="6:8" x14ac:dyDescent="0.4">
      <c r="F970" s="72"/>
      <c r="G970" s="72"/>
      <c r="H970" s="72"/>
    </row>
    <row r="971" spans="6:8" x14ac:dyDescent="0.4">
      <c r="F971" s="72"/>
      <c r="G971" s="72"/>
      <c r="H971" s="72"/>
    </row>
    <row r="972" spans="6:8" x14ac:dyDescent="0.4">
      <c r="F972" s="72"/>
      <c r="G972" s="72"/>
      <c r="H972" s="72"/>
    </row>
    <row r="973" spans="6:8" x14ac:dyDescent="0.4">
      <c r="F973" s="72"/>
      <c r="G973" s="72"/>
      <c r="H973" s="72"/>
    </row>
    <row r="974" spans="6:8" x14ac:dyDescent="0.4">
      <c r="F974" s="72"/>
      <c r="G974" s="72"/>
      <c r="H974" s="72"/>
    </row>
    <row r="975" spans="6:8" x14ac:dyDescent="0.4">
      <c r="F975" s="72"/>
      <c r="G975" s="72"/>
      <c r="H975" s="72"/>
    </row>
    <row r="976" spans="6:8" x14ac:dyDescent="0.4">
      <c r="F976" s="72"/>
      <c r="G976" s="72"/>
      <c r="H976" s="72"/>
    </row>
    <row r="977" spans="6:8" x14ac:dyDescent="0.4">
      <c r="F977" s="72"/>
      <c r="G977" s="72"/>
      <c r="H977" s="72"/>
    </row>
    <row r="978" spans="6:8" x14ac:dyDescent="0.4">
      <c r="F978" s="72"/>
      <c r="G978" s="72"/>
      <c r="H978" s="72"/>
    </row>
    <row r="979" spans="6:8" x14ac:dyDescent="0.4">
      <c r="F979" s="72"/>
      <c r="G979" s="72"/>
      <c r="H979" s="72"/>
    </row>
    <row r="980" spans="6:8" x14ac:dyDescent="0.4">
      <c r="F980" s="72"/>
      <c r="G980" s="72"/>
      <c r="H980" s="72"/>
    </row>
    <row r="981" spans="6:8" x14ac:dyDescent="0.4">
      <c r="F981" s="72"/>
      <c r="G981" s="72"/>
      <c r="H981" s="72"/>
    </row>
    <row r="982" spans="6:8" x14ac:dyDescent="0.4">
      <c r="F982" s="72"/>
      <c r="G982" s="72"/>
      <c r="H982" s="72"/>
    </row>
    <row r="983" spans="6:8" x14ac:dyDescent="0.4">
      <c r="F983" s="72"/>
      <c r="G983" s="72"/>
      <c r="H983" s="72"/>
    </row>
    <row r="984" spans="6:8" x14ac:dyDescent="0.4">
      <c r="F984" s="72"/>
      <c r="G984" s="72"/>
      <c r="H984" s="72"/>
    </row>
    <row r="985" spans="6:8" x14ac:dyDescent="0.4">
      <c r="F985" s="72"/>
      <c r="G985" s="72"/>
      <c r="H985" s="72"/>
    </row>
    <row r="986" spans="6:8" x14ac:dyDescent="0.4">
      <c r="F986" s="72"/>
      <c r="G986" s="72"/>
      <c r="H986" s="72"/>
    </row>
    <row r="987" spans="6:8" x14ac:dyDescent="0.4">
      <c r="F987" s="72"/>
      <c r="G987" s="72"/>
      <c r="H987" s="72"/>
    </row>
    <row r="988" spans="6:8" x14ac:dyDescent="0.4">
      <c r="F988" s="72"/>
      <c r="G988" s="72"/>
      <c r="H988" s="72"/>
    </row>
    <row r="989" spans="6:8" x14ac:dyDescent="0.4">
      <c r="F989" s="72"/>
      <c r="G989" s="72"/>
      <c r="H989" s="72"/>
    </row>
    <row r="990" spans="6:8" x14ac:dyDescent="0.4">
      <c r="F990" s="72"/>
      <c r="G990" s="72"/>
      <c r="H990" s="72"/>
    </row>
    <row r="991" spans="6:8" x14ac:dyDescent="0.4">
      <c r="F991" s="72"/>
      <c r="G991" s="72"/>
      <c r="H991" s="72"/>
    </row>
    <row r="992" spans="6:8" x14ac:dyDescent="0.4">
      <c r="F992" s="72"/>
      <c r="G992" s="72"/>
      <c r="H992" s="72"/>
    </row>
    <row r="993" spans="6:8" x14ac:dyDescent="0.4">
      <c r="F993" s="72"/>
      <c r="G993" s="72"/>
      <c r="H993" s="72"/>
    </row>
    <row r="994" spans="6:8" x14ac:dyDescent="0.4">
      <c r="F994" s="72"/>
      <c r="G994" s="72"/>
      <c r="H994" s="72"/>
    </row>
    <row r="995" spans="6:8" x14ac:dyDescent="0.4">
      <c r="F995" s="72"/>
      <c r="G995" s="72"/>
      <c r="H995" s="72"/>
    </row>
    <row r="996" spans="6:8" x14ac:dyDescent="0.4">
      <c r="F996" s="72"/>
      <c r="G996" s="72"/>
      <c r="H996" s="72"/>
    </row>
    <row r="997" spans="6:8" x14ac:dyDescent="0.4">
      <c r="F997" s="72"/>
      <c r="G997" s="72"/>
      <c r="H997" s="72"/>
    </row>
    <row r="998" spans="6:8" x14ac:dyDescent="0.4">
      <c r="F998" s="72"/>
      <c r="G998" s="72"/>
      <c r="H998" s="72"/>
    </row>
    <row r="999" spans="6:8" x14ac:dyDescent="0.4">
      <c r="F999" s="72"/>
      <c r="G999" s="72"/>
      <c r="H999" s="72"/>
    </row>
    <row r="1000" spans="6:8" x14ac:dyDescent="0.4">
      <c r="F1000" s="72"/>
      <c r="G1000" s="72"/>
      <c r="H1000" s="72"/>
    </row>
    <row r="1001" spans="6:8" x14ac:dyDescent="0.4">
      <c r="F1001" s="72"/>
      <c r="G1001" s="72"/>
      <c r="H1001" s="72"/>
    </row>
    <row r="1002" spans="6:8" x14ac:dyDescent="0.4">
      <c r="F1002" s="72"/>
      <c r="G1002" s="72"/>
      <c r="H1002" s="72"/>
    </row>
    <row r="1003" spans="6:8" x14ac:dyDescent="0.4">
      <c r="F1003" s="72"/>
      <c r="G1003" s="72"/>
      <c r="H1003" s="72"/>
    </row>
    <row r="1004" spans="6:8" x14ac:dyDescent="0.4">
      <c r="F1004" s="72"/>
      <c r="G1004" s="72"/>
      <c r="H1004" s="72"/>
    </row>
    <row r="1005" spans="6:8" x14ac:dyDescent="0.4">
      <c r="F1005" s="72"/>
      <c r="G1005" s="72"/>
      <c r="H1005" s="72"/>
    </row>
    <row r="1006" spans="6:8" x14ac:dyDescent="0.4">
      <c r="F1006" s="72"/>
      <c r="G1006" s="72"/>
      <c r="H1006" s="72"/>
    </row>
    <row r="1007" spans="6:8" x14ac:dyDescent="0.4">
      <c r="F1007" s="72"/>
      <c r="G1007" s="72"/>
      <c r="H1007" s="72"/>
    </row>
    <row r="1008" spans="6:8" x14ac:dyDescent="0.4">
      <c r="F1008" s="72"/>
      <c r="G1008" s="72"/>
      <c r="H1008" s="72"/>
    </row>
    <row r="1009" spans="6:8" x14ac:dyDescent="0.4">
      <c r="F1009" s="72"/>
      <c r="G1009" s="72"/>
      <c r="H1009" s="72"/>
    </row>
    <row r="1010" spans="6:8" x14ac:dyDescent="0.4">
      <c r="F1010" s="72"/>
      <c r="G1010" s="72"/>
      <c r="H1010" s="72"/>
    </row>
    <row r="1011" spans="6:8" x14ac:dyDescent="0.4">
      <c r="F1011" s="72"/>
      <c r="G1011" s="72"/>
      <c r="H1011" s="72"/>
    </row>
    <row r="1012" spans="6:8" x14ac:dyDescent="0.4">
      <c r="F1012" s="72"/>
      <c r="G1012" s="72"/>
      <c r="H1012" s="72"/>
    </row>
    <row r="1013" spans="6:8" x14ac:dyDescent="0.4">
      <c r="F1013" s="72"/>
      <c r="G1013" s="72"/>
      <c r="H1013" s="72"/>
    </row>
    <row r="1014" spans="6:8" x14ac:dyDescent="0.4">
      <c r="F1014" s="72"/>
      <c r="G1014" s="72"/>
      <c r="H1014" s="72"/>
    </row>
    <row r="1015" spans="6:8" x14ac:dyDescent="0.4">
      <c r="F1015" s="72"/>
      <c r="G1015" s="72"/>
      <c r="H1015" s="72"/>
    </row>
    <row r="1016" spans="6:8" x14ac:dyDescent="0.4">
      <c r="F1016" s="72"/>
      <c r="G1016" s="72"/>
      <c r="H1016" s="72"/>
    </row>
    <row r="1017" spans="6:8" x14ac:dyDescent="0.4">
      <c r="F1017" s="72"/>
      <c r="G1017" s="72"/>
      <c r="H1017" s="72"/>
    </row>
    <row r="1018" spans="6:8" x14ac:dyDescent="0.4">
      <c r="F1018" s="72"/>
      <c r="G1018" s="72"/>
      <c r="H1018" s="72"/>
    </row>
    <row r="1019" spans="6:8" x14ac:dyDescent="0.4">
      <c r="F1019" s="72"/>
      <c r="G1019" s="72"/>
      <c r="H1019" s="72"/>
    </row>
    <row r="1020" spans="6:8" x14ac:dyDescent="0.4">
      <c r="F1020" s="72"/>
      <c r="G1020" s="72"/>
      <c r="H1020" s="72"/>
    </row>
    <row r="1021" spans="6:8" x14ac:dyDescent="0.4">
      <c r="F1021" s="72"/>
      <c r="G1021" s="72"/>
      <c r="H1021" s="72"/>
    </row>
    <row r="1022" spans="6:8" x14ac:dyDescent="0.4">
      <c r="F1022" s="72"/>
      <c r="G1022" s="72"/>
      <c r="H1022" s="72"/>
    </row>
    <row r="1023" spans="6:8" x14ac:dyDescent="0.4">
      <c r="F1023" s="72"/>
      <c r="G1023" s="72"/>
      <c r="H1023" s="72"/>
    </row>
    <row r="1024" spans="6:8" x14ac:dyDescent="0.4">
      <c r="F1024" s="72"/>
      <c r="G1024" s="72"/>
      <c r="H1024" s="72"/>
    </row>
    <row r="1025" spans="6:8" x14ac:dyDescent="0.4">
      <c r="F1025" s="72"/>
      <c r="G1025" s="72"/>
      <c r="H1025" s="72"/>
    </row>
    <row r="1026" spans="6:8" x14ac:dyDescent="0.4">
      <c r="F1026" s="72"/>
      <c r="G1026" s="72"/>
      <c r="H1026" s="72"/>
    </row>
    <row r="1027" spans="6:8" x14ac:dyDescent="0.4">
      <c r="F1027" s="72"/>
      <c r="G1027" s="72"/>
      <c r="H1027" s="72"/>
    </row>
    <row r="1028" spans="6:8" x14ac:dyDescent="0.4">
      <c r="F1028" s="72"/>
      <c r="G1028" s="72"/>
      <c r="H1028" s="72"/>
    </row>
    <row r="1029" spans="6:8" x14ac:dyDescent="0.4">
      <c r="F1029" s="72"/>
      <c r="G1029" s="72"/>
      <c r="H1029" s="72"/>
    </row>
    <row r="1030" spans="6:8" x14ac:dyDescent="0.4">
      <c r="F1030" s="72"/>
      <c r="G1030" s="72"/>
      <c r="H1030" s="72"/>
    </row>
    <row r="1031" spans="6:8" x14ac:dyDescent="0.4">
      <c r="F1031" s="72"/>
      <c r="G1031" s="72"/>
      <c r="H1031" s="72"/>
    </row>
    <row r="1032" spans="6:8" x14ac:dyDescent="0.4">
      <c r="F1032" s="72"/>
      <c r="G1032" s="72"/>
      <c r="H1032" s="72"/>
    </row>
    <row r="1033" spans="6:8" x14ac:dyDescent="0.4">
      <c r="F1033" s="72"/>
      <c r="G1033" s="72"/>
      <c r="H1033" s="72"/>
    </row>
    <row r="1034" spans="6:8" x14ac:dyDescent="0.4">
      <c r="F1034" s="72"/>
      <c r="G1034" s="72"/>
      <c r="H1034" s="72"/>
    </row>
    <row r="1035" spans="6:8" x14ac:dyDescent="0.4">
      <c r="F1035" s="72"/>
      <c r="G1035" s="72"/>
      <c r="H1035" s="72"/>
    </row>
    <row r="1036" spans="6:8" x14ac:dyDescent="0.4">
      <c r="F1036" s="72"/>
      <c r="G1036" s="72"/>
      <c r="H1036" s="72"/>
    </row>
    <row r="1037" spans="6:8" x14ac:dyDescent="0.4">
      <c r="F1037" s="72"/>
      <c r="G1037" s="72"/>
      <c r="H1037" s="72"/>
    </row>
    <row r="1038" spans="6:8" x14ac:dyDescent="0.4">
      <c r="F1038" s="72"/>
      <c r="G1038" s="72"/>
      <c r="H1038" s="72"/>
    </row>
    <row r="1039" spans="6:8" x14ac:dyDescent="0.4">
      <c r="F1039" s="72"/>
      <c r="G1039" s="72"/>
      <c r="H1039" s="72"/>
    </row>
    <row r="1040" spans="6:8" x14ac:dyDescent="0.4">
      <c r="F1040" s="72"/>
      <c r="G1040" s="72"/>
      <c r="H1040" s="72"/>
    </row>
    <row r="1041" spans="6:8" x14ac:dyDescent="0.4">
      <c r="F1041" s="72"/>
      <c r="G1041" s="72"/>
      <c r="H1041" s="72"/>
    </row>
    <row r="1042" spans="6:8" x14ac:dyDescent="0.4">
      <c r="F1042" s="72"/>
      <c r="G1042" s="72"/>
      <c r="H1042" s="72"/>
    </row>
    <row r="1043" spans="6:8" x14ac:dyDescent="0.4">
      <c r="F1043" s="72"/>
      <c r="G1043" s="72"/>
      <c r="H1043" s="72"/>
    </row>
    <row r="1044" spans="6:8" x14ac:dyDescent="0.4">
      <c r="F1044" s="72"/>
      <c r="G1044" s="72"/>
      <c r="H1044" s="72"/>
    </row>
    <row r="1045" spans="6:8" x14ac:dyDescent="0.4">
      <c r="F1045" s="72"/>
      <c r="G1045" s="72"/>
      <c r="H1045" s="72"/>
    </row>
    <row r="1046" spans="6:8" x14ac:dyDescent="0.4">
      <c r="F1046" s="72"/>
      <c r="G1046" s="72"/>
      <c r="H1046" s="72"/>
    </row>
    <row r="1047" spans="6:8" x14ac:dyDescent="0.4">
      <c r="F1047" s="72"/>
      <c r="G1047" s="72"/>
      <c r="H1047" s="72"/>
    </row>
    <row r="1048" spans="6:8" x14ac:dyDescent="0.4">
      <c r="F1048" s="72"/>
      <c r="G1048" s="72"/>
      <c r="H1048" s="72"/>
    </row>
    <row r="1049" spans="6:8" x14ac:dyDescent="0.4">
      <c r="F1049" s="72"/>
      <c r="G1049" s="72"/>
      <c r="H1049" s="72"/>
    </row>
    <row r="1050" spans="6:8" x14ac:dyDescent="0.4">
      <c r="F1050" s="72"/>
      <c r="G1050" s="72"/>
      <c r="H1050" s="72"/>
    </row>
    <row r="1051" spans="6:8" x14ac:dyDescent="0.4">
      <c r="F1051" s="72"/>
      <c r="G1051" s="72"/>
      <c r="H1051" s="72"/>
    </row>
    <row r="1052" spans="6:8" x14ac:dyDescent="0.4">
      <c r="F1052" s="72"/>
      <c r="G1052" s="72"/>
      <c r="H1052" s="72"/>
    </row>
    <row r="1053" spans="6:8" x14ac:dyDescent="0.4">
      <c r="F1053" s="72"/>
      <c r="G1053" s="72"/>
      <c r="H1053" s="72"/>
    </row>
    <row r="1054" spans="6:8" x14ac:dyDescent="0.4">
      <c r="F1054" s="72"/>
      <c r="G1054" s="72"/>
      <c r="H1054" s="72"/>
    </row>
    <row r="1055" spans="6:8" x14ac:dyDescent="0.4">
      <c r="F1055" s="72"/>
      <c r="G1055" s="72"/>
      <c r="H1055" s="72"/>
    </row>
    <row r="1056" spans="6:8" x14ac:dyDescent="0.4">
      <c r="F1056" s="72"/>
      <c r="G1056" s="72"/>
      <c r="H1056" s="72"/>
    </row>
    <row r="1057" spans="6:8" x14ac:dyDescent="0.4">
      <c r="F1057" s="72"/>
      <c r="G1057" s="72"/>
      <c r="H1057" s="72"/>
    </row>
    <row r="1058" spans="6:8" x14ac:dyDescent="0.4">
      <c r="F1058" s="72"/>
      <c r="G1058" s="72"/>
      <c r="H1058" s="72"/>
    </row>
    <row r="1059" spans="6:8" x14ac:dyDescent="0.4">
      <c r="F1059" s="72"/>
      <c r="G1059" s="72"/>
      <c r="H1059" s="72"/>
    </row>
    <row r="1060" spans="6:8" x14ac:dyDescent="0.4">
      <c r="F1060" s="72"/>
      <c r="G1060" s="72"/>
      <c r="H1060" s="72"/>
    </row>
    <row r="1061" spans="6:8" x14ac:dyDescent="0.4">
      <c r="F1061" s="72"/>
      <c r="G1061" s="72"/>
      <c r="H1061" s="72"/>
    </row>
    <row r="1062" spans="6:8" x14ac:dyDescent="0.4">
      <c r="F1062" s="72"/>
      <c r="G1062" s="72"/>
      <c r="H1062" s="72"/>
    </row>
    <row r="1063" spans="6:8" x14ac:dyDescent="0.4">
      <c r="F1063" s="72"/>
      <c r="G1063" s="72"/>
      <c r="H1063" s="72"/>
    </row>
    <row r="1064" spans="6:8" x14ac:dyDescent="0.4">
      <c r="F1064" s="72"/>
      <c r="G1064" s="72"/>
      <c r="H1064" s="72"/>
    </row>
    <row r="1065" spans="6:8" x14ac:dyDescent="0.4">
      <c r="F1065" s="72"/>
      <c r="G1065" s="72"/>
      <c r="H1065" s="72"/>
    </row>
    <row r="1066" spans="6:8" x14ac:dyDescent="0.4">
      <c r="F1066" s="72"/>
      <c r="G1066" s="72"/>
      <c r="H1066" s="72"/>
    </row>
    <row r="1067" spans="6:8" x14ac:dyDescent="0.4">
      <c r="F1067" s="72"/>
      <c r="G1067" s="72"/>
      <c r="H1067" s="72"/>
    </row>
    <row r="1068" spans="6:8" x14ac:dyDescent="0.4">
      <c r="F1068" s="72"/>
      <c r="G1068" s="72"/>
      <c r="H1068" s="72"/>
    </row>
    <row r="1069" spans="6:8" x14ac:dyDescent="0.4">
      <c r="F1069" s="72"/>
      <c r="G1069" s="72"/>
      <c r="H1069" s="72"/>
    </row>
    <row r="1070" spans="6:8" x14ac:dyDescent="0.4">
      <c r="F1070" s="72"/>
      <c r="G1070" s="72"/>
      <c r="H1070" s="72"/>
    </row>
    <row r="1071" spans="6:8" x14ac:dyDescent="0.4">
      <c r="F1071" s="72"/>
      <c r="G1071" s="72"/>
      <c r="H1071" s="72"/>
    </row>
    <row r="1072" spans="6:8" x14ac:dyDescent="0.4">
      <c r="F1072" s="72"/>
      <c r="G1072" s="72"/>
      <c r="H1072" s="72"/>
    </row>
    <row r="1073" spans="6:8" x14ac:dyDescent="0.4">
      <c r="F1073" s="72"/>
      <c r="G1073" s="72"/>
      <c r="H1073" s="72"/>
    </row>
    <row r="1074" spans="6:8" x14ac:dyDescent="0.4">
      <c r="F1074" s="72"/>
      <c r="G1074" s="72"/>
      <c r="H1074" s="72"/>
    </row>
    <row r="1075" spans="6:8" x14ac:dyDescent="0.4">
      <c r="F1075" s="72"/>
      <c r="G1075" s="72"/>
      <c r="H1075" s="72"/>
    </row>
    <row r="1076" spans="6:8" x14ac:dyDescent="0.4">
      <c r="F1076" s="72"/>
      <c r="G1076" s="72"/>
      <c r="H1076" s="72"/>
    </row>
    <row r="1077" spans="6:8" x14ac:dyDescent="0.4">
      <c r="F1077" s="72"/>
      <c r="G1077" s="72"/>
      <c r="H1077" s="72"/>
    </row>
    <row r="1078" spans="6:8" x14ac:dyDescent="0.4">
      <c r="F1078" s="72"/>
      <c r="G1078" s="72"/>
      <c r="H1078" s="72"/>
    </row>
    <row r="1079" spans="6:8" x14ac:dyDescent="0.4">
      <c r="F1079" s="72"/>
      <c r="G1079" s="72"/>
      <c r="H1079" s="72"/>
    </row>
    <row r="1080" spans="6:8" x14ac:dyDescent="0.4">
      <c r="F1080" s="72"/>
      <c r="G1080" s="72"/>
      <c r="H1080" s="72"/>
    </row>
    <row r="1081" spans="6:8" x14ac:dyDescent="0.4">
      <c r="F1081" s="72"/>
      <c r="G1081" s="72"/>
      <c r="H1081" s="72"/>
    </row>
    <row r="1082" spans="6:8" x14ac:dyDescent="0.4">
      <c r="F1082" s="72"/>
      <c r="G1082" s="72"/>
      <c r="H1082" s="72"/>
    </row>
    <row r="1083" spans="6:8" x14ac:dyDescent="0.4">
      <c r="F1083" s="72"/>
      <c r="G1083" s="72"/>
      <c r="H1083" s="72"/>
    </row>
    <row r="1084" spans="6:8" x14ac:dyDescent="0.4">
      <c r="F1084" s="72"/>
      <c r="G1084" s="72"/>
      <c r="H1084" s="72"/>
    </row>
    <row r="1085" spans="6:8" x14ac:dyDescent="0.4">
      <c r="F1085" s="72"/>
      <c r="G1085" s="72"/>
      <c r="H1085" s="72"/>
    </row>
    <row r="1086" spans="6:8" x14ac:dyDescent="0.4">
      <c r="F1086" s="72"/>
      <c r="G1086" s="72"/>
      <c r="H1086" s="72"/>
    </row>
    <row r="1087" spans="6:8" x14ac:dyDescent="0.4">
      <c r="F1087" s="72"/>
      <c r="G1087" s="72"/>
      <c r="H1087" s="72"/>
    </row>
    <row r="1088" spans="6:8" x14ac:dyDescent="0.4">
      <c r="F1088" s="72"/>
      <c r="G1088" s="72"/>
      <c r="H1088" s="72"/>
    </row>
    <row r="1089" spans="6:8" x14ac:dyDescent="0.4">
      <c r="F1089" s="72"/>
      <c r="G1089" s="72"/>
      <c r="H1089" s="72"/>
    </row>
    <row r="1090" spans="6:8" x14ac:dyDescent="0.4">
      <c r="F1090" s="72"/>
      <c r="G1090" s="72"/>
      <c r="H1090" s="72"/>
    </row>
    <row r="1091" spans="6:8" x14ac:dyDescent="0.4">
      <c r="F1091" s="72"/>
      <c r="G1091" s="72"/>
      <c r="H1091" s="72"/>
    </row>
    <row r="1092" spans="6:8" x14ac:dyDescent="0.4">
      <c r="F1092" s="72"/>
      <c r="G1092" s="72"/>
      <c r="H1092" s="72"/>
    </row>
    <row r="1093" spans="6:8" x14ac:dyDescent="0.4">
      <c r="F1093" s="72"/>
      <c r="G1093" s="72"/>
      <c r="H1093" s="72"/>
    </row>
    <row r="1094" spans="6:8" x14ac:dyDescent="0.4">
      <c r="F1094" s="72"/>
      <c r="G1094" s="72"/>
      <c r="H1094" s="72"/>
    </row>
    <row r="1095" spans="6:8" x14ac:dyDescent="0.4">
      <c r="F1095" s="72"/>
      <c r="G1095" s="72"/>
      <c r="H1095" s="72"/>
    </row>
    <row r="1096" spans="6:8" x14ac:dyDescent="0.4">
      <c r="F1096" s="72"/>
      <c r="G1096" s="72"/>
      <c r="H1096" s="72"/>
    </row>
    <row r="1097" spans="6:8" x14ac:dyDescent="0.4">
      <c r="F1097" s="72"/>
      <c r="G1097" s="72"/>
      <c r="H1097" s="72"/>
    </row>
    <row r="1098" spans="6:8" x14ac:dyDescent="0.4">
      <c r="F1098" s="72"/>
      <c r="G1098" s="72"/>
      <c r="H1098" s="72"/>
    </row>
    <row r="1099" spans="6:8" x14ac:dyDescent="0.4">
      <c r="F1099" s="72"/>
      <c r="G1099" s="72"/>
      <c r="H1099" s="72"/>
    </row>
    <row r="1100" spans="6:8" x14ac:dyDescent="0.4">
      <c r="F1100" s="72"/>
      <c r="G1100" s="72"/>
      <c r="H1100" s="72"/>
    </row>
    <row r="1101" spans="6:8" x14ac:dyDescent="0.4">
      <c r="F1101" s="72"/>
      <c r="G1101" s="72"/>
      <c r="H1101" s="72"/>
    </row>
    <row r="1102" spans="6:8" x14ac:dyDescent="0.4">
      <c r="F1102" s="72"/>
      <c r="G1102" s="72"/>
      <c r="H1102" s="72"/>
    </row>
    <row r="1103" spans="6:8" x14ac:dyDescent="0.4">
      <c r="F1103" s="72"/>
      <c r="G1103" s="72"/>
      <c r="H1103" s="72"/>
    </row>
    <row r="1104" spans="6:8" x14ac:dyDescent="0.4">
      <c r="F1104" s="72"/>
      <c r="G1104" s="72"/>
      <c r="H1104" s="72"/>
    </row>
    <row r="1105" spans="6:8" x14ac:dyDescent="0.4">
      <c r="F1105" s="72"/>
      <c r="G1105" s="72"/>
      <c r="H1105" s="72"/>
    </row>
    <row r="1106" spans="6:8" x14ac:dyDescent="0.4">
      <c r="F1106" s="72"/>
      <c r="G1106" s="72"/>
      <c r="H1106" s="72"/>
    </row>
    <row r="1107" spans="6:8" x14ac:dyDescent="0.4">
      <c r="F1107" s="72"/>
      <c r="G1107" s="72"/>
      <c r="H1107" s="72"/>
    </row>
    <row r="1108" spans="6:8" x14ac:dyDescent="0.4">
      <c r="F1108" s="72"/>
      <c r="G1108" s="72"/>
      <c r="H1108" s="72"/>
    </row>
    <row r="1109" spans="6:8" x14ac:dyDescent="0.4">
      <c r="F1109" s="72"/>
      <c r="G1109" s="72"/>
      <c r="H1109" s="72"/>
    </row>
    <row r="1110" spans="6:8" x14ac:dyDescent="0.4">
      <c r="F1110" s="72"/>
      <c r="G1110" s="72"/>
      <c r="H1110" s="72"/>
    </row>
    <row r="1111" spans="6:8" x14ac:dyDescent="0.4">
      <c r="F1111" s="72"/>
      <c r="G1111" s="72"/>
      <c r="H1111" s="72"/>
    </row>
    <row r="1112" spans="6:8" x14ac:dyDescent="0.4">
      <c r="F1112" s="72"/>
      <c r="G1112" s="72"/>
      <c r="H1112" s="72"/>
    </row>
    <row r="1113" spans="6:8" x14ac:dyDescent="0.4">
      <c r="F1113" s="72"/>
      <c r="G1113" s="72"/>
      <c r="H1113" s="72"/>
    </row>
    <row r="1114" spans="6:8" x14ac:dyDescent="0.4">
      <c r="F1114" s="72"/>
      <c r="G1114" s="72"/>
      <c r="H1114" s="72"/>
    </row>
    <row r="1115" spans="6:8" x14ac:dyDescent="0.4">
      <c r="F1115" s="72"/>
      <c r="G1115" s="72"/>
      <c r="H1115" s="72"/>
    </row>
    <row r="1116" spans="6:8" x14ac:dyDescent="0.4">
      <c r="F1116" s="72"/>
      <c r="G1116" s="72"/>
      <c r="H1116" s="72"/>
    </row>
    <row r="1117" spans="6:8" x14ac:dyDescent="0.4">
      <c r="F1117" s="72"/>
      <c r="G1117" s="72"/>
      <c r="H1117" s="72"/>
    </row>
    <row r="1118" spans="6:8" x14ac:dyDescent="0.4">
      <c r="F1118" s="72"/>
      <c r="G1118" s="72"/>
      <c r="H1118" s="72"/>
    </row>
    <row r="1119" spans="6:8" x14ac:dyDescent="0.4">
      <c r="F1119" s="72"/>
      <c r="G1119" s="72"/>
      <c r="H1119" s="72"/>
    </row>
    <row r="1120" spans="6:8" x14ac:dyDescent="0.4">
      <c r="F1120" s="72"/>
      <c r="G1120" s="72"/>
      <c r="H1120" s="72"/>
    </row>
    <row r="1121" spans="6:8" x14ac:dyDescent="0.4">
      <c r="F1121" s="72"/>
      <c r="G1121" s="72"/>
      <c r="H1121" s="72"/>
    </row>
    <row r="1122" spans="6:8" x14ac:dyDescent="0.4">
      <c r="F1122" s="72"/>
      <c r="G1122" s="72"/>
      <c r="H1122" s="72"/>
    </row>
    <row r="1123" spans="6:8" x14ac:dyDescent="0.4">
      <c r="F1123" s="72"/>
      <c r="G1123" s="72"/>
      <c r="H1123" s="72"/>
    </row>
    <row r="1124" spans="6:8" x14ac:dyDescent="0.4">
      <c r="F1124" s="72"/>
      <c r="G1124" s="72"/>
      <c r="H1124" s="72"/>
    </row>
    <row r="1125" spans="6:8" x14ac:dyDescent="0.4">
      <c r="F1125" s="72"/>
      <c r="G1125" s="72"/>
      <c r="H1125" s="72"/>
    </row>
    <row r="1126" spans="6:8" x14ac:dyDescent="0.4">
      <c r="F1126" s="72"/>
      <c r="G1126" s="72"/>
      <c r="H1126" s="72"/>
    </row>
    <row r="1127" spans="6:8" x14ac:dyDescent="0.4">
      <c r="F1127" s="72"/>
      <c r="G1127" s="72"/>
      <c r="H1127" s="72"/>
    </row>
    <row r="1128" spans="6:8" x14ac:dyDescent="0.4">
      <c r="F1128" s="72"/>
      <c r="G1128" s="72"/>
      <c r="H1128" s="72"/>
    </row>
    <row r="1129" spans="6:8" x14ac:dyDescent="0.4">
      <c r="F1129" s="72"/>
      <c r="G1129" s="72"/>
      <c r="H1129" s="72"/>
    </row>
    <row r="1130" spans="6:8" x14ac:dyDescent="0.4">
      <c r="F1130" s="72"/>
      <c r="G1130" s="72"/>
      <c r="H1130" s="72"/>
    </row>
    <row r="1131" spans="6:8" x14ac:dyDescent="0.4">
      <c r="F1131" s="72"/>
      <c r="G1131" s="72"/>
      <c r="H1131" s="72"/>
    </row>
    <row r="1132" spans="6:8" x14ac:dyDescent="0.4">
      <c r="F1132" s="72"/>
      <c r="G1132" s="72"/>
      <c r="H1132" s="72"/>
    </row>
    <row r="1133" spans="6:8" x14ac:dyDescent="0.4">
      <c r="F1133" s="72"/>
      <c r="G1133" s="72"/>
      <c r="H1133" s="72"/>
    </row>
    <row r="1134" spans="6:8" x14ac:dyDescent="0.4">
      <c r="F1134" s="72"/>
      <c r="G1134" s="72"/>
      <c r="H1134" s="72"/>
    </row>
    <row r="1135" spans="6:8" x14ac:dyDescent="0.4">
      <c r="F1135" s="72"/>
      <c r="G1135" s="72"/>
      <c r="H1135" s="72"/>
    </row>
    <row r="1136" spans="6:8" x14ac:dyDescent="0.4">
      <c r="F1136" s="72"/>
      <c r="G1136" s="72"/>
      <c r="H1136" s="72"/>
    </row>
    <row r="1137" spans="6:8" x14ac:dyDescent="0.4">
      <c r="F1137" s="72"/>
      <c r="G1137" s="72"/>
      <c r="H1137" s="72"/>
    </row>
    <row r="1138" spans="6:8" x14ac:dyDescent="0.4">
      <c r="F1138" s="72"/>
      <c r="G1138" s="72"/>
      <c r="H1138" s="72"/>
    </row>
    <row r="1139" spans="6:8" x14ac:dyDescent="0.4">
      <c r="F1139" s="72"/>
      <c r="G1139" s="72"/>
      <c r="H1139" s="72"/>
    </row>
    <row r="1140" spans="6:8" x14ac:dyDescent="0.4">
      <c r="F1140" s="72"/>
      <c r="G1140" s="72"/>
      <c r="H1140" s="72"/>
    </row>
    <row r="1141" spans="6:8" x14ac:dyDescent="0.4">
      <c r="F1141" s="72"/>
      <c r="G1141" s="72"/>
      <c r="H1141" s="72"/>
    </row>
    <row r="1142" spans="6:8" x14ac:dyDescent="0.4">
      <c r="F1142" s="72"/>
      <c r="G1142" s="72"/>
      <c r="H1142" s="72"/>
    </row>
    <row r="1143" spans="6:8" x14ac:dyDescent="0.4">
      <c r="F1143" s="72"/>
      <c r="G1143" s="72"/>
      <c r="H1143" s="72"/>
    </row>
    <row r="1144" spans="6:8" x14ac:dyDescent="0.4">
      <c r="F1144" s="72"/>
      <c r="G1144" s="72"/>
      <c r="H1144" s="72"/>
    </row>
    <row r="1145" spans="6:8" x14ac:dyDescent="0.4">
      <c r="F1145" s="72"/>
      <c r="G1145" s="72"/>
      <c r="H1145" s="72"/>
    </row>
    <row r="1146" spans="6:8" x14ac:dyDescent="0.4">
      <c r="F1146" s="72"/>
      <c r="G1146" s="72"/>
      <c r="H1146" s="72"/>
    </row>
    <row r="1147" spans="6:8" x14ac:dyDescent="0.4">
      <c r="F1147" s="72"/>
      <c r="G1147" s="72"/>
      <c r="H1147" s="72"/>
    </row>
    <row r="1148" spans="6:8" x14ac:dyDescent="0.4">
      <c r="F1148" s="72"/>
      <c r="G1148" s="72"/>
      <c r="H1148" s="72"/>
    </row>
    <row r="1149" spans="6:8" x14ac:dyDescent="0.4">
      <c r="F1149" s="72"/>
      <c r="G1149" s="72"/>
      <c r="H1149" s="72"/>
    </row>
    <row r="1150" spans="6:8" x14ac:dyDescent="0.4">
      <c r="F1150" s="72"/>
      <c r="G1150" s="72"/>
      <c r="H1150" s="72"/>
    </row>
    <row r="1151" spans="6:8" x14ac:dyDescent="0.4">
      <c r="F1151" s="72"/>
      <c r="G1151" s="72"/>
      <c r="H1151" s="72"/>
    </row>
    <row r="1152" spans="6:8" x14ac:dyDescent="0.4">
      <c r="F1152" s="72"/>
      <c r="G1152" s="72"/>
      <c r="H1152" s="72"/>
    </row>
    <row r="1153" spans="6:8" x14ac:dyDescent="0.4">
      <c r="F1153" s="72"/>
      <c r="G1153" s="72"/>
      <c r="H1153" s="72"/>
    </row>
    <row r="1154" spans="6:8" x14ac:dyDescent="0.4">
      <c r="F1154" s="72"/>
      <c r="G1154" s="72"/>
      <c r="H1154" s="72"/>
    </row>
    <row r="1155" spans="6:8" x14ac:dyDescent="0.4">
      <c r="F1155" s="72"/>
      <c r="G1155" s="72"/>
      <c r="H1155" s="72"/>
    </row>
    <row r="1156" spans="6:8" x14ac:dyDescent="0.4">
      <c r="F1156" s="72"/>
      <c r="G1156" s="72"/>
      <c r="H1156" s="72"/>
    </row>
    <row r="1157" spans="6:8" x14ac:dyDescent="0.4">
      <c r="F1157" s="72"/>
      <c r="G1157" s="72"/>
      <c r="H1157" s="72"/>
    </row>
    <row r="1158" spans="6:8" x14ac:dyDescent="0.4">
      <c r="F1158" s="72"/>
      <c r="G1158" s="72"/>
      <c r="H1158" s="72"/>
    </row>
    <row r="1159" spans="6:8" x14ac:dyDescent="0.4">
      <c r="F1159" s="72"/>
      <c r="G1159" s="72"/>
      <c r="H1159" s="72"/>
    </row>
    <row r="1160" spans="6:8" x14ac:dyDescent="0.4">
      <c r="F1160" s="72"/>
      <c r="G1160" s="72"/>
      <c r="H1160" s="72"/>
    </row>
    <row r="1161" spans="6:8" x14ac:dyDescent="0.4">
      <c r="F1161" s="72"/>
      <c r="G1161" s="72"/>
      <c r="H1161" s="72"/>
    </row>
    <row r="1162" spans="6:8" x14ac:dyDescent="0.4">
      <c r="F1162" s="72"/>
      <c r="G1162" s="72"/>
      <c r="H1162" s="72"/>
    </row>
    <row r="1163" spans="6:8" x14ac:dyDescent="0.4">
      <c r="F1163" s="72"/>
      <c r="G1163" s="72"/>
      <c r="H1163" s="72"/>
    </row>
    <row r="1164" spans="6:8" x14ac:dyDescent="0.4">
      <c r="F1164" s="72"/>
      <c r="G1164" s="72"/>
      <c r="H1164" s="72"/>
    </row>
    <row r="1165" spans="6:8" x14ac:dyDescent="0.4">
      <c r="F1165" s="72"/>
      <c r="G1165" s="72"/>
      <c r="H1165" s="72"/>
    </row>
    <row r="1166" spans="6:8" x14ac:dyDescent="0.4">
      <c r="F1166" s="72"/>
      <c r="G1166" s="72"/>
      <c r="H1166" s="72"/>
    </row>
    <row r="1167" spans="6:8" x14ac:dyDescent="0.4">
      <c r="F1167" s="72"/>
      <c r="G1167" s="72"/>
      <c r="H1167" s="72"/>
    </row>
    <row r="1168" spans="6:8" x14ac:dyDescent="0.4">
      <c r="F1168" s="72"/>
      <c r="G1168" s="72"/>
      <c r="H1168" s="72"/>
    </row>
    <row r="1169" spans="6:8" x14ac:dyDescent="0.4">
      <c r="F1169" s="72"/>
      <c r="G1169" s="72"/>
      <c r="H1169" s="72"/>
    </row>
    <row r="1170" spans="6:8" x14ac:dyDescent="0.4">
      <c r="F1170" s="72"/>
      <c r="G1170" s="72"/>
      <c r="H1170" s="72"/>
    </row>
    <row r="1171" spans="6:8" x14ac:dyDescent="0.4">
      <c r="F1171" s="72"/>
      <c r="G1171" s="72"/>
      <c r="H1171" s="72"/>
    </row>
    <row r="1172" spans="6:8" x14ac:dyDescent="0.4">
      <c r="F1172" s="72"/>
      <c r="G1172" s="72"/>
      <c r="H1172" s="72"/>
    </row>
    <row r="1173" spans="6:8" x14ac:dyDescent="0.4">
      <c r="F1173" s="72"/>
      <c r="G1173" s="72"/>
      <c r="H1173" s="72"/>
    </row>
    <row r="1174" spans="6:8" x14ac:dyDescent="0.4">
      <c r="F1174" s="72"/>
      <c r="G1174" s="72"/>
      <c r="H1174" s="72"/>
    </row>
    <row r="1175" spans="6:8" x14ac:dyDescent="0.4">
      <c r="F1175" s="72"/>
      <c r="G1175" s="72"/>
      <c r="H1175" s="72"/>
    </row>
    <row r="1176" spans="6:8" x14ac:dyDescent="0.4">
      <c r="F1176" s="72"/>
      <c r="G1176" s="72"/>
      <c r="H1176" s="72"/>
    </row>
    <row r="1177" spans="6:8" x14ac:dyDescent="0.4">
      <c r="F1177" s="72"/>
      <c r="G1177" s="72"/>
      <c r="H1177" s="72"/>
    </row>
    <row r="1178" spans="6:8" x14ac:dyDescent="0.4">
      <c r="F1178" s="72"/>
      <c r="G1178" s="72"/>
      <c r="H1178" s="72"/>
    </row>
    <row r="1179" spans="6:8" x14ac:dyDescent="0.4">
      <c r="F1179" s="72"/>
      <c r="G1179" s="72"/>
      <c r="H1179" s="72"/>
    </row>
    <row r="1180" spans="6:8" x14ac:dyDescent="0.4">
      <c r="F1180" s="72"/>
      <c r="G1180" s="72"/>
      <c r="H1180" s="72"/>
    </row>
    <row r="1181" spans="6:8" x14ac:dyDescent="0.4">
      <c r="F1181" s="72"/>
      <c r="G1181" s="72"/>
      <c r="H1181" s="72"/>
    </row>
    <row r="1182" spans="6:8" x14ac:dyDescent="0.4">
      <c r="F1182" s="72"/>
      <c r="G1182" s="72"/>
      <c r="H1182" s="72"/>
    </row>
    <row r="1183" spans="6:8" x14ac:dyDescent="0.4">
      <c r="F1183" s="72"/>
      <c r="G1183" s="72"/>
      <c r="H1183" s="72"/>
    </row>
    <row r="1184" spans="6:8" x14ac:dyDescent="0.4">
      <c r="F1184" s="72"/>
      <c r="G1184" s="72"/>
      <c r="H1184" s="72"/>
    </row>
    <row r="1185" spans="6:8" x14ac:dyDescent="0.4">
      <c r="F1185" s="72"/>
      <c r="G1185" s="72"/>
      <c r="H1185" s="72"/>
    </row>
    <row r="1186" spans="6:8" x14ac:dyDescent="0.4">
      <c r="F1186" s="72"/>
      <c r="G1186" s="72"/>
      <c r="H1186" s="72"/>
    </row>
    <row r="1187" spans="6:8" x14ac:dyDescent="0.4">
      <c r="F1187" s="72"/>
      <c r="G1187" s="72"/>
      <c r="H1187" s="72"/>
    </row>
    <row r="1188" spans="6:8" x14ac:dyDescent="0.4">
      <c r="F1188" s="72"/>
      <c r="G1188" s="72"/>
      <c r="H1188" s="72"/>
    </row>
    <row r="1189" spans="6:8" x14ac:dyDescent="0.4">
      <c r="F1189" s="72"/>
      <c r="G1189" s="72"/>
      <c r="H1189" s="72"/>
    </row>
    <row r="1190" spans="6:8" x14ac:dyDescent="0.4">
      <c r="F1190" s="72"/>
      <c r="G1190" s="72"/>
      <c r="H1190" s="72"/>
    </row>
    <row r="1191" spans="6:8" x14ac:dyDescent="0.4">
      <c r="F1191" s="72"/>
      <c r="G1191" s="72"/>
      <c r="H1191" s="72"/>
    </row>
    <row r="1192" spans="6:8" x14ac:dyDescent="0.4">
      <c r="F1192" s="72"/>
      <c r="G1192" s="72"/>
      <c r="H1192" s="72"/>
    </row>
    <row r="1193" spans="6:8" x14ac:dyDescent="0.4">
      <c r="F1193" s="72"/>
      <c r="G1193" s="72"/>
      <c r="H1193" s="72"/>
    </row>
    <row r="1194" spans="6:8" x14ac:dyDescent="0.4">
      <c r="F1194" s="72"/>
      <c r="G1194" s="72"/>
      <c r="H1194" s="72"/>
    </row>
    <row r="1195" spans="6:8" x14ac:dyDescent="0.4">
      <c r="F1195" s="72"/>
      <c r="G1195" s="72"/>
      <c r="H1195" s="72"/>
    </row>
    <row r="1196" spans="6:8" x14ac:dyDescent="0.4">
      <c r="F1196" s="72"/>
      <c r="G1196" s="72"/>
      <c r="H1196" s="72"/>
    </row>
    <row r="1197" spans="6:8" x14ac:dyDescent="0.4">
      <c r="F1197" s="72"/>
      <c r="G1197" s="72"/>
      <c r="H1197" s="72"/>
    </row>
    <row r="1198" spans="6:8" x14ac:dyDescent="0.4">
      <c r="F1198" s="72"/>
      <c r="G1198" s="72"/>
      <c r="H1198" s="72"/>
    </row>
    <row r="1199" spans="6:8" x14ac:dyDescent="0.4">
      <c r="F1199" s="72"/>
      <c r="G1199" s="72"/>
      <c r="H1199" s="72"/>
    </row>
    <row r="1200" spans="6:8" x14ac:dyDescent="0.4">
      <c r="F1200" s="72"/>
      <c r="G1200" s="72"/>
      <c r="H1200" s="72"/>
    </row>
    <row r="1201" spans="6:8" x14ac:dyDescent="0.4">
      <c r="F1201" s="72"/>
      <c r="G1201" s="72"/>
      <c r="H1201" s="72"/>
    </row>
    <row r="1202" spans="6:8" x14ac:dyDescent="0.4">
      <c r="F1202" s="72"/>
      <c r="G1202" s="72"/>
      <c r="H1202" s="72"/>
    </row>
    <row r="1203" spans="6:8" x14ac:dyDescent="0.4">
      <c r="F1203" s="72"/>
      <c r="G1203" s="72"/>
      <c r="H1203" s="72"/>
    </row>
    <row r="1204" spans="6:8" x14ac:dyDescent="0.4">
      <c r="F1204" s="72"/>
      <c r="G1204" s="72"/>
      <c r="H1204" s="72"/>
    </row>
    <row r="1205" spans="6:8" x14ac:dyDescent="0.4">
      <c r="F1205" s="72"/>
      <c r="G1205" s="72"/>
      <c r="H1205" s="72"/>
    </row>
    <row r="1206" spans="6:8" x14ac:dyDescent="0.4">
      <c r="F1206" s="72"/>
      <c r="G1206" s="72"/>
      <c r="H1206" s="72"/>
    </row>
    <row r="1207" spans="6:8" x14ac:dyDescent="0.4">
      <c r="F1207" s="72"/>
      <c r="G1207" s="72"/>
      <c r="H1207" s="72"/>
    </row>
    <row r="1208" spans="6:8" x14ac:dyDescent="0.4">
      <c r="F1208" s="72"/>
      <c r="G1208" s="72"/>
      <c r="H1208" s="72"/>
    </row>
    <row r="1209" spans="6:8" x14ac:dyDescent="0.4">
      <c r="F1209" s="72"/>
      <c r="G1209" s="72"/>
      <c r="H1209" s="72"/>
    </row>
    <row r="1210" spans="6:8" x14ac:dyDescent="0.4">
      <c r="F1210" s="72"/>
      <c r="G1210" s="72"/>
      <c r="H1210" s="72"/>
    </row>
    <row r="1211" spans="6:8" x14ac:dyDescent="0.4">
      <c r="F1211" s="72"/>
      <c r="G1211" s="72"/>
      <c r="H1211" s="72"/>
    </row>
    <row r="1212" spans="6:8" x14ac:dyDescent="0.4">
      <c r="F1212" s="72"/>
      <c r="G1212" s="72"/>
      <c r="H1212" s="72"/>
    </row>
    <row r="1213" spans="6:8" x14ac:dyDescent="0.4">
      <c r="F1213" s="72"/>
      <c r="G1213" s="72"/>
      <c r="H1213" s="72"/>
    </row>
    <row r="1214" spans="6:8" x14ac:dyDescent="0.4">
      <c r="F1214" s="72"/>
      <c r="G1214" s="72"/>
      <c r="H1214" s="72"/>
    </row>
    <row r="1215" spans="6:8" x14ac:dyDescent="0.4">
      <c r="F1215" s="72"/>
      <c r="G1215" s="72"/>
      <c r="H1215" s="72"/>
    </row>
    <row r="1216" spans="6:8" x14ac:dyDescent="0.4">
      <c r="F1216" s="72"/>
      <c r="G1216" s="72"/>
      <c r="H1216" s="72"/>
    </row>
    <row r="1217" spans="6:8" x14ac:dyDescent="0.4">
      <c r="F1217" s="72"/>
      <c r="G1217" s="72"/>
      <c r="H1217" s="72"/>
    </row>
    <row r="1218" spans="6:8" x14ac:dyDescent="0.4">
      <c r="F1218" s="72"/>
      <c r="G1218" s="72"/>
      <c r="H1218" s="72"/>
    </row>
    <row r="1219" spans="6:8" x14ac:dyDescent="0.4">
      <c r="F1219" s="72"/>
      <c r="G1219" s="72"/>
      <c r="H1219" s="72"/>
    </row>
    <row r="1220" spans="6:8" x14ac:dyDescent="0.4">
      <c r="F1220" s="72"/>
      <c r="G1220" s="72"/>
      <c r="H1220" s="72"/>
    </row>
    <row r="1221" spans="6:8" x14ac:dyDescent="0.4">
      <c r="F1221" s="72"/>
      <c r="G1221" s="72"/>
      <c r="H1221" s="72"/>
    </row>
    <row r="1222" spans="6:8" x14ac:dyDescent="0.4">
      <c r="F1222" s="72"/>
      <c r="G1222" s="72"/>
      <c r="H1222" s="72"/>
    </row>
    <row r="1223" spans="6:8" x14ac:dyDescent="0.4">
      <c r="F1223" s="72"/>
      <c r="G1223" s="72"/>
      <c r="H1223" s="72"/>
    </row>
    <row r="1224" spans="6:8" x14ac:dyDescent="0.4">
      <c r="F1224" s="72"/>
      <c r="G1224" s="72"/>
      <c r="H1224" s="72"/>
    </row>
    <row r="1225" spans="6:8" x14ac:dyDescent="0.4">
      <c r="F1225" s="72"/>
      <c r="G1225" s="72"/>
      <c r="H1225" s="72"/>
    </row>
    <row r="1226" spans="6:8" x14ac:dyDescent="0.4">
      <c r="F1226" s="72"/>
      <c r="G1226" s="72"/>
      <c r="H1226" s="72"/>
    </row>
    <row r="1227" spans="6:8" x14ac:dyDescent="0.4">
      <c r="F1227" s="72"/>
      <c r="G1227" s="72"/>
      <c r="H1227" s="72"/>
    </row>
    <row r="1228" spans="6:8" x14ac:dyDescent="0.4">
      <c r="F1228" s="72"/>
      <c r="G1228" s="72"/>
      <c r="H1228" s="72"/>
    </row>
    <row r="1229" spans="6:8" x14ac:dyDescent="0.4">
      <c r="F1229" s="72"/>
      <c r="G1229" s="72"/>
      <c r="H1229" s="72"/>
    </row>
    <row r="1230" spans="6:8" x14ac:dyDescent="0.4">
      <c r="F1230" s="72"/>
      <c r="G1230" s="72"/>
      <c r="H1230" s="72"/>
    </row>
    <row r="1231" spans="6:8" x14ac:dyDescent="0.4">
      <c r="F1231" s="72"/>
      <c r="G1231" s="72"/>
      <c r="H1231" s="72"/>
    </row>
    <row r="1232" spans="6:8" x14ac:dyDescent="0.4">
      <c r="F1232" s="72"/>
      <c r="G1232" s="72"/>
      <c r="H1232" s="72"/>
    </row>
    <row r="1233" spans="6:8" x14ac:dyDescent="0.4">
      <c r="F1233" s="72"/>
      <c r="G1233" s="72"/>
      <c r="H1233" s="72"/>
    </row>
    <row r="1234" spans="6:8" x14ac:dyDescent="0.4">
      <c r="F1234" s="72"/>
      <c r="G1234" s="72"/>
      <c r="H1234" s="72"/>
    </row>
    <row r="1235" spans="6:8" x14ac:dyDescent="0.4">
      <c r="F1235" s="72"/>
      <c r="G1235" s="72"/>
      <c r="H1235" s="72"/>
    </row>
    <row r="1236" spans="6:8" x14ac:dyDescent="0.4">
      <c r="F1236" s="72"/>
      <c r="G1236" s="72"/>
      <c r="H1236" s="72"/>
    </row>
    <row r="1237" spans="6:8" x14ac:dyDescent="0.4">
      <c r="F1237" s="72"/>
      <c r="G1237" s="72"/>
      <c r="H1237" s="72"/>
    </row>
    <row r="1238" spans="6:8" x14ac:dyDescent="0.4">
      <c r="F1238" s="72"/>
      <c r="G1238" s="72"/>
      <c r="H1238" s="72"/>
    </row>
    <row r="1239" spans="6:8" x14ac:dyDescent="0.4">
      <c r="F1239" s="72"/>
      <c r="G1239" s="72"/>
      <c r="H1239" s="72"/>
    </row>
    <row r="1240" spans="6:8" x14ac:dyDescent="0.4">
      <c r="F1240" s="72"/>
      <c r="G1240" s="72"/>
      <c r="H1240" s="72"/>
    </row>
    <row r="1241" spans="6:8" x14ac:dyDescent="0.4">
      <c r="F1241" s="72"/>
      <c r="G1241" s="72"/>
      <c r="H1241" s="72"/>
    </row>
    <row r="1242" spans="6:8" x14ac:dyDescent="0.4">
      <c r="F1242" s="72"/>
      <c r="G1242" s="72"/>
      <c r="H1242" s="72"/>
    </row>
    <row r="1243" spans="6:8" x14ac:dyDescent="0.4">
      <c r="F1243" s="72"/>
      <c r="G1243" s="72"/>
      <c r="H1243" s="72"/>
    </row>
    <row r="1244" spans="6:8" x14ac:dyDescent="0.4">
      <c r="F1244" s="72"/>
      <c r="G1244" s="72"/>
      <c r="H1244" s="72"/>
    </row>
    <row r="1245" spans="6:8" x14ac:dyDescent="0.4">
      <c r="F1245" s="72"/>
      <c r="G1245" s="72"/>
      <c r="H1245" s="72"/>
    </row>
    <row r="1246" spans="6:8" x14ac:dyDescent="0.4">
      <c r="F1246" s="72"/>
      <c r="G1246" s="72"/>
      <c r="H1246" s="72"/>
    </row>
    <row r="1247" spans="6:8" x14ac:dyDescent="0.4">
      <c r="F1247" s="72"/>
      <c r="G1247" s="72"/>
      <c r="H1247" s="72"/>
    </row>
    <row r="1248" spans="6:8" x14ac:dyDescent="0.4">
      <c r="F1248" s="72"/>
      <c r="G1248" s="72"/>
      <c r="H1248" s="72"/>
    </row>
    <row r="1249" spans="6:8" x14ac:dyDescent="0.4">
      <c r="F1249" s="72"/>
      <c r="G1249" s="72"/>
      <c r="H1249" s="72"/>
    </row>
    <row r="1250" spans="6:8" x14ac:dyDescent="0.4">
      <c r="F1250" s="72"/>
      <c r="G1250" s="72"/>
      <c r="H1250" s="72"/>
    </row>
    <row r="1251" spans="6:8" x14ac:dyDescent="0.4">
      <c r="F1251" s="72"/>
      <c r="G1251" s="72"/>
      <c r="H1251" s="72"/>
    </row>
    <row r="1252" spans="6:8" x14ac:dyDescent="0.4">
      <c r="F1252" s="72"/>
      <c r="G1252" s="72"/>
      <c r="H1252" s="72"/>
    </row>
    <row r="1253" spans="6:8" x14ac:dyDescent="0.4">
      <c r="F1253" s="72"/>
      <c r="G1253" s="72"/>
      <c r="H1253" s="72"/>
    </row>
    <row r="1254" spans="6:8" x14ac:dyDescent="0.4">
      <c r="F1254" s="72"/>
      <c r="G1254" s="72"/>
      <c r="H1254" s="72"/>
    </row>
    <row r="1255" spans="6:8" x14ac:dyDescent="0.4">
      <c r="F1255" s="72"/>
      <c r="G1255" s="72"/>
      <c r="H1255" s="72"/>
    </row>
    <row r="1256" spans="6:8" x14ac:dyDescent="0.4">
      <c r="F1256" s="72"/>
      <c r="G1256" s="72"/>
      <c r="H1256" s="72"/>
    </row>
    <row r="1257" spans="6:8" x14ac:dyDescent="0.4">
      <c r="F1257" s="72"/>
      <c r="G1257" s="72"/>
      <c r="H1257" s="72"/>
    </row>
    <row r="1258" spans="6:8" x14ac:dyDescent="0.4">
      <c r="F1258" s="72"/>
      <c r="G1258" s="72"/>
      <c r="H1258" s="72"/>
    </row>
    <row r="1259" spans="6:8" x14ac:dyDescent="0.4">
      <c r="F1259" s="72"/>
      <c r="G1259" s="72"/>
      <c r="H1259" s="72"/>
    </row>
    <row r="1260" spans="6:8" x14ac:dyDescent="0.4">
      <c r="F1260" s="72"/>
      <c r="G1260" s="72"/>
      <c r="H1260" s="72"/>
    </row>
    <row r="1261" spans="6:8" x14ac:dyDescent="0.4">
      <c r="F1261" s="72"/>
      <c r="G1261" s="72"/>
      <c r="H1261" s="72"/>
    </row>
    <row r="1262" spans="6:8" x14ac:dyDescent="0.4">
      <c r="F1262" s="72"/>
      <c r="G1262" s="72"/>
      <c r="H1262" s="72"/>
    </row>
    <row r="1263" spans="6:8" x14ac:dyDescent="0.4">
      <c r="F1263" s="72"/>
      <c r="G1263" s="72"/>
      <c r="H1263" s="72"/>
    </row>
    <row r="1264" spans="6:8" x14ac:dyDescent="0.4">
      <c r="F1264" s="72"/>
      <c r="G1264" s="72"/>
      <c r="H1264" s="72"/>
    </row>
    <row r="1265" spans="6:8" x14ac:dyDescent="0.4">
      <c r="F1265" s="72"/>
      <c r="G1265" s="72"/>
      <c r="H1265" s="72"/>
    </row>
    <row r="1266" spans="6:8" x14ac:dyDescent="0.4">
      <c r="F1266" s="72"/>
      <c r="G1266" s="72"/>
      <c r="H1266" s="72"/>
    </row>
    <row r="1267" spans="6:8" x14ac:dyDescent="0.4">
      <c r="F1267" s="72"/>
      <c r="G1267" s="72"/>
      <c r="H1267" s="72"/>
    </row>
    <row r="1268" spans="6:8" x14ac:dyDescent="0.4">
      <c r="F1268" s="72"/>
      <c r="G1268" s="72"/>
      <c r="H1268" s="72"/>
    </row>
    <row r="1269" spans="6:8" x14ac:dyDescent="0.4">
      <c r="F1269" s="72"/>
      <c r="G1269" s="72"/>
      <c r="H1269" s="72"/>
    </row>
    <row r="1270" spans="6:8" x14ac:dyDescent="0.4">
      <c r="F1270" s="72"/>
      <c r="G1270" s="72"/>
      <c r="H1270" s="72"/>
    </row>
    <row r="1271" spans="6:8" x14ac:dyDescent="0.4">
      <c r="F1271" s="72"/>
      <c r="G1271" s="72"/>
      <c r="H1271" s="72"/>
    </row>
    <row r="1272" spans="6:8" x14ac:dyDescent="0.4">
      <c r="F1272" s="72"/>
      <c r="G1272" s="72"/>
      <c r="H1272" s="72"/>
    </row>
    <row r="1273" spans="6:8" x14ac:dyDescent="0.4">
      <c r="F1273" s="72"/>
      <c r="G1273" s="72"/>
      <c r="H1273" s="72"/>
    </row>
    <row r="1274" spans="6:8" x14ac:dyDescent="0.4">
      <c r="F1274" s="72"/>
      <c r="G1274" s="72"/>
      <c r="H1274" s="72"/>
    </row>
    <row r="1275" spans="6:8" x14ac:dyDescent="0.4">
      <c r="F1275" s="72"/>
      <c r="G1275" s="72"/>
      <c r="H1275" s="72"/>
    </row>
    <row r="1276" spans="6:8" x14ac:dyDescent="0.4">
      <c r="F1276" s="72"/>
      <c r="G1276" s="72"/>
      <c r="H1276" s="72"/>
    </row>
    <row r="1277" spans="6:8" x14ac:dyDescent="0.4">
      <c r="F1277" s="72"/>
      <c r="G1277" s="72"/>
      <c r="H1277" s="72"/>
    </row>
    <row r="1278" spans="6:8" x14ac:dyDescent="0.4">
      <c r="F1278" s="72"/>
      <c r="G1278" s="72"/>
      <c r="H1278" s="72"/>
    </row>
    <row r="1279" spans="6:8" x14ac:dyDescent="0.4">
      <c r="F1279" s="72"/>
      <c r="G1279" s="72"/>
      <c r="H1279" s="72"/>
    </row>
    <row r="1280" spans="6:8" x14ac:dyDescent="0.4">
      <c r="F1280" s="72"/>
      <c r="G1280" s="72"/>
      <c r="H1280" s="72"/>
    </row>
    <row r="1281" spans="6:8" x14ac:dyDescent="0.4">
      <c r="F1281" s="72"/>
      <c r="G1281" s="72"/>
      <c r="H1281" s="72"/>
    </row>
    <row r="1282" spans="6:8" x14ac:dyDescent="0.4">
      <c r="F1282" s="72"/>
      <c r="G1282" s="72"/>
      <c r="H1282" s="72"/>
    </row>
    <row r="1283" spans="6:8" x14ac:dyDescent="0.4">
      <c r="F1283" s="72"/>
      <c r="G1283" s="72"/>
      <c r="H1283" s="72"/>
    </row>
    <row r="1284" spans="6:8" x14ac:dyDescent="0.4">
      <c r="F1284" s="72"/>
      <c r="G1284" s="72"/>
      <c r="H1284" s="72"/>
    </row>
    <row r="1285" spans="6:8" x14ac:dyDescent="0.4">
      <c r="F1285" s="72"/>
      <c r="G1285" s="72"/>
      <c r="H1285" s="72"/>
    </row>
    <row r="1286" spans="6:8" x14ac:dyDescent="0.4">
      <c r="F1286" s="72"/>
      <c r="G1286" s="72"/>
      <c r="H1286" s="72"/>
    </row>
    <row r="1287" spans="6:8" x14ac:dyDescent="0.4">
      <c r="F1287" s="72"/>
      <c r="G1287" s="72"/>
      <c r="H1287" s="72"/>
    </row>
    <row r="1288" spans="6:8" x14ac:dyDescent="0.4">
      <c r="F1288" s="72"/>
      <c r="G1288" s="72"/>
      <c r="H1288" s="72"/>
    </row>
    <row r="1289" spans="6:8" x14ac:dyDescent="0.4">
      <c r="F1289" s="72"/>
      <c r="G1289" s="72"/>
      <c r="H1289" s="72"/>
    </row>
    <row r="1290" spans="6:8" x14ac:dyDescent="0.4">
      <c r="F1290" s="72"/>
      <c r="G1290" s="72"/>
      <c r="H1290" s="72"/>
    </row>
    <row r="1291" spans="6:8" x14ac:dyDescent="0.4">
      <c r="F1291" s="72"/>
      <c r="G1291" s="72"/>
      <c r="H1291" s="72"/>
    </row>
    <row r="1292" spans="6:8" x14ac:dyDescent="0.4">
      <c r="F1292" s="72"/>
      <c r="G1292" s="72"/>
      <c r="H1292" s="72"/>
    </row>
    <row r="1293" spans="6:8" x14ac:dyDescent="0.4">
      <c r="F1293" s="72"/>
      <c r="G1293" s="72"/>
      <c r="H1293" s="72"/>
    </row>
    <row r="1294" spans="6:8" x14ac:dyDescent="0.4">
      <c r="F1294" s="72"/>
      <c r="G1294" s="72"/>
      <c r="H1294" s="72"/>
    </row>
    <row r="1295" spans="6:8" x14ac:dyDescent="0.4">
      <c r="F1295" s="72"/>
      <c r="G1295" s="72"/>
      <c r="H1295" s="72"/>
    </row>
    <row r="1296" spans="6:8" x14ac:dyDescent="0.4">
      <c r="F1296" s="72"/>
      <c r="G1296" s="72"/>
      <c r="H1296" s="72"/>
    </row>
    <row r="1297" spans="6:8" x14ac:dyDescent="0.4">
      <c r="F1297" s="72"/>
      <c r="G1297" s="72"/>
      <c r="H1297" s="72"/>
    </row>
    <row r="1298" spans="6:8" x14ac:dyDescent="0.4">
      <c r="F1298" s="72"/>
      <c r="G1298" s="72"/>
      <c r="H1298" s="72"/>
    </row>
    <row r="1299" spans="6:8" x14ac:dyDescent="0.4">
      <c r="F1299" s="72"/>
      <c r="G1299" s="72"/>
      <c r="H1299" s="72"/>
    </row>
    <row r="1300" spans="6:8" x14ac:dyDescent="0.4">
      <c r="F1300" s="72"/>
      <c r="G1300" s="72"/>
      <c r="H1300" s="72"/>
    </row>
    <row r="1301" spans="6:8" x14ac:dyDescent="0.4">
      <c r="F1301" s="72"/>
      <c r="G1301" s="72"/>
      <c r="H1301" s="72"/>
    </row>
    <row r="1302" spans="6:8" x14ac:dyDescent="0.4">
      <c r="F1302" s="72"/>
      <c r="G1302" s="72"/>
      <c r="H1302" s="72"/>
    </row>
    <row r="1303" spans="6:8" x14ac:dyDescent="0.4">
      <c r="F1303" s="72"/>
      <c r="G1303" s="72"/>
      <c r="H1303" s="72"/>
    </row>
    <row r="1304" spans="6:8" x14ac:dyDescent="0.4">
      <c r="F1304" s="72"/>
      <c r="G1304" s="72"/>
      <c r="H1304" s="72"/>
    </row>
    <row r="1305" spans="6:8" x14ac:dyDescent="0.4">
      <c r="F1305" s="72"/>
      <c r="G1305" s="72"/>
      <c r="H1305" s="72"/>
    </row>
    <row r="1306" spans="6:8" x14ac:dyDescent="0.4">
      <c r="F1306" s="72"/>
      <c r="G1306" s="72"/>
      <c r="H1306" s="72"/>
    </row>
    <row r="1307" spans="6:8" x14ac:dyDescent="0.4">
      <c r="F1307" s="72"/>
      <c r="G1307" s="72"/>
      <c r="H1307" s="72"/>
    </row>
    <row r="1308" spans="6:8" x14ac:dyDescent="0.4">
      <c r="F1308" s="72"/>
      <c r="G1308" s="72"/>
      <c r="H1308" s="72"/>
    </row>
    <row r="1309" spans="6:8" x14ac:dyDescent="0.4">
      <c r="F1309" s="72"/>
      <c r="G1309" s="72"/>
      <c r="H1309" s="72"/>
    </row>
    <row r="1310" spans="6:8" x14ac:dyDescent="0.4">
      <c r="F1310" s="72"/>
      <c r="G1310" s="72"/>
      <c r="H1310" s="72"/>
    </row>
    <row r="1311" spans="6:8" x14ac:dyDescent="0.4">
      <c r="F1311" s="72"/>
      <c r="G1311" s="72"/>
      <c r="H1311" s="72"/>
    </row>
    <row r="1312" spans="6:8" x14ac:dyDescent="0.4">
      <c r="F1312" s="72"/>
      <c r="G1312" s="72"/>
      <c r="H1312" s="72"/>
    </row>
    <row r="1313" spans="6:8" x14ac:dyDescent="0.4">
      <c r="F1313" s="72"/>
      <c r="G1313" s="72"/>
      <c r="H1313" s="72"/>
    </row>
    <row r="1314" spans="6:8" x14ac:dyDescent="0.4">
      <c r="F1314" s="72"/>
      <c r="G1314" s="72"/>
      <c r="H1314" s="72"/>
    </row>
    <row r="1315" spans="6:8" x14ac:dyDescent="0.4">
      <c r="F1315" s="72"/>
      <c r="G1315" s="72"/>
      <c r="H1315" s="72"/>
    </row>
    <row r="1316" spans="6:8" x14ac:dyDescent="0.4">
      <c r="F1316" s="72"/>
      <c r="G1316" s="72"/>
      <c r="H1316" s="72"/>
    </row>
    <row r="1317" spans="6:8" x14ac:dyDescent="0.4">
      <c r="F1317" s="72"/>
      <c r="G1317" s="72"/>
      <c r="H1317" s="72"/>
    </row>
    <row r="1318" spans="6:8" x14ac:dyDescent="0.4">
      <c r="F1318" s="72"/>
      <c r="G1318" s="72"/>
      <c r="H1318" s="72"/>
    </row>
    <row r="1319" spans="6:8" x14ac:dyDescent="0.4">
      <c r="F1319" s="72"/>
      <c r="G1319" s="72"/>
      <c r="H1319" s="72"/>
    </row>
    <row r="1320" spans="6:8" x14ac:dyDescent="0.4">
      <c r="F1320" s="72"/>
      <c r="G1320" s="72"/>
      <c r="H1320" s="72"/>
    </row>
    <row r="1321" spans="6:8" x14ac:dyDescent="0.4">
      <c r="F1321" s="72"/>
      <c r="G1321" s="72"/>
      <c r="H1321" s="72"/>
    </row>
    <row r="1322" spans="6:8" x14ac:dyDescent="0.4">
      <c r="F1322" s="72"/>
      <c r="G1322" s="72"/>
      <c r="H1322" s="72"/>
    </row>
    <row r="1323" spans="6:8" x14ac:dyDescent="0.4">
      <c r="F1323" s="72"/>
      <c r="G1323" s="72"/>
      <c r="H1323" s="72"/>
    </row>
    <row r="1324" spans="6:8" x14ac:dyDescent="0.4">
      <c r="F1324" s="72"/>
      <c r="G1324" s="72"/>
      <c r="H1324" s="72"/>
    </row>
    <row r="1325" spans="6:8" x14ac:dyDescent="0.4">
      <c r="F1325" s="72"/>
      <c r="G1325" s="72"/>
      <c r="H1325" s="72"/>
    </row>
    <row r="1326" spans="6:8" x14ac:dyDescent="0.4">
      <c r="F1326" s="72"/>
      <c r="G1326" s="72"/>
      <c r="H1326" s="72"/>
    </row>
    <row r="1327" spans="6:8" x14ac:dyDescent="0.4">
      <c r="F1327" s="72"/>
      <c r="G1327" s="72"/>
      <c r="H1327" s="72"/>
    </row>
    <row r="1328" spans="6:8" x14ac:dyDescent="0.4">
      <c r="F1328" s="72"/>
      <c r="G1328" s="72"/>
      <c r="H1328" s="72"/>
    </row>
    <row r="1329" spans="6:8" x14ac:dyDescent="0.4">
      <c r="F1329" s="72"/>
      <c r="G1329" s="72"/>
      <c r="H1329" s="72"/>
    </row>
    <row r="1330" spans="6:8" x14ac:dyDescent="0.4">
      <c r="F1330" s="72"/>
      <c r="G1330" s="72"/>
      <c r="H1330" s="72"/>
    </row>
    <row r="1331" spans="6:8" x14ac:dyDescent="0.4">
      <c r="F1331" s="72"/>
      <c r="G1331" s="72"/>
      <c r="H1331" s="72"/>
    </row>
    <row r="1332" spans="6:8" x14ac:dyDescent="0.4">
      <c r="F1332" s="72"/>
      <c r="G1332" s="72"/>
      <c r="H1332" s="72"/>
    </row>
    <row r="1333" spans="6:8" x14ac:dyDescent="0.4">
      <c r="F1333" s="72"/>
      <c r="G1333" s="72"/>
      <c r="H1333" s="72"/>
    </row>
    <row r="1334" spans="6:8" x14ac:dyDescent="0.4">
      <c r="F1334" s="72"/>
      <c r="G1334" s="72"/>
      <c r="H1334" s="72"/>
    </row>
    <row r="1335" spans="6:8" x14ac:dyDescent="0.4">
      <c r="F1335" s="72"/>
      <c r="G1335" s="72"/>
      <c r="H1335" s="72"/>
    </row>
    <row r="1336" spans="6:8" x14ac:dyDescent="0.4">
      <c r="F1336" s="72"/>
      <c r="G1336" s="72"/>
      <c r="H1336" s="72"/>
    </row>
    <row r="1337" spans="6:8" x14ac:dyDescent="0.4">
      <c r="F1337" s="72"/>
      <c r="G1337" s="72"/>
      <c r="H1337" s="72"/>
    </row>
    <row r="1338" spans="6:8" x14ac:dyDescent="0.4">
      <c r="F1338" s="72"/>
      <c r="G1338" s="72"/>
      <c r="H1338" s="72"/>
    </row>
    <row r="1339" spans="6:8" x14ac:dyDescent="0.4">
      <c r="F1339" s="72"/>
      <c r="G1339" s="72"/>
      <c r="H1339" s="72"/>
    </row>
    <row r="1340" spans="6:8" x14ac:dyDescent="0.4">
      <c r="F1340" s="72"/>
      <c r="G1340" s="72"/>
      <c r="H1340" s="72"/>
    </row>
    <row r="1341" spans="6:8" x14ac:dyDescent="0.4">
      <c r="F1341" s="72"/>
      <c r="G1341" s="72"/>
      <c r="H1341" s="72"/>
    </row>
    <row r="1342" spans="6:8" x14ac:dyDescent="0.4">
      <c r="F1342" s="72"/>
      <c r="G1342" s="72"/>
      <c r="H1342" s="72"/>
    </row>
    <row r="1343" spans="6:8" x14ac:dyDescent="0.4">
      <c r="F1343" s="72"/>
      <c r="G1343" s="72"/>
      <c r="H1343" s="72"/>
    </row>
    <row r="1344" spans="6:8" x14ac:dyDescent="0.4">
      <c r="F1344" s="72"/>
      <c r="G1344" s="72"/>
      <c r="H1344" s="72"/>
    </row>
    <row r="1345" spans="6:8" x14ac:dyDescent="0.4">
      <c r="F1345" s="72"/>
      <c r="G1345" s="72"/>
      <c r="H1345" s="72"/>
    </row>
    <row r="1346" spans="6:8" x14ac:dyDescent="0.4">
      <c r="F1346" s="72"/>
      <c r="G1346" s="72"/>
      <c r="H1346" s="72"/>
    </row>
    <row r="1347" spans="6:8" x14ac:dyDescent="0.4">
      <c r="F1347" s="72"/>
      <c r="G1347" s="72"/>
      <c r="H1347" s="72"/>
    </row>
    <row r="1348" spans="6:8" x14ac:dyDescent="0.4">
      <c r="F1348" s="72"/>
      <c r="G1348" s="72"/>
      <c r="H1348" s="72"/>
    </row>
    <row r="1349" spans="6:8" x14ac:dyDescent="0.4">
      <c r="F1349" s="72"/>
      <c r="G1349" s="72"/>
      <c r="H1349" s="72"/>
    </row>
    <row r="1350" spans="6:8" x14ac:dyDescent="0.4">
      <c r="F1350" s="72"/>
      <c r="G1350" s="72"/>
      <c r="H1350" s="72"/>
    </row>
    <row r="1351" spans="6:8" x14ac:dyDescent="0.4">
      <c r="F1351" s="72"/>
      <c r="G1351" s="72"/>
      <c r="H1351" s="72"/>
    </row>
    <row r="1352" spans="6:8" x14ac:dyDescent="0.4">
      <c r="F1352" s="72"/>
      <c r="G1352" s="72"/>
      <c r="H1352" s="72"/>
    </row>
    <row r="1353" spans="6:8" x14ac:dyDescent="0.4">
      <c r="F1353" s="72"/>
      <c r="G1353" s="72"/>
      <c r="H1353" s="72"/>
    </row>
    <row r="1354" spans="6:8" x14ac:dyDescent="0.4">
      <c r="F1354" s="72"/>
      <c r="G1354" s="72"/>
      <c r="H1354" s="72"/>
    </row>
    <row r="1355" spans="6:8" x14ac:dyDescent="0.4">
      <c r="F1355" s="72"/>
      <c r="G1355" s="72"/>
      <c r="H1355" s="72"/>
    </row>
    <row r="1356" spans="6:8" x14ac:dyDescent="0.4">
      <c r="F1356" s="72"/>
      <c r="G1356" s="72"/>
      <c r="H1356" s="72"/>
    </row>
    <row r="1357" spans="6:8" x14ac:dyDescent="0.4">
      <c r="F1357" s="72"/>
      <c r="G1357" s="72"/>
      <c r="H1357" s="72"/>
    </row>
    <row r="1358" spans="6:8" x14ac:dyDescent="0.4">
      <c r="F1358" s="72"/>
      <c r="G1358" s="72"/>
      <c r="H1358" s="72"/>
    </row>
    <row r="1359" spans="6:8" x14ac:dyDescent="0.4">
      <c r="F1359" s="72"/>
      <c r="G1359" s="72"/>
      <c r="H1359" s="72"/>
    </row>
    <row r="1360" spans="6:8" x14ac:dyDescent="0.4">
      <c r="F1360" s="72"/>
      <c r="G1360" s="72"/>
      <c r="H1360" s="72"/>
    </row>
    <row r="1361" spans="6:8" x14ac:dyDescent="0.4">
      <c r="F1361" s="72"/>
      <c r="G1361" s="72"/>
      <c r="H1361" s="72"/>
    </row>
    <row r="1362" spans="6:8" x14ac:dyDescent="0.4">
      <c r="F1362" s="72"/>
      <c r="G1362" s="72"/>
      <c r="H1362" s="72"/>
    </row>
    <row r="1363" spans="6:8" x14ac:dyDescent="0.4">
      <c r="F1363" s="72"/>
      <c r="G1363" s="72"/>
      <c r="H1363" s="72"/>
    </row>
    <row r="1364" spans="6:8" x14ac:dyDescent="0.4">
      <c r="F1364" s="72"/>
      <c r="G1364" s="72"/>
      <c r="H1364" s="72"/>
    </row>
    <row r="1365" spans="6:8" x14ac:dyDescent="0.4">
      <c r="F1365" s="72"/>
      <c r="G1365" s="72"/>
      <c r="H1365" s="72"/>
    </row>
    <row r="1366" spans="6:8" x14ac:dyDescent="0.4">
      <c r="F1366" s="72"/>
      <c r="G1366" s="72"/>
      <c r="H1366" s="72"/>
    </row>
    <row r="1367" spans="6:8" x14ac:dyDescent="0.4">
      <c r="F1367" s="72"/>
      <c r="G1367" s="72"/>
      <c r="H1367" s="72"/>
    </row>
    <row r="1368" spans="6:8" x14ac:dyDescent="0.4">
      <c r="F1368" s="72"/>
      <c r="G1368" s="72"/>
      <c r="H1368" s="72"/>
    </row>
    <row r="1369" spans="6:8" x14ac:dyDescent="0.4">
      <c r="F1369" s="72"/>
      <c r="G1369" s="72"/>
      <c r="H1369" s="72"/>
    </row>
    <row r="1370" spans="6:8" x14ac:dyDescent="0.4">
      <c r="F1370" s="72"/>
      <c r="G1370" s="72"/>
      <c r="H1370" s="72"/>
    </row>
    <row r="1371" spans="6:8" x14ac:dyDescent="0.4">
      <c r="F1371" s="72"/>
      <c r="G1371" s="72"/>
      <c r="H1371" s="72"/>
    </row>
    <row r="1372" spans="6:8" x14ac:dyDescent="0.4">
      <c r="F1372" s="72"/>
      <c r="G1372" s="72"/>
      <c r="H1372" s="72"/>
    </row>
    <row r="1373" spans="6:8" x14ac:dyDescent="0.4">
      <c r="F1373" s="72"/>
      <c r="G1373" s="72"/>
      <c r="H1373" s="72"/>
    </row>
    <row r="1374" spans="6:8" x14ac:dyDescent="0.4">
      <c r="F1374" s="72"/>
      <c r="G1374" s="72"/>
      <c r="H1374" s="72"/>
    </row>
    <row r="1375" spans="6:8" x14ac:dyDescent="0.4">
      <c r="F1375" s="72"/>
      <c r="G1375" s="72"/>
      <c r="H1375" s="72"/>
    </row>
    <row r="1376" spans="6:8" x14ac:dyDescent="0.4">
      <c r="F1376" s="72"/>
      <c r="G1376" s="72"/>
      <c r="H1376" s="72"/>
    </row>
    <row r="1377" spans="6:8" x14ac:dyDescent="0.4">
      <c r="F1377" s="72"/>
      <c r="G1377" s="72"/>
      <c r="H1377" s="72"/>
    </row>
    <row r="1378" spans="6:8" x14ac:dyDescent="0.4">
      <c r="F1378" s="72"/>
      <c r="G1378" s="72"/>
      <c r="H1378" s="72"/>
    </row>
    <row r="1379" spans="6:8" x14ac:dyDescent="0.4">
      <c r="F1379" s="72"/>
      <c r="G1379" s="72"/>
      <c r="H1379" s="72"/>
    </row>
    <row r="1380" spans="6:8" x14ac:dyDescent="0.4">
      <c r="F1380" s="72"/>
      <c r="G1380" s="72"/>
      <c r="H1380" s="72"/>
    </row>
    <row r="1381" spans="6:8" x14ac:dyDescent="0.4">
      <c r="F1381" s="72"/>
      <c r="G1381" s="72"/>
      <c r="H1381" s="72"/>
    </row>
    <row r="1382" spans="6:8" x14ac:dyDescent="0.4">
      <c r="F1382" s="72"/>
      <c r="G1382" s="72"/>
      <c r="H1382" s="72"/>
    </row>
    <row r="1383" spans="6:8" x14ac:dyDescent="0.4">
      <c r="F1383" s="72"/>
      <c r="G1383" s="72"/>
      <c r="H1383" s="72"/>
    </row>
    <row r="1384" spans="6:8" x14ac:dyDescent="0.4">
      <c r="F1384" s="72"/>
      <c r="G1384" s="72"/>
      <c r="H1384" s="72"/>
    </row>
    <row r="1385" spans="6:8" x14ac:dyDescent="0.4">
      <c r="F1385" s="72"/>
      <c r="G1385" s="72"/>
      <c r="H1385" s="72"/>
    </row>
    <row r="1386" spans="6:8" x14ac:dyDescent="0.4">
      <c r="F1386" s="72"/>
      <c r="G1386" s="72"/>
      <c r="H1386" s="72"/>
    </row>
    <row r="1387" spans="6:8" x14ac:dyDescent="0.4">
      <c r="F1387" s="72"/>
      <c r="G1387" s="72"/>
      <c r="H1387" s="72"/>
    </row>
    <row r="1388" spans="6:8" x14ac:dyDescent="0.4">
      <c r="F1388" s="72"/>
      <c r="G1388" s="72"/>
      <c r="H1388" s="72"/>
    </row>
    <row r="1389" spans="6:8" x14ac:dyDescent="0.4">
      <c r="F1389" s="72"/>
      <c r="G1389" s="72"/>
      <c r="H1389" s="72"/>
    </row>
    <row r="1390" spans="6:8" x14ac:dyDescent="0.4">
      <c r="F1390" s="72"/>
      <c r="G1390" s="72"/>
      <c r="H1390" s="72"/>
    </row>
    <row r="1391" spans="6:8" x14ac:dyDescent="0.4">
      <c r="F1391" s="72"/>
      <c r="G1391" s="72"/>
      <c r="H1391" s="72"/>
    </row>
    <row r="1392" spans="6:8" x14ac:dyDescent="0.4">
      <c r="F1392" s="72"/>
      <c r="G1392" s="72"/>
      <c r="H1392" s="72"/>
    </row>
    <row r="1393" spans="6:8" x14ac:dyDescent="0.4">
      <c r="F1393" s="72"/>
      <c r="G1393" s="72"/>
      <c r="H1393" s="72"/>
    </row>
    <row r="1394" spans="6:8" x14ac:dyDescent="0.4">
      <c r="F1394" s="72"/>
      <c r="G1394" s="72"/>
      <c r="H1394" s="72"/>
    </row>
    <row r="1395" spans="6:8" x14ac:dyDescent="0.4">
      <c r="F1395" s="72"/>
      <c r="G1395" s="72"/>
      <c r="H1395" s="72"/>
    </row>
    <row r="1396" spans="6:8" x14ac:dyDescent="0.4">
      <c r="F1396" s="72"/>
      <c r="G1396" s="72"/>
      <c r="H1396" s="72"/>
    </row>
    <row r="1397" spans="6:8" x14ac:dyDescent="0.4">
      <c r="F1397" s="72"/>
      <c r="G1397" s="72"/>
      <c r="H1397" s="72"/>
    </row>
    <row r="1398" spans="6:8" x14ac:dyDescent="0.4">
      <c r="F1398" s="72"/>
      <c r="G1398" s="72"/>
      <c r="H1398" s="72"/>
    </row>
    <row r="1399" spans="6:8" x14ac:dyDescent="0.4">
      <c r="F1399" s="72"/>
      <c r="G1399" s="72"/>
      <c r="H1399" s="72"/>
    </row>
    <row r="1400" spans="6:8" x14ac:dyDescent="0.4">
      <c r="F1400" s="72"/>
      <c r="G1400" s="72"/>
      <c r="H1400" s="72"/>
    </row>
    <row r="1401" spans="6:8" x14ac:dyDescent="0.4">
      <c r="F1401" s="72"/>
      <c r="G1401" s="72"/>
      <c r="H1401" s="72"/>
    </row>
    <row r="1402" spans="6:8" x14ac:dyDescent="0.4">
      <c r="F1402" s="72"/>
      <c r="G1402" s="72"/>
      <c r="H1402" s="72"/>
    </row>
    <row r="1403" spans="6:8" x14ac:dyDescent="0.4">
      <c r="F1403" s="72"/>
      <c r="G1403" s="72"/>
      <c r="H1403" s="72"/>
    </row>
    <row r="1404" spans="6:8" x14ac:dyDescent="0.4">
      <c r="F1404" s="72"/>
      <c r="G1404" s="72"/>
      <c r="H1404" s="72"/>
    </row>
    <row r="1405" spans="6:8" x14ac:dyDescent="0.4">
      <c r="F1405" s="72"/>
      <c r="G1405" s="72"/>
      <c r="H1405" s="72"/>
    </row>
    <row r="1406" spans="6:8" x14ac:dyDescent="0.4">
      <c r="F1406" s="72"/>
      <c r="G1406" s="72"/>
      <c r="H1406" s="72"/>
    </row>
    <row r="1407" spans="6:8" x14ac:dyDescent="0.4">
      <c r="F1407" s="72"/>
      <c r="G1407" s="72"/>
      <c r="H1407" s="72"/>
    </row>
    <row r="1408" spans="6:8" x14ac:dyDescent="0.4">
      <c r="F1408" s="72"/>
      <c r="G1408" s="72"/>
      <c r="H1408" s="72"/>
    </row>
    <row r="1409" spans="6:8" x14ac:dyDescent="0.4">
      <c r="F1409" s="72"/>
      <c r="G1409" s="72"/>
      <c r="H1409" s="72"/>
    </row>
    <row r="1410" spans="6:8" x14ac:dyDescent="0.4">
      <c r="F1410" s="72"/>
      <c r="G1410" s="72"/>
      <c r="H1410" s="72"/>
    </row>
    <row r="1411" spans="6:8" x14ac:dyDescent="0.4">
      <c r="F1411" s="72"/>
      <c r="G1411" s="72"/>
      <c r="H1411" s="72"/>
    </row>
    <row r="1412" spans="6:8" x14ac:dyDescent="0.4">
      <c r="F1412" s="72"/>
      <c r="G1412" s="72"/>
      <c r="H1412" s="72"/>
    </row>
    <row r="1413" spans="6:8" x14ac:dyDescent="0.4">
      <c r="F1413" s="72"/>
      <c r="G1413" s="72"/>
      <c r="H1413" s="72"/>
    </row>
    <row r="1414" spans="6:8" x14ac:dyDescent="0.4">
      <c r="F1414" s="72"/>
      <c r="G1414" s="72"/>
      <c r="H1414" s="72"/>
    </row>
    <row r="1415" spans="6:8" x14ac:dyDescent="0.4">
      <c r="F1415" s="72"/>
      <c r="G1415" s="72"/>
      <c r="H1415" s="72"/>
    </row>
    <row r="1416" spans="6:8" x14ac:dyDescent="0.4">
      <c r="F1416" s="72"/>
      <c r="G1416" s="72"/>
      <c r="H1416" s="72"/>
    </row>
    <row r="1417" spans="6:8" x14ac:dyDescent="0.4">
      <c r="F1417" s="72"/>
      <c r="G1417" s="72"/>
      <c r="H1417" s="72"/>
    </row>
    <row r="1418" spans="6:8" x14ac:dyDescent="0.4">
      <c r="F1418" s="72"/>
      <c r="G1418" s="72"/>
      <c r="H1418" s="72"/>
    </row>
    <row r="1419" spans="6:8" x14ac:dyDescent="0.4">
      <c r="F1419" s="72"/>
      <c r="G1419" s="72"/>
      <c r="H1419" s="72"/>
    </row>
    <row r="1420" spans="6:8" x14ac:dyDescent="0.4">
      <c r="F1420" s="72"/>
      <c r="G1420" s="72"/>
      <c r="H1420" s="72"/>
    </row>
    <row r="1421" spans="6:8" x14ac:dyDescent="0.4">
      <c r="F1421" s="72"/>
      <c r="G1421" s="72"/>
      <c r="H1421" s="72"/>
    </row>
    <row r="1422" spans="6:8" x14ac:dyDescent="0.4">
      <c r="F1422" s="72"/>
      <c r="G1422" s="72"/>
      <c r="H1422" s="72"/>
    </row>
    <row r="1423" spans="6:8" x14ac:dyDescent="0.4">
      <c r="F1423" s="72"/>
      <c r="G1423" s="72"/>
      <c r="H1423" s="72"/>
    </row>
    <row r="1424" spans="6:8" x14ac:dyDescent="0.4">
      <c r="F1424" s="72"/>
      <c r="G1424" s="72"/>
      <c r="H1424" s="72"/>
    </row>
    <row r="1425" spans="6:8" x14ac:dyDescent="0.4">
      <c r="F1425" s="72"/>
      <c r="G1425" s="72"/>
      <c r="H1425" s="72"/>
    </row>
    <row r="1426" spans="6:8" x14ac:dyDescent="0.4">
      <c r="F1426" s="72"/>
      <c r="G1426" s="72"/>
      <c r="H1426" s="72"/>
    </row>
    <row r="1427" spans="6:8" x14ac:dyDescent="0.4">
      <c r="F1427" s="72"/>
      <c r="G1427" s="72"/>
      <c r="H1427" s="72"/>
    </row>
    <row r="1428" spans="6:8" x14ac:dyDescent="0.4">
      <c r="F1428" s="72"/>
      <c r="G1428" s="72"/>
      <c r="H1428" s="72"/>
    </row>
    <row r="1429" spans="6:8" x14ac:dyDescent="0.4">
      <c r="F1429" s="72"/>
      <c r="G1429" s="72"/>
      <c r="H1429" s="72"/>
    </row>
    <row r="1430" spans="6:8" x14ac:dyDescent="0.4">
      <c r="F1430" s="72"/>
      <c r="G1430" s="72"/>
      <c r="H1430" s="72"/>
    </row>
    <row r="1431" spans="6:8" x14ac:dyDescent="0.4">
      <c r="F1431" s="72"/>
      <c r="G1431" s="72"/>
      <c r="H1431" s="72"/>
    </row>
    <row r="1432" spans="6:8" x14ac:dyDescent="0.4">
      <c r="F1432" s="72"/>
      <c r="G1432" s="72"/>
      <c r="H1432" s="72"/>
    </row>
    <row r="1433" spans="6:8" x14ac:dyDescent="0.4">
      <c r="F1433" s="72"/>
      <c r="G1433" s="72"/>
      <c r="H1433" s="72"/>
    </row>
    <row r="1434" spans="6:8" x14ac:dyDescent="0.4">
      <c r="F1434" s="72"/>
      <c r="G1434" s="72"/>
      <c r="H1434" s="72"/>
    </row>
    <row r="1435" spans="6:8" x14ac:dyDescent="0.4">
      <c r="F1435" s="72"/>
      <c r="G1435" s="72"/>
      <c r="H1435" s="72"/>
    </row>
    <row r="1436" spans="6:8" x14ac:dyDescent="0.4">
      <c r="F1436" s="72"/>
      <c r="G1436" s="72"/>
      <c r="H1436" s="72"/>
    </row>
    <row r="1437" spans="6:8" x14ac:dyDescent="0.4">
      <c r="F1437" s="72"/>
      <c r="G1437" s="72"/>
      <c r="H1437" s="72"/>
    </row>
    <row r="1438" spans="6:8" x14ac:dyDescent="0.4">
      <c r="F1438" s="72"/>
      <c r="G1438" s="72"/>
      <c r="H1438" s="72"/>
    </row>
    <row r="1439" spans="6:8" x14ac:dyDescent="0.4">
      <c r="F1439" s="72"/>
      <c r="G1439" s="72"/>
      <c r="H1439" s="72"/>
    </row>
    <row r="1440" spans="6:8" x14ac:dyDescent="0.4">
      <c r="F1440" s="72"/>
      <c r="G1440" s="72"/>
      <c r="H1440" s="72"/>
    </row>
    <row r="1441" spans="6:8" x14ac:dyDescent="0.4">
      <c r="F1441" s="72"/>
      <c r="G1441" s="72"/>
      <c r="H1441" s="72"/>
    </row>
    <row r="1442" spans="6:8" x14ac:dyDescent="0.4">
      <c r="F1442" s="72"/>
      <c r="G1442" s="72"/>
      <c r="H1442" s="72"/>
    </row>
    <row r="1443" spans="6:8" x14ac:dyDescent="0.4">
      <c r="F1443" s="72"/>
      <c r="G1443" s="72"/>
      <c r="H1443" s="72"/>
    </row>
    <row r="1444" spans="6:8" x14ac:dyDescent="0.4">
      <c r="F1444" s="72"/>
      <c r="G1444" s="72"/>
      <c r="H1444" s="72"/>
    </row>
    <row r="1445" spans="6:8" x14ac:dyDescent="0.4">
      <c r="F1445" s="72"/>
      <c r="G1445" s="72"/>
      <c r="H1445" s="72"/>
    </row>
    <row r="1446" spans="6:8" x14ac:dyDescent="0.4">
      <c r="F1446" s="72"/>
      <c r="G1446" s="72"/>
      <c r="H1446" s="72"/>
    </row>
    <row r="1447" spans="6:8" x14ac:dyDescent="0.4">
      <c r="F1447" s="72"/>
      <c r="G1447" s="72"/>
      <c r="H1447" s="72"/>
    </row>
    <row r="1448" spans="6:8" x14ac:dyDescent="0.4">
      <c r="F1448" s="72"/>
      <c r="G1448" s="72"/>
      <c r="H1448" s="72"/>
    </row>
    <row r="1449" spans="6:8" x14ac:dyDescent="0.4">
      <c r="F1449" s="72"/>
      <c r="G1449" s="72"/>
      <c r="H1449" s="72"/>
    </row>
    <row r="1450" spans="6:8" x14ac:dyDescent="0.4">
      <c r="F1450" s="72"/>
      <c r="G1450" s="72"/>
      <c r="H1450" s="72"/>
    </row>
    <row r="1451" spans="6:8" x14ac:dyDescent="0.4">
      <c r="F1451" s="72"/>
      <c r="G1451" s="72"/>
      <c r="H1451" s="72"/>
    </row>
    <row r="1452" spans="6:8" x14ac:dyDescent="0.4">
      <c r="F1452" s="72"/>
      <c r="G1452" s="72"/>
      <c r="H1452" s="72"/>
    </row>
    <row r="1453" spans="6:8" x14ac:dyDescent="0.4">
      <c r="F1453" s="72"/>
      <c r="G1453" s="72"/>
      <c r="H1453" s="72"/>
    </row>
    <row r="1454" spans="6:8" x14ac:dyDescent="0.4">
      <c r="F1454" s="72"/>
      <c r="G1454" s="72"/>
      <c r="H1454" s="72"/>
    </row>
    <row r="1455" spans="6:8" x14ac:dyDescent="0.4">
      <c r="F1455" s="72"/>
      <c r="G1455" s="72"/>
      <c r="H1455" s="72"/>
    </row>
    <row r="1456" spans="6:8" x14ac:dyDescent="0.4">
      <c r="F1456" s="72"/>
      <c r="G1456" s="72"/>
      <c r="H1456" s="72"/>
    </row>
    <row r="1457" spans="6:8" x14ac:dyDescent="0.4">
      <c r="F1457" s="72"/>
      <c r="G1457" s="72"/>
      <c r="H1457" s="72"/>
    </row>
    <row r="1458" spans="6:8" x14ac:dyDescent="0.4">
      <c r="F1458" s="72"/>
      <c r="G1458" s="72"/>
      <c r="H1458" s="72"/>
    </row>
    <row r="1459" spans="6:8" x14ac:dyDescent="0.4">
      <c r="F1459" s="72"/>
      <c r="G1459" s="72"/>
      <c r="H1459" s="72"/>
    </row>
    <row r="1460" spans="6:8" x14ac:dyDescent="0.4">
      <c r="F1460" s="72"/>
      <c r="G1460" s="72"/>
      <c r="H1460" s="72"/>
    </row>
    <row r="1461" spans="6:8" x14ac:dyDescent="0.4">
      <c r="F1461" s="72"/>
      <c r="G1461" s="72"/>
      <c r="H1461" s="72"/>
    </row>
    <row r="1462" spans="6:8" x14ac:dyDescent="0.4">
      <c r="F1462" s="72"/>
      <c r="G1462" s="72"/>
      <c r="H1462" s="72"/>
    </row>
    <row r="1463" spans="6:8" x14ac:dyDescent="0.4">
      <c r="F1463" s="72"/>
      <c r="G1463" s="72"/>
      <c r="H1463" s="72"/>
    </row>
    <row r="1464" spans="6:8" x14ac:dyDescent="0.4">
      <c r="F1464" s="72"/>
      <c r="G1464" s="72"/>
      <c r="H1464" s="72"/>
    </row>
    <row r="1465" spans="6:8" x14ac:dyDescent="0.4">
      <c r="F1465" s="72"/>
      <c r="G1465" s="72"/>
      <c r="H1465" s="72"/>
    </row>
    <row r="1466" spans="6:8" x14ac:dyDescent="0.4">
      <c r="F1466" s="72"/>
      <c r="G1466" s="72"/>
      <c r="H1466" s="72"/>
    </row>
    <row r="1467" spans="6:8" x14ac:dyDescent="0.4">
      <c r="F1467" s="72"/>
      <c r="G1467" s="72"/>
      <c r="H1467" s="72"/>
    </row>
    <row r="1468" spans="6:8" x14ac:dyDescent="0.4">
      <c r="F1468" s="72"/>
      <c r="G1468" s="72"/>
      <c r="H1468" s="72"/>
    </row>
    <row r="1469" spans="6:8" x14ac:dyDescent="0.4">
      <c r="F1469" s="72"/>
      <c r="G1469" s="72"/>
      <c r="H1469" s="72"/>
    </row>
    <row r="1470" spans="6:8" x14ac:dyDescent="0.4">
      <c r="F1470" s="72"/>
      <c r="G1470" s="72"/>
      <c r="H1470" s="72"/>
    </row>
    <row r="1471" spans="6:8" x14ac:dyDescent="0.4">
      <c r="F1471" s="72"/>
      <c r="G1471" s="72"/>
      <c r="H1471" s="72"/>
    </row>
    <row r="1472" spans="6:8" x14ac:dyDescent="0.4">
      <c r="F1472" s="72"/>
      <c r="G1472" s="72"/>
      <c r="H1472" s="72"/>
    </row>
    <row r="1473" spans="6:8" x14ac:dyDescent="0.4">
      <c r="F1473" s="72"/>
      <c r="G1473" s="72"/>
      <c r="H1473" s="72"/>
    </row>
    <row r="1474" spans="6:8" x14ac:dyDescent="0.4">
      <c r="F1474" s="72"/>
      <c r="G1474" s="72"/>
      <c r="H1474" s="72"/>
    </row>
    <row r="1475" spans="6:8" x14ac:dyDescent="0.4">
      <c r="F1475" s="72"/>
      <c r="G1475" s="72"/>
      <c r="H1475" s="72"/>
    </row>
    <row r="1476" spans="6:8" x14ac:dyDescent="0.4">
      <c r="F1476" s="72"/>
      <c r="G1476" s="72"/>
      <c r="H1476" s="72"/>
    </row>
    <row r="1477" spans="6:8" x14ac:dyDescent="0.4">
      <c r="F1477" s="72"/>
      <c r="G1477" s="72"/>
      <c r="H1477" s="72"/>
    </row>
    <row r="1478" spans="6:8" x14ac:dyDescent="0.4">
      <c r="F1478" s="72"/>
      <c r="G1478" s="72"/>
      <c r="H1478" s="72"/>
    </row>
    <row r="1479" spans="6:8" x14ac:dyDescent="0.4">
      <c r="F1479" s="72"/>
      <c r="G1479" s="72"/>
      <c r="H1479" s="72"/>
    </row>
    <row r="1480" spans="6:8" x14ac:dyDescent="0.4">
      <c r="F1480" s="72"/>
      <c r="G1480" s="72"/>
      <c r="H1480" s="72"/>
    </row>
    <row r="1481" spans="6:8" x14ac:dyDescent="0.4">
      <c r="F1481" s="72"/>
      <c r="G1481" s="72"/>
      <c r="H1481" s="72"/>
    </row>
    <row r="1482" spans="6:8" x14ac:dyDescent="0.4">
      <c r="F1482" s="72"/>
      <c r="G1482" s="72"/>
      <c r="H1482" s="72"/>
    </row>
    <row r="1483" spans="6:8" x14ac:dyDescent="0.4">
      <c r="F1483" s="72"/>
      <c r="G1483" s="72"/>
      <c r="H1483" s="72"/>
    </row>
    <row r="1484" spans="6:8" x14ac:dyDescent="0.4">
      <c r="F1484" s="72"/>
      <c r="G1484" s="72"/>
      <c r="H1484" s="72"/>
    </row>
    <row r="1485" spans="6:8" x14ac:dyDescent="0.4">
      <c r="F1485" s="72"/>
      <c r="G1485" s="72"/>
      <c r="H1485" s="72"/>
    </row>
    <row r="1486" spans="6:8" x14ac:dyDescent="0.4">
      <c r="F1486" s="72"/>
      <c r="G1486" s="72"/>
      <c r="H1486" s="72"/>
    </row>
    <row r="1487" spans="6:8" x14ac:dyDescent="0.4">
      <c r="F1487" s="72"/>
      <c r="G1487" s="72"/>
      <c r="H1487" s="72"/>
    </row>
    <row r="1488" spans="6:8" x14ac:dyDescent="0.4">
      <c r="F1488" s="72"/>
      <c r="G1488" s="72"/>
      <c r="H1488" s="72"/>
    </row>
    <row r="1489" spans="6:8" x14ac:dyDescent="0.4">
      <c r="F1489" s="72"/>
      <c r="G1489" s="72"/>
      <c r="H1489" s="72"/>
    </row>
    <row r="1490" spans="6:8" x14ac:dyDescent="0.4">
      <c r="F1490" s="72"/>
      <c r="G1490" s="72"/>
      <c r="H1490" s="72"/>
    </row>
    <row r="1491" spans="6:8" x14ac:dyDescent="0.4">
      <c r="F1491" s="72"/>
      <c r="G1491" s="72"/>
      <c r="H1491" s="72"/>
    </row>
    <row r="1492" spans="6:8" x14ac:dyDescent="0.4">
      <c r="F1492" s="72"/>
      <c r="G1492" s="72"/>
      <c r="H1492" s="72"/>
    </row>
    <row r="1493" spans="6:8" x14ac:dyDescent="0.4">
      <c r="F1493" s="72"/>
      <c r="G1493" s="72"/>
      <c r="H1493" s="72"/>
    </row>
    <row r="1494" spans="6:8" x14ac:dyDescent="0.4">
      <c r="F1494" s="72"/>
      <c r="G1494" s="72"/>
      <c r="H1494" s="72"/>
    </row>
    <row r="1495" spans="6:8" x14ac:dyDescent="0.4">
      <c r="F1495" s="72"/>
      <c r="G1495" s="72"/>
      <c r="H1495" s="72"/>
    </row>
    <row r="1496" spans="6:8" x14ac:dyDescent="0.4">
      <c r="F1496" s="72"/>
      <c r="G1496" s="72"/>
      <c r="H1496" s="72"/>
    </row>
    <row r="1497" spans="6:8" x14ac:dyDescent="0.4">
      <c r="F1497" s="72"/>
      <c r="G1497" s="72"/>
      <c r="H1497" s="72"/>
    </row>
    <row r="1498" spans="6:8" x14ac:dyDescent="0.4">
      <c r="F1498" s="72"/>
      <c r="G1498" s="72"/>
      <c r="H1498" s="72"/>
    </row>
    <row r="1499" spans="6:8" x14ac:dyDescent="0.4">
      <c r="F1499" s="72"/>
      <c r="G1499" s="72"/>
      <c r="H1499" s="72"/>
    </row>
    <row r="1500" spans="6:8" x14ac:dyDescent="0.4">
      <c r="F1500" s="72"/>
      <c r="G1500" s="72"/>
      <c r="H1500" s="72"/>
    </row>
    <row r="1501" spans="6:8" x14ac:dyDescent="0.4">
      <c r="F1501" s="72"/>
      <c r="G1501" s="72"/>
      <c r="H1501" s="72"/>
    </row>
    <row r="1502" spans="6:8" x14ac:dyDescent="0.4">
      <c r="F1502" s="72"/>
      <c r="G1502" s="72"/>
      <c r="H1502" s="72"/>
    </row>
    <row r="1503" spans="6:8" x14ac:dyDescent="0.4">
      <c r="F1503" s="72"/>
      <c r="G1503" s="72"/>
      <c r="H1503" s="72"/>
    </row>
    <row r="1504" spans="6:8" x14ac:dyDescent="0.4">
      <c r="F1504" s="72"/>
      <c r="G1504" s="72"/>
      <c r="H1504" s="72"/>
    </row>
    <row r="1505" spans="6:8" x14ac:dyDescent="0.4">
      <c r="F1505" s="72"/>
      <c r="G1505" s="72"/>
      <c r="H1505" s="72"/>
    </row>
    <row r="1506" spans="6:8" x14ac:dyDescent="0.4">
      <c r="F1506" s="72"/>
      <c r="G1506" s="72"/>
      <c r="H1506" s="72"/>
    </row>
    <row r="1507" spans="6:8" x14ac:dyDescent="0.4">
      <c r="F1507" s="72"/>
      <c r="G1507" s="72"/>
      <c r="H1507" s="72"/>
    </row>
    <row r="1508" spans="6:8" x14ac:dyDescent="0.4">
      <c r="F1508" s="72"/>
      <c r="G1508" s="72"/>
      <c r="H1508" s="72"/>
    </row>
    <row r="1509" spans="6:8" x14ac:dyDescent="0.4">
      <c r="F1509" s="72"/>
      <c r="G1509" s="72"/>
      <c r="H1509" s="72"/>
    </row>
    <row r="1510" spans="6:8" x14ac:dyDescent="0.4">
      <c r="F1510" s="72"/>
      <c r="G1510" s="72"/>
      <c r="H1510" s="72"/>
    </row>
    <row r="1511" spans="6:8" x14ac:dyDescent="0.4">
      <c r="F1511" s="72"/>
      <c r="G1511" s="72"/>
      <c r="H1511" s="72"/>
    </row>
    <row r="1512" spans="6:8" x14ac:dyDescent="0.4">
      <c r="F1512" s="72"/>
      <c r="G1512" s="72"/>
      <c r="H1512" s="72"/>
    </row>
    <row r="1513" spans="6:8" x14ac:dyDescent="0.4">
      <c r="F1513" s="72"/>
      <c r="G1513" s="72"/>
      <c r="H1513" s="72"/>
    </row>
    <row r="1514" spans="6:8" x14ac:dyDescent="0.4">
      <c r="F1514" s="72"/>
      <c r="G1514" s="72"/>
      <c r="H1514" s="72"/>
    </row>
    <row r="1515" spans="6:8" x14ac:dyDescent="0.4">
      <c r="F1515" s="72"/>
      <c r="G1515" s="72"/>
      <c r="H1515" s="72"/>
    </row>
    <row r="1516" spans="6:8" x14ac:dyDescent="0.4">
      <c r="F1516" s="72"/>
      <c r="G1516" s="72"/>
      <c r="H1516" s="72"/>
    </row>
    <row r="1517" spans="6:8" x14ac:dyDescent="0.4">
      <c r="F1517" s="72"/>
      <c r="G1517" s="72"/>
      <c r="H1517" s="72"/>
    </row>
    <row r="1518" spans="6:8" x14ac:dyDescent="0.4">
      <c r="F1518" s="72"/>
      <c r="G1518" s="72"/>
      <c r="H1518" s="72"/>
    </row>
    <row r="1519" spans="6:8" x14ac:dyDescent="0.4">
      <c r="F1519" s="72"/>
      <c r="G1519" s="72"/>
      <c r="H1519" s="72"/>
    </row>
    <row r="1520" spans="6:8" x14ac:dyDescent="0.4">
      <c r="F1520" s="72"/>
      <c r="G1520" s="72"/>
      <c r="H1520" s="72"/>
    </row>
    <row r="1521" spans="6:8" x14ac:dyDescent="0.4">
      <c r="F1521" s="72"/>
      <c r="G1521" s="72"/>
      <c r="H1521" s="72"/>
    </row>
    <row r="1522" spans="6:8" x14ac:dyDescent="0.4">
      <c r="F1522" s="72"/>
      <c r="G1522" s="72"/>
      <c r="H1522" s="72"/>
    </row>
    <row r="1523" spans="6:8" x14ac:dyDescent="0.4">
      <c r="F1523" s="72"/>
      <c r="G1523" s="72"/>
      <c r="H1523" s="72"/>
    </row>
    <row r="1524" spans="6:8" x14ac:dyDescent="0.4">
      <c r="F1524" s="72"/>
      <c r="G1524" s="72"/>
      <c r="H1524" s="72"/>
    </row>
    <row r="1525" spans="6:8" x14ac:dyDescent="0.4">
      <c r="F1525" s="72"/>
      <c r="G1525" s="72"/>
      <c r="H1525" s="72"/>
    </row>
    <row r="1526" spans="6:8" x14ac:dyDescent="0.4">
      <c r="F1526" s="72"/>
      <c r="G1526" s="72"/>
      <c r="H1526" s="72"/>
    </row>
    <row r="1527" spans="6:8" x14ac:dyDescent="0.4">
      <c r="F1527" s="72"/>
      <c r="G1527" s="72"/>
      <c r="H1527" s="72"/>
    </row>
    <row r="1528" spans="6:8" x14ac:dyDescent="0.4">
      <c r="F1528" s="72"/>
      <c r="G1528" s="72"/>
      <c r="H1528" s="72"/>
    </row>
    <row r="1529" spans="6:8" x14ac:dyDescent="0.4">
      <c r="F1529" s="72"/>
      <c r="G1529" s="72"/>
      <c r="H1529" s="72"/>
    </row>
    <row r="1530" spans="6:8" x14ac:dyDescent="0.4">
      <c r="F1530" s="72"/>
      <c r="G1530" s="72"/>
      <c r="H1530" s="72"/>
    </row>
    <row r="1531" spans="6:8" x14ac:dyDescent="0.4">
      <c r="F1531" s="72"/>
      <c r="G1531" s="72"/>
      <c r="H1531" s="72"/>
    </row>
    <row r="1532" spans="6:8" x14ac:dyDescent="0.4">
      <c r="F1532" s="72"/>
      <c r="G1532" s="72"/>
      <c r="H1532" s="72"/>
    </row>
    <row r="1533" spans="6:8" x14ac:dyDescent="0.4">
      <c r="F1533" s="72"/>
      <c r="G1533" s="72"/>
      <c r="H1533" s="72"/>
    </row>
    <row r="1534" spans="6:8" x14ac:dyDescent="0.4">
      <c r="F1534" s="72"/>
      <c r="G1534" s="72"/>
      <c r="H1534" s="72"/>
    </row>
    <row r="1535" spans="6:8" x14ac:dyDescent="0.4">
      <c r="F1535" s="72"/>
      <c r="G1535" s="72"/>
      <c r="H1535" s="72"/>
    </row>
    <row r="1536" spans="6:8" x14ac:dyDescent="0.4">
      <c r="F1536" s="72"/>
      <c r="G1536" s="72"/>
      <c r="H1536" s="72"/>
    </row>
    <row r="1537" spans="6:8" x14ac:dyDescent="0.4">
      <c r="F1537" s="72"/>
      <c r="G1537" s="72"/>
      <c r="H1537" s="72"/>
    </row>
    <row r="1538" spans="6:8" x14ac:dyDescent="0.4">
      <c r="F1538" s="72"/>
      <c r="G1538" s="72"/>
      <c r="H1538" s="72"/>
    </row>
    <row r="1539" spans="6:8" x14ac:dyDescent="0.4">
      <c r="F1539" s="72"/>
      <c r="G1539" s="72"/>
      <c r="H1539" s="72"/>
    </row>
    <row r="1540" spans="6:8" x14ac:dyDescent="0.4">
      <c r="F1540" s="72"/>
      <c r="G1540" s="72"/>
      <c r="H1540" s="72"/>
    </row>
    <row r="1541" spans="6:8" x14ac:dyDescent="0.4">
      <c r="F1541" s="72"/>
      <c r="G1541" s="72"/>
      <c r="H1541" s="72"/>
    </row>
    <row r="1542" spans="6:8" x14ac:dyDescent="0.4">
      <c r="F1542" s="72"/>
      <c r="G1542" s="72"/>
      <c r="H1542" s="72"/>
    </row>
    <row r="1543" spans="6:8" x14ac:dyDescent="0.4">
      <c r="F1543" s="72"/>
      <c r="G1543" s="72"/>
      <c r="H1543" s="72"/>
    </row>
    <row r="1544" spans="6:8" x14ac:dyDescent="0.4">
      <c r="F1544" s="72"/>
      <c r="G1544" s="72"/>
      <c r="H1544" s="72"/>
    </row>
    <row r="1545" spans="6:8" x14ac:dyDescent="0.4">
      <c r="F1545" s="72"/>
      <c r="G1545" s="72"/>
      <c r="H1545" s="72"/>
    </row>
    <row r="1546" spans="6:8" x14ac:dyDescent="0.4">
      <c r="F1546" s="72"/>
      <c r="G1546" s="72"/>
      <c r="H1546" s="72"/>
    </row>
    <row r="1547" spans="6:8" x14ac:dyDescent="0.4">
      <c r="F1547" s="72"/>
      <c r="G1547" s="72"/>
      <c r="H1547" s="72"/>
    </row>
    <row r="1548" spans="6:8" x14ac:dyDescent="0.4">
      <c r="F1548" s="72"/>
      <c r="G1548" s="72"/>
      <c r="H1548" s="72"/>
    </row>
    <row r="1549" spans="6:8" x14ac:dyDescent="0.4">
      <c r="F1549" s="72"/>
      <c r="G1549" s="72"/>
      <c r="H1549" s="72"/>
    </row>
    <row r="1550" spans="6:8" x14ac:dyDescent="0.4">
      <c r="F1550" s="72"/>
      <c r="G1550" s="72"/>
      <c r="H1550" s="72"/>
    </row>
    <row r="1551" spans="6:8" x14ac:dyDescent="0.4">
      <c r="F1551" s="72"/>
      <c r="G1551" s="72"/>
      <c r="H1551" s="72"/>
    </row>
    <row r="1552" spans="6:8" x14ac:dyDescent="0.4">
      <c r="F1552" s="72"/>
      <c r="G1552" s="72"/>
      <c r="H1552" s="72"/>
    </row>
    <row r="1553" spans="6:8" x14ac:dyDescent="0.4">
      <c r="F1553" s="72"/>
      <c r="G1553" s="72"/>
      <c r="H1553" s="72"/>
    </row>
    <row r="1554" spans="6:8" x14ac:dyDescent="0.4">
      <c r="F1554" s="72"/>
      <c r="G1554" s="72"/>
      <c r="H1554" s="72"/>
    </row>
    <row r="1555" spans="6:8" x14ac:dyDescent="0.4">
      <c r="F1555" s="72"/>
      <c r="G1555" s="72"/>
      <c r="H1555" s="72"/>
    </row>
    <row r="1556" spans="6:8" x14ac:dyDescent="0.4">
      <c r="F1556" s="72"/>
      <c r="G1556" s="72"/>
      <c r="H1556" s="72"/>
    </row>
    <row r="1557" spans="6:8" x14ac:dyDescent="0.4">
      <c r="F1557" s="72"/>
      <c r="G1557" s="72"/>
      <c r="H1557" s="72"/>
    </row>
    <row r="1558" spans="6:8" x14ac:dyDescent="0.4">
      <c r="F1558" s="72"/>
      <c r="G1558" s="72"/>
      <c r="H1558" s="72"/>
    </row>
    <row r="1559" spans="6:8" x14ac:dyDescent="0.4">
      <c r="F1559" s="72"/>
      <c r="G1559" s="72"/>
      <c r="H1559" s="72"/>
    </row>
    <row r="1560" spans="6:8" x14ac:dyDescent="0.4">
      <c r="F1560" s="72"/>
      <c r="G1560" s="72"/>
      <c r="H1560" s="72"/>
    </row>
    <row r="1561" spans="6:8" x14ac:dyDescent="0.4">
      <c r="F1561" s="72"/>
      <c r="G1561" s="72"/>
      <c r="H1561" s="72"/>
    </row>
    <row r="1562" spans="6:8" x14ac:dyDescent="0.4">
      <c r="F1562" s="72"/>
      <c r="G1562" s="72"/>
      <c r="H1562" s="72"/>
    </row>
    <row r="1563" spans="6:8" x14ac:dyDescent="0.4">
      <c r="F1563" s="72"/>
      <c r="G1563" s="72"/>
      <c r="H1563" s="72"/>
    </row>
    <row r="1564" spans="6:8" x14ac:dyDescent="0.4">
      <c r="F1564" s="72"/>
      <c r="G1564" s="72"/>
      <c r="H1564" s="72"/>
    </row>
    <row r="1565" spans="6:8" x14ac:dyDescent="0.4">
      <c r="F1565" s="72"/>
      <c r="G1565" s="72"/>
      <c r="H1565" s="72"/>
    </row>
    <row r="1566" spans="6:8" x14ac:dyDescent="0.4">
      <c r="F1566" s="72"/>
      <c r="G1566" s="72"/>
      <c r="H1566" s="72"/>
    </row>
    <row r="1567" spans="6:8" x14ac:dyDescent="0.4">
      <c r="F1567" s="72"/>
      <c r="G1567" s="72"/>
      <c r="H1567" s="72"/>
    </row>
    <row r="1568" spans="6:8" x14ac:dyDescent="0.4">
      <c r="F1568" s="72"/>
      <c r="G1568" s="72"/>
      <c r="H1568" s="72"/>
    </row>
    <row r="1569" spans="6:8" x14ac:dyDescent="0.4">
      <c r="F1569" s="72"/>
      <c r="G1569" s="72"/>
      <c r="H1569" s="72"/>
    </row>
    <row r="1570" spans="6:8" x14ac:dyDescent="0.4">
      <c r="F1570" s="72"/>
      <c r="G1570" s="72"/>
      <c r="H1570" s="72"/>
    </row>
    <row r="1571" spans="6:8" x14ac:dyDescent="0.4">
      <c r="F1571" s="72"/>
      <c r="G1571" s="72"/>
      <c r="H1571" s="72"/>
    </row>
    <row r="1572" spans="6:8" x14ac:dyDescent="0.4">
      <c r="F1572" s="72"/>
      <c r="G1572" s="72"/>
      <c r="H1572" s="72"/>
    </row>
    <row r="1573" spans="6:8" x14ac:dyDescent="0.4">
      <c r="F1573" s="72"/>
      <c r="G1573" s="72"/>
      <c r="H1573" s="72"/>
    </row>
    <row r="1574" spans="6:8" x14ac:dyDescent="0.4">
      <c r="F1574" s="72"/>
      <c r="G1574" s="72"/>
      <c r="H1574" s="72"/>
    </row>
    <row r="1575" spans="6:8" x14ac:dyDescent="0.4">
      <c r="F1575" s="72"/>
      <c r="G1575" s="72"/>
      <c r="H1575" s="72"/>
    </row>
    <row r="1576" spans="6:8" x14ac:dyDescent="0.4">
      <c r="F1576" s="72"/>
      <c r="G1576" s="72"/>
      <c r="H1576" s="72"/>
    </row>
    <row r="1577" spans="6:8" x14ac:dyDescent="0.4">
      <c r="F1577" s="72"/>
      <c r="G1577" s="72"/>
      <c r="H1577" s="72"/>
    </row>
    <row r="1578" spans="6:8" x14ac:dyDescent="0.4">
      <c r="F1578" s="72"/>
      <c r="G1578" s="72"/>
      <c r="H1578" s="72"/>
    </row>
    <row r="1579" spans="6:8" x14ac:dyDescent="0.4">
      <c r="F1579" s="72"/>
      <c r="G1579" s="72"/>
      <c r="H1579" s="72"/>
    </row>
    <row r="1580" spans="6:8" x14ac:dyDescent="0.4">
      <c r="F1580" s="72"/>
      <c r="G1580" s="72"/>
      <c r="H1580" s="72"/>
    </row>
    <row r="1581" spans="6:8" x14ac:dyDescent="0.4">
      <c r="F1581" s="72"/>
      <c r="G1581" s="72"/>
      <c r="H1581" s="72"/>
    </row>
    <row r="1582" spans="6:8" x14ac:dyDescent="0.4">
      <c r="F1582" s="72"/>
      <c r="G1582" s="72"/>
      <c r="H1582" s="72"/>
    </row>
    <row r="1583" spans="6:8" x14ac:dyDescent="0.4">
      <c r="F1583" s="72"/>
      <c r="G1583" s="72"/>
      <c r="H1583" s="72"/>
    </row>
    <row r="1584" spans="6:8" x14ac:dyDescent="0.4">
      <c r="F1584" s="72"/>
      <c r="G1584" s="72"/>
      <c r="H1584" s="72"/>
    </row>
    <row r="1585" spans="6:8" x14ac:dyDescent="0.4">
      <c r="F1585" s="72"/>
      <c r="G1585" s="72"/>
      <c r="H1585" s="72"/>
    </row>
    <row r="1586" spans="6:8" x14ac:dyDescent="0.4">
      <c r="F1586" s="72"/>
      <c r="G1586" s="72"/>
      <c r="H1586" s="72"/>
    </row>
    <row r="1587" spans="6:8" x14ac:dyDescent="0.4">
      <c r="F1587" s="72"/>
      <c r="G1587" s="72"/>
      <c r="H1587" s="72"/>
    </row>
    <row r="1589" spans="6:8" x14ac:dyDescent="0.4">
      <c r="F1589" s="72"/>
      <c r="G1589" s="72"/>
      <c r="H1589" s="72"/>
    </row>
    <row r="1590" spans="6:8" x14ac:dyDescent="0.4">
      <c r="F1590" s="72"/>
      <c r="G1590" s="72"/>
      <c r="H1590" s="72"/>
    </row>
    <row r="1591" spans="6:8" x14ac:dyDescent="0.4">
      <c r="F1591" s="72"/>
      <c r="G1591" s="72"/>
      <c r="H1591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54"/>
  <sheetViews>
    <sheetView zoomScale="80" zoomScaleNormal="80" workbookViewId="0">
      <pane ySplit="2" topLeftCell="A93" activePane="bottomLeft" state="frozen"/>
      <selection pane="bottomLeft" activeCell="J114" sqref="J114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0" customFormat="1" ht="81" x14ac:dyDescent="0.3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10309</v>
      </c>
      <c r="G1" s="49" t="s">
        <v>10310</v>
      </c>
      <c r="H1" s="49" t="s">
        <v>10311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10316</v>
      </c>
      <c r="G2" s="36" t="s">
        <v>10400</v>
      </c>
      <c r="H2" s="36" t="s">
        <v>9948</v>
      </c>
      <c r="I2" s="36" t="s">
        <v>9948</v>
      </c>
      <c r="J2" s="36" t="s">
        <v>9634</v>
      </c>
      <c r="K2" s="36" t="s">
        <v>10317</v>
      </c>
      <c r="L2" s="36" t="s">
        <v>9796</v>
      </c>
      <c r="M2" s="36" t="s">
        <v>9796</v>
      </c>
      <c r="N2" s="36" t="s">
        <v>10318</v>
      </c>
      <c r="O2" s="36" t="s">
        <v>10318</v>
      </c>
      <c r="P2" s="36" t="s">
        <v>10318</v>
      </c>
      <c r="Q2" s="36" t="s">
        <v>10318</v>
      </c>
      <c r="R2" s="36" t="s">
        <v>10318</v>
      </c>
      <c r="S2" s="36" t="s">
        <v>10318</v>
      </c>
      <c r="T2" s="36" t="s">
        <v>10318</v>
      </c>
      <c r="U2" s="36" t="s">
        <v>10319</v>
      </c>
      <c r="V2" s="36" t="s">
        <v>10319</v>
      </c>
      <c r="W2" s="36" t="s">
        <v>10320</v>
      </c>
      <c r="X2" s="36" t="s">
        <v>10401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A3" s="15" t="s">
        <v>10682</v>
      </c>
      <c r="B3" s="15" t="s">
        <v>10436</v>
      </c>
      <c r="C3" s="15" t="s">
        <v>10606</v>
      </c>
      <c r="D3" s="15" t="s">
        <v>10302</v>
      </c>
      <c r="E3" s="15" t="s">
        <v>10683</v>
      </c>
      <c r="F3" s="15">
        <v>3317141</v>
      </c>
      <c r="G3" s="15">
        <v>0.89712450637213792</v>
      </c>
      <c r="H3" s="15">
        <v>200</v>
      </c>
      <c r="I3" s="119">
        <v>1656.0757679032574</v>
      </c>
      <c r="J3" s="117">
        <v>0.39775751774927892</v>
      </c>
      <c r="K3" s="15">
        <v>30</v>
      </c>
      <c r="L3" s="15">
        <v>1245.1145603491473</v>
      </c>
      <c r="M3" s="15">
        <v>159.14410888124749</v>
      </c>
      <c r="N3" s="15">
        <v>13885251.956447791</v>
      </c>
      <c r="O3" s="15">
        <v>2594591.2379558566</v>
      </c>
      <c r="P3" s="15">
        <v>5247115.2183870021</v>
      </c>
      <c r="Q3" s="15">
        <v>6043545.5001049349</v>
      </c>
      <c r="R3" s="15">
        <v>1107348.8435267117</v>
      </c>
      <c r="S3" s="15">
        <v>2320423.4667628054</v>
      </c>
      <c r="T3" s="15">
        <v>2615773.1898154179</v>
      </c>
      <c r="U3" s="15">
        <v>0</v>
      </c>
      <c r="V3" s="15">
        <v>1686163902.4824116</v>
      </c>
      <c r="W3" s="15">
        <v>0</v>
      </c>
      <c r="X3" s="15">
        <v>0</v>
      </c>
      <c r="Y3" s="15">
        <v>1801.9406248711923</v>
      </c>
      <c r="Z3" s="15">
        <v>0</v>
      </c>
      <c r="AA3" s="15">
        <v>1802.684</v>
      </c>
      <c r="AB3" s="15">
        <v>0</v>
      </c>
      <c r="AC3" s="15">
        <v>-0.74337512880765577</v>
      </c>
      <c r="AD3" s="15">
        <v>145.86485696793488</v>
      </c>
      <c r="AE3" s="15">
        <v>1.0636862190742653E-3</v>
      </c>
      <c r="AF3" s="15">
        <v>0</v>
      </c>
      <c r="AG3" s="15">
        <v>0</v>
      </c>
      <c r="AH3" s="15">
        <v>7.3513630676536783E-4</v>
      </c>
      <c r="AI3" s="15">
        <v>101.46076875</v>
      </c>
      <c r="AJ3" s="15">
        <v>44.402289395409142</v>
      </c>
      <c r="AK3" s="15">
        <v>0</v>
      </c>
      <c r="AL3" s="15">
        <v>0</v>
      </c>
      <c r="AM3" s="15">
        <v>0</v>
      </c>
      <c r="AN3" s="15">
        <v>-196.21971641948303</v>
      </c>
      <c r="AO3" s="15">
        <v>1656.0757679032574</v>
      </c>
      <c r="AP3" s="15">
        <v>1.7988225258396332E-3</v>
      </c>
      <c r="AQ3" s="15">
        <v>1.0636862190742653E-3</v>
      </c>
      <c r="AR3" s="15">
        <v>0</v>
      </c>
      <c r="AS3" s="15">
        <v>0</v>
      </c>
      <c r="AT3" s="15">
        <v>7.3513630676536783E-4</v>
      </c>
      <c r="AU3" s="15">
        <v>312.84993085546995</v>
      </c>
      <c r="AV3" s="15">
        <v>35.849081282822247</v>
      </c>
      <c r="AW3" s="15">
        <v>35.849081282822247</v>
      </c>
      <c r="AX3" s="15">
        <v>0</v>
      </c>
      <c r="AY3" s="15">
        <v>0</v>
      </c>
      <c r="AZ3" s="15">
        <v>20.115005656040907</v>
      </c>
      <c r="BA3" s="15">
        <v>0</v>
      </c>
      <c r="BB3" s="15">
        <v>8.3812523566837118</v>
      </c>
      <c r="BC3" s="15">
        <v>11.733753299357195</v>
      </c>
      <c r="BD3" s="15">
        <v>0</v>
      </c>
      <c r="BE3" s="15">
        <v>256.8858439166068</v>
      </c>
      <c r="BF3" s="15">
        <v>90.135383830388363</v>
      </c>
      <c r="BG3" s="15">
        <v>0</v>
      </c>
      <c r="BH3" s="15">
        <v>166.75046008621845</v>
      </c>
      <c r="BI3" s="15">
        <v>0</v>
      </c>
      <c r="BJ3" s="15">
        <v>312.85172967799576</v>
      </c>
      <c r="BK3" s="15">
        <v>458.71658664593065</v>
      </c>
      <c r="BL3" s="15">
        <v>-887.11598790302003</v>
      </c>
      <c r="BM3" s="15">
        <v>0.39775751774927892</v>
      </c>
    </row>
    <row r="4" spans="1:65" x14ac:dyDescent="0.4">
      <c r="A4" s="15" t="s">
        <v>10682</v>
      </c>
      <c r="B4" s="15" t="s">
        <v>10436</v>
      </c>
      <c r="C4" s="15" t="s">
        <v>10606</v>
      </c>
      <c r="D4" s="15" t="s">
        <v>10303</v>
      </c>
      <c r="E4" s="15" t="s">
        <v>10684</v>
      </c>
      <c r="F4" s="15">
        <v>3317141</v>
      </c>
      <c r="G4" s="15">
        <v>0.89712450637213792</v>
      </c>
      <c r="H4" s="15">
        <v>200</v>
      </c>
      <c r="I4" s="119">
        <v>1700.4805198049587</v>
      </c>
      <c r="J4" s="117">
        <v>0.36125697276410307</v>
      </c>
      <c r="K4" s="15">
        <v>30</v>
      </c>
      <c r="L4" s="15">
        <v>1245.1145603491473</v>
      </c>
      <c r="M4" s="15">
        <v>159.14410888124749</v>
      </c>
      <c r="N4" s="15">
        <v>13885251.956447791</v>
      </c>
      <c r="O4" s="15">
        <v>2594591.2379558566</v>
      </c>
      <c r="P4" s="15">
        <v>5247115.2183870021</v>
      </c>
      <c r="Q4" s="15">
        <v>6043545.5001049349</v>
      </c>
      <c r="R4" s="15">
        <v>1107348.8435267117</v>
      </c>
      <c r="S4" s="15">
        <v>2320423.4667628054</v>
      </c>
      <c r="T4" s="15">
        <v>2615773.1898154179</v>
      </c>
      <c r="U4" s="15">
        <v>0</v>
      </c>
      <c r="V4" s="15">
        <v>0</v>
      </c>
      <c r="W4" s="15">
        <v>421540975.62060291</v>
      </c>
      <c r="X4" s="15">
        <v>0</v>
      </c>
      <c r="Y4" s="15">
        <v>1801.9406248711923</v>
      </c>
      <c r="Z4" s="15">
        <v>0</v>
      </c>
      <c r="AA4" s="15">
        <v>1802.684</v>
      </c>
      <c r="AB4" s="15">
        <v>0</v>
      </c>
      <c r="AC4" s="15">
        <v>-0.74337512880765577</v>
      </c>
      <c r="AD4" s="15">
        <v>101.46010506623361</v>
      </c>
      <c r="AE4" s="15">
        <v>-1.208673728570555E-3</v>
      </c>
      <c r="AF4" s="15">
        <v>4.3676162534609815E-5</v>
      </c>
      <c r="AG4" s="15">
        <v>9.4294729047446696E-5</v>
      </c>
      <c r="AH4" s="15">
        <v>0</v>
      </c>
      <c r="AI4" s="15">
        <v>101.46076875</v>
      </c>
      <c r="AJ4" s="15">
        <v>0</v>
      </c>
      <c r="AK4" s="15">
        <v>4.0701907078128312E-4</v>
      </c>
      <c r="AL4" s="15">
        <v>0</v>
      </c>
      <c r="AM4" s="15">
        <v>0</v>
      </c>
      <c r="AN4" s="15">
        <v>-136.48574069053345</v>
      </c>
      <c r="AO4" s="15">
        <v>1700.4805198049587</v>
      </c>
      <c r="AP4" s="15">
        <v>0</v>
      </c>
      <c r="AQ4" s="15">
        <v>0</v>
      </c>
      <c r="AR4" s="15">
        <v>0</v>
      </c>
      <c r="AS4" s="15">
        <v>0</v>
      </c>
      <c r="AT4" s="15">
        <v>0</v>
      </c>
      <c r="AU4" s="15">
        <v>312.85033976283415</v>
      </c>
      <c r="AV4" s="15">
        <v>35.849081282822247</v>
      </c>
      <c r="AW4" s="15">
        <v>35.849081282822247</v>
      </c>
      <c r="AX4" s="15">
        <v>0</v>
      </c>
      <c r="AY4" s="15">
        <v>0</v>
      </c>
      <c r="AZ4" s="15">
        <v>20.115005656040907</v>
      </c>
      <c r="BA4" s="15">
        <v>0</v>
      </c>
      <c r="BB4" s="15">
        <v>8.3812523566837118</v>
      </c>
      <c r="BC4" s="15">
        <v>11.733753299357195</v>
      </c>
      <c r="BD4" s="15">
        <v>0</v>
      </c>
      <c r="BE4" s="15">
        <v>256.88625282397101</v>
      </c>
      <c r="BF4" s="15">
        <v>90.135527306656499</v>
      </c>
      <c r="BG4" s="15">
        <v>0</v>
      </c>
      <c r="BH4" s="15">
        <v>166.75072551731449</v>
      </c>
      <c r="BI4" s="15">
        <v>0</v>
      </c>
      <c r="BJ4" s="15">
        <v>312.85033976283415</v>
      </c>
      <c r="BK4" s="15">
        <v>414.31044482906776</v>
      </c>
      <c r="BL4" s="15">
        <v>-827.38014243817577</v>
      </c>
      <c r="BM4" s="15">
        <v>0.36125697276410307</v>
      </c>
    </row>
    <row r="5" spans="1:65" x14ac:dyDescent="0.4">
      <c r="A5" s="15" t="s">
        <v>10682</v>
      </c>
      <c r="B5" s="15" t="s">
        <v>10436</v>
      </c>
      <c r="C5" s="15" t="s">
        <v>10606</v>
      </c>
      <c r="D5" s="15" t="s">
        <v>10304</v>
      </c>
      <c r="E5" s="15" t="s">
        <v>10685</v>
      </c>
      <c r="F5" s="15">
        <v>3317141</v>
      </c>
      <c r="G5" s="15">
        <v>0.89712450637213792</v>
      </c>
      <c r="H5" s="15">
        <v>200</v>
      </c>
      <c r="I5" s="119">
        <v>1700.4806577758502</v>
      </c>
      <c r="J5" s="117">
        <v>0.36125687387854072</v>
      </c>
      <c r="K5" s="15">
        <v>30</v>
      </c>
      <c r="L5" s="15">
        <v>1245.1145603491473</v>
      </c>
      <c r="M5" s="15">
        <v>159.14410888124749</v>
      </c>
      <c r="N5" s="15">
        <v>13885251.956447791</v>
      </c>
      <c r="O5" s="15">
        <v>2594591.2379558566</v>
      </c>
      <c r="P5" s="15">
        <v>5247115.2183870021</v>
      </c>
      <c r="Q5" s="15">
        <v>6043545.5001049349</v>
      </c>
      <c r="R5" s="15">
        <v>1107348.8435267117</v>
      </c>
      <c r="S5" s="15">
        <v>2320423.4667628054</v>
      </c>
      <c r="T5" s="15">
        <v>2615773.1898154179</v>
      </c>
      <c r="U5" s="15">
        <v>0</v>
      </c>
      <c r="V5" s="15">
        <v>0</v>
      </c>
      <c r="W5" s="15">
        <v>0</v>
      </c>
      <c r="X5" s="15">
        <v>421540975620.60291</v>
      </c>
      <c r="Y5" s="15">
        <v>1801.9406248711923</v>
      </c>
      <c r="Z5" s="15">
        <v>0</v>
      </c>
      <c r="AA5" s="15">
        <v>1802.684</v>
      </c>
      <c r="AB5" s="15">
        <v>0</v>
      </c>
      <c r="AC5" s="15">
        <v>-0.74337512880765577</v>
      </c>
      <c r="AD5" s="15">
        <v>101.45996709534211</v>
      </c>
      <c r="AE5" s="15">
        <v>-1.208673728570555E-3</v>
      </c>
      <c r="AF5" s="15">
        <v>0</v>
      </c>
      <c r="AG5" s="15">
        <v>0</v>
      </c>
      <c r="AH5" s="15">
        <v>0</v>
      </c>
      <c r="AI5" s="15">
        <v>101.46076875</v>
      </c>
      <c r="AJ5" s="15">
        <v>0</v>
      </c>
      <c r="AK5" s="15">
        <v>4.0701907078128312E-4</v>
      </c>
      <c r="AL5" s="15">
        <v>0</v>
      </c>
      <c r="AM5" s="15">
        <v>0</v>
      </c>
      <c r="AN5" s="15">
        <v>-136.48555508990444</v>
      </c>
      <c r="AO5" s="15">
        <v>1700.4806577758502</v>
      </c>
      <c r="AP5" s="15">
        <v>0</v>
      </c>
      <c r="AQ5" s="15">
        <v>0</v>
      </c>
      <c r="AR5" s="15">
        <v>0</v>
      </c>
      <c r="AS5" s="15">
        <v>0</v>
      </c>
      <c r="AT5" s="15">
        <v>0</v>
      </c>
      <c r="AU5" s="15">
        <v>312.8503594236862</v>
      </c>
      <c r="AV5" s="15">
        <v>35.849081282822247</v>
      </c>
      <c r="AW5" s="15">
        <v>35.849081282822247</v>
      </c>
      <c r="AX5" s="15">
        <v>0</v>
      </c>
      <c r="AY5" s="15">
        <v>0</v>
      </c>
      <c r="AZ5" s="15">
        <v>20.115005656040907</v>
      </c>
      <c r="BA5" s="15">
        <v>0</v>
      </c>
      <c r="BB5" s="15">
        <v>8.3812523566837118</v>
      </c>
      <c r="BC5" s="15">
        <v>11.733753299357195</v>
      </c>
      <c r="BD5" s="15">
        <v>0</v>
      </c>
      <c r="BE5" s="15">
        <v>256.88627248482305</v>
      </c>
      <c r="BF5" s="15">
        <v>90.135534205201068</v>
      </c>
      <c r="BG5" s="15">
        <v>0</v>
      </c>
      <c r="BH5" s="15">
        <v>166.75073827962197</v>
      </c>
      <c r="BI5" s="15">
        <v>0</v>
      </c>
      <c r="BJ5" s="15">
        <v>312.8503594236862</v>
      </c>
      <c r="BK5" s="15">
        <v>414.31032651902831</v>
      </c>
      <c r="BL5" s="15">
        <v>-827.37998328563629</v>
      </c>
      <c r="BM5" s="15">
        <v>0.36125687387854072</v>
      </c>
    </row>
    <row r="6" spans="1:65" x14ac:dyDescent="0.4">
      <c r="A6" s="15" t="s">
        <v>10682</v>
      </c>
      <c r="B6" s="15" t="s">
        <v>10436</v>
      </c>
      <c r="C6" s="15" t="s">
        <v>10606</v>
      </c>
      <c r="D6" s="15" t="s">
        <v>10305</v>
      </c>
      <c r="E6" s="15" t="s">
        <v>10686</v>
      </c>
      <c r="F6" s="15">
        <v>3317141</v>
      </c>
      <c r="G6" s="15">
        <v>0.89712450637213792</v>
      </c>
      <c r="H6" s="15">
        <v>200</v>
      </c>
      <c r="I6" s="119">
        <v>1700.4825753960351</v>
      </c>
      <c r="J6" s="117">
        <v>0.35725833746065871</v>
      </c>
      <c r="K6" s="15">
        <v>30</v>
      </c>
      <c r="L6" s="15">
        <v>665.56908571117276</v>
      </c>
      <c r="M6" s="15">
        <v>118.83981004775855</v>
      </c>
      <c r="N6" s="15">
        <v>13885251.956447791</v>
      </c>
      <c r="O6" s="15">
        <v>1957612.2470797922</v>
      </c>
      <c r="P6" s="15">
        <v>5474607.7151284544</v>
      </c>
      <c r="Q6" s="15">
        <v>6453031.9942395464</v>
      </c>
      <c r="R6" s="15">
        <v>1107348.8435267117</v>
      </c>
      <c r="S6" s="15">
        <v>2729909.9608974182</v>
      </c>
      <c r="T6" s="15">
        <v>2615773.1898154179</v>
      </c>
      <c r="U6" s="15">
        <v>0</v>
      </c>
      <c r="V6" s="15">
        <v>0</v>
      </c>
      <c r="W6" s="15">
        <v>0</v>
      </c>
      <c r="X6" s="15">
        <v>0</v>
      </c>
      <c r="Y6" s="15">
        <v>1801.9424383816947</v>
      </c>
      <c r="Z6" s="15">
        <v>0</v>
      </c>
      <c r="AA6" s="15">
        <v>1802.684</v>
      </c>
      <c r="AB6" s="15">
        <v>0</v>
      </c>
      <c r="AC6" s="15">
        <v>-0.74156161830520728</v>
      </c>
      <c r="AD6" s="15">
        <v>101.45986298565958</v>
      </c>
      <c r="AE6" s="15">
        <v>-9.0576434033597228E-4</v>
      </c>
      <c r="AF6" s="15">
        <v>0</v>
      </c>
      <c r="AG6" s="15">
        <v>0</v>
      </c>
      <c r="AH6" s="15">
        <v>0</v>
      </c>
      <c r="AI6" s="15">
        <v>101.46076875</v>
      </c>
      <c r="AJ6" s="15">
        <v>0</v>
      </c>
      <c r="AK6" s="15">
        <v>0</v>
      </c>
      <c r="AL6" s="15">
        <v>0</v>
      </c>
      <c r="AM6" s="15">
        <v>0</v>
      </c>
      <c r="AN6" s="15">
        <v>-136.81919409143606</v>
      </c>
      <c r="AO6" s="15">
        <v>1700.4825753960351</v>
      </c>
      <c r="AP6" s="15">
        <v>0</v>
      </c>
      <c r="AQ6" s="15">
        <v>0</v>
      </c>
      <c r="AR6" s="15">
        <v>0</v>
      </c>
      <c r="AS6" s="15">
        <v>0</v>
      </c>
      <c r="AT6" s="15">
        <v>0</v>
      </c>
      <c r="AU6" s="15">
        <v>306.05171478114727</v>
      </c>
      <c r="AV6" s="15">
        <v>34.467793702572685</v>
      </c>
      <c r="AW6" s="15">
        <v>34.467793702572685</v>
      </c>
      <c r="AX6" s="15">
        <v>0</v>
      </c>
      <c r="AY6" s="15">
        <v>0</v>
      </c>
      <c r="AZ6" s="15">
        <v>14.698802226597703</v>
      </c>
      <c r="BA6" s="15">
        <v>0</v>
      </c>
      <c r="BB6" s="15">
        <v>6.1245009277490432</v>
      </c>
      <c r="BC6" s="15">
        <v>8.5743012988486598</v>
      </c>
      <c r="BD6" s="15">
        <v>0</v>
      </c>
      <c r="BE6" s="15">
        <v>256.88511885197687</v>
      </c>
      <c r="BF6" s="15">
        <v>90.135129421746271</v>
      </c>
      <c r="BG6" s="15">
        <v>0</v>
      </c>
      <c r="BH6" s="15">
        <v>166.74998943023058</v>
      </c>
      <c r="BI6" s="15">
        <v>0</v>
      </c>
      <c r="BJ6" s="15">
        <v>306.05171478114727</v>
      </c>
      <c r="BK6" s="15">
        <v>407.51157776680685</v>
      </c>
      <c r="BL6" s="15">
        <v>-820.23276875526074</v>
      </c>
      <c r="BM6" s="15">
        <v>0.35725833746065871</v>
      </c>
    </row>
    <row r="7" spans="1:65" x14ac:dyDescent="0.4">
      <c r="A7" s="15" t="s">
        <v>10682</v>
      </c>
      <c r="B7" s="15" t="s">
        <v>10436</v>
      </c>
      <c r="C7" s="15" t="s">
        <v>10606</v>
      </c>
      <c r="D7" s="15" t="s">
        <v>10306</v>
      </c>
      <c r="E7" s="15" t="s">
        <v>10687</v>
      </c>
      <c r="F7" s="15">
        <v>3317141</v>
      </c>
      <c r="G7" s="15">
        <v>0.89712450637213792</v>
      </c>
      <c r="H7" s="15">
        <v>200</v>
      </c>
      <c r="I7" s="119">
        <v>1700.4445122132342</v>
      </c>
      <c r="J7" s="117">
        <v>0.36019816598550952</v>
      </c>
      <c r="K7" s="15">
        <v>30</v>
      </c>
      <c r="L7" s="15">
        <v>646.64489370000763</v>
      </c>
      <c r="M7" s="15">
        <v>115.94758963563142</v>
      </c>
      <c r="N7" s="15">
        <v>13885251.956447791</v>
      </c>
      <c r="O7" s="15">
        <v>3182673.3140672906</v>
      </c>
      <c r="P7" s="15">
        <v>4676552.8589316178</v>
      </c>
      <c r="Q7" s="15">
        <v>6026025.7834488871</v>
      </c>
      <c r="R7" s="15">
        <v>1107348.8435267117</v>
      </c>
      <c r="S7" s="15">
        <v>0</v>
      </c>
      <c r="T7" s="15">
        <v>4918676.9399221754</v>
      </c>
      <c r="U7" s="15">
        <v>0</v>
      </c>
      <c r="V7" s="15">
        <v>0</v>
      </c>
      <c r="W7" s="15">
        <v>0</v>
      </c>
      <c r="X7" s="15">
        <v>0</v>
      </c>
      <c r="Y7" s="15">
        <v>1801.9043751988938</v>
      </c>
      <c r="Z7" s="15">
        <v>0</v>
      </c>
      <c r="AA7" s="15">
        <v>1802.684</v>
      </c>
      <c r="AB7" s="15">
        <v>0</v>
      </c>
      <c r="AC7" s="15">
        <v>-0.77962480110613297</v>
      </c>
      <c r="AD7" s="15">
        <v>101.45986298565958</v>
      </c>
      <c r="AE7" s="15">
        <v>-9.0576434033597228E-4</v>
      </c>
      <c r="AF7" s="15">
        <v>0</v>
      </c>
      <c r="AG7" s="15">
        <v>0</v>
      </c>
      <c r="AH7" s="15">
        <v>0</v>
      </c>
      <c r="AI7" s="15">
        <v>101.46076875</v>
      </c>
      <c r="AJ7" s="15">
        <v>0</v>
      </c>
      <c r="AK7" s="15">
        <v>0</v>
      </c>
      <c r="AL7" s="15">
        <v>0</v>
      </c>
      <c r="AM7" s="15">
        <v>0</v>
      </c>
      <c r="AN7" s="15">
        <v>-130.13934759605922</v>
      </c>
      <c r="AO7" s="15">
        <v>1700.4445122132342</v>
      </c>
      <c r="AP7" s="15">
        <v>0</v>
      </c>
      <c r="AQ7" s="15">
        <v>0</v>
      </c>
      <c r="AR7" s="15">
        <v>0</v>
      </c>
      <c r="AS7" s="15">
        <v>0</v>
      </c>
      <c r="AT7" s="15">
        <v>0</v>
      </c>
      <c r="AU7" s="15">
        <v>311.03713167367175</v>
      </c>
      <c r="AV7" s="15">
        <v>39.613860994161591</v>
      </c>
      <c r="AW7" s="15">
        <v>39.613860994161591</v>
      </c>
      <c r="AX7" s="15">
        <v>0</v>
      </c>
      <c r="AY7" s="15">
        <v>0</v>
      </c>
      <c r="AZ7" s="15">
        <v>14.538211991673787</v>
      </c>
      <c r="BA7" s="15">
        <v>0</v>
      </c>
      <c r="BB7" s="15">
        <v>6.0575883298640782</v>
      </c>
      <c r="BC7" s="15">
        <v>8.4806236618097088</v>
      </c>
      <c r="BD7" s="15">
        <v>0</v>
      </c>
      <c r="BE7" s="15">
        <v>256.88505868783636</v>
      </c>
      <c r="BF7" s="15">
        <v>90.13510831152152</v>
      </c>
      <c r="BG7" s="15">
        <v>0</v>
      </c>
      <c r="BH7" s="15">
        <v>166.74995037631481</v>
      </c>
      <c r="BI7" s="15">
        <v>0</v>
      </c>
      <c r="BJ7" s="15">
        <v>311.03713167367175</v>
      </c>
      <c r="BK7" s="15">
        <v>412.49699465933134</v>
      </c>
      <c r="BL7" s="15">
        <v>-786.6304645392496</v>
      </c>
      <c r="BM7" s="15">
        <v>0.36019816598550952</v>
      </c>
    </row>
    <row r="8" spans="1:65" x14ac:dyDescent="0.4">
      <c r="A8" s="15" t="s">
        <v>10682</v>
      </c>
      <c r="B8" s="15" t="s">
        <v>10436</v>
      </c>
      <c r="C8" s="15" t="s">
        <v>10606</v>
      </c>
      <c r="D8" s="15" t="s">
        <v>10307</v>
      </c>
      <c r="E8" s="15" t="s">
        <v>10688</v>
      </c>
      <c r="F8" s="15">
        <v>3317141</v>
      </c>
      <c r="G8" s="15">
        <v>0.89712450637213792</v>
      </c>
      <c r="H8" s="15">
        <v>200</v>
      </c>
      <c r="I8" s="119">
        <v>1424.5981623124787</v>
      </c>
      <c r="J8" s="120">
        <v>0.65189079908186809</v>
      </c>
      <c r="K8" s="15">
        <v>30</v>
      </c>
      <c r="L8" s="15">
        <v>4054.5774732336968</v>
      </c>
      <c r="M8" s="15">
        <v>372.88752005541562</v>
      </c>
      <c r="N8" s="15">
        <v>13885251.956447791</v>
      </c>
      <c r="O8" s="15">
        <v>10147338.710468953</v>
      </c>
      <c r="P8" s="15">
        <v>2555580.6225842177</v>
      </c>
      <c r="Q8" s="15">
        <v>1182332.6233946225</v>
      </c>
      <c r="R8" s="15">
        <v>1182332.6233946225</v>
      </c>
      <c r="S8" s="15">
        <v>0</v>
      </c>
      <c r="T8" s="15">
        <v>0</v>
      </c>
      <c r="U8" s="15">
        <v>9049774986.8471146</v>
      </c>
      <c r="V8" s="15">
        <v>0</v>
      </c>
      <c r="W8" s="15">
        <v>0</v>
      </c>
      <c r="X8" s="15">
        <v>0</v>
      </c>
      <c r="Y8" s="15">
        <v>1801.7766085718592</v>
      </c>
      <c r="Z8" s="15">
        <v>0</v>
      </c>
      <c r="AA8" s="15">
        <v>1802.684</v>
      </c>
      <c r="AB8" s="15">
        <v>0</v>
      </c>
      <c r="AC8" s="15">
        <v>-0.90739142814080331</v>
      </c>
      <c r="AD8" s="15">
        <v>377.17844625938051</v>
      </c>
      <c r="AE8" s="15">
        <v>3.9972757405824146E-3</v>
      </c>
      <c r="AF8" s="15">
        <v>0</v>
      </c>
      <c r="AG8" s="15">
        <v>0</v>
      </c>
      <c r="AH8" s="15">
        <v>1.1368017823452055E-3</v>
      </c>
      <c r="AI8" s="15">
        <v>123.00035822944251</v>
      </c>
      <c r="AJ8" s="15">
        <v>254.17295395241487</v>
      </c>
      <c r="AK8" s="15">
        <v>0</v>
      </c>
      <c r="AL8" s="15">
        <v>0</v>
      </c>
      <c r="AM8" s="15">
        <v>0</v>
      </c>
      <c r="AN8" s="15">
        <v>-415.67336274291137</v>
      </c>
      <c r="AO8" s="15">
        <v>1424.5981623124787</v>
      </c>
      <c r="AP8" s="15">
        <v>5.1340775229276204E-3</v>
      </c>
      <c r="AQ8" s="15">
        <v>3.9972757405824146E-3</v>
      </c>
      <c r="AR8" s="15">
        <v>0</v>
      </c>
      <c r="AS8" s="15">
        <v>0</v>
      </c>
      <c r="AT8" s="15">
        <v>1.1368017823452055E-3</v>
      </c>
      <c r="AU8" s="15">
        <v>351.49885406353906</v>
      </c>
      <c r="AV8" s="15">
        <v>59.589502147500106</v>
      </c>
      <c r="AW8" s="15">
        <v>59.589502147500106</v>
      </c>
      <c r="AX8" s="15">
        <v>0</v>
      </c>
      <c r="AY8" s="15">
        <v>0</v>
      </c>
      <c r="AZ8" s="15">
        <v>35.01811690763968</v>
      </c>
      <c r="BA8" s="15">
        <v>0</v>
      </c>
      <c r="BB8" s="15">
        <v>14.590882044849867</v>
      </c>
      <c r="BC8" s="15">
        <v>20.427234862789813</v>
      </c>
      <c r="BD8" s="15">
        <v>0</v>
      </c>
      <c r="BE8" s="15">
        <v>256.89123500839924</v>
      </c>
      <c r="BF8" s="15">
        <v>90.137275441543579</v>
      </c>
      <c r="BG8" s="15">
        <v>0</v>
      </c>
      <c r="BH8" s="15">
        <v>166.75395956685563</v>
      </c>
      <c r="BI8" s="15">
        <v>0</v>
      </c>
      <c r="BJ8" s="15">
        <v>351.503988141062</v>
      </c>
      <c r="BK8" s="15">
        <v>728.6824344004425</v>
      </c>
      <c r="BL8" s="15">
        <v>-1024.4639711147188</v>
      </c>
      <c r="BM8" s="15">
        <v>0.65189079908186809</v>
      </c>
    </row>
    <row r="9" spans="1:65" x14ac:dyDescent="0.4">
      <c r="A9" s="15" t="s">
        <v>10682</v>
      </c>
      <c r="B9" s="15" t="s">
        <v>10436</v>
      </c>
      <c r="C9" s="15" t="s">
        <v>10606</v>
      </c>
      <c r="D9" s="15" t="s">
        <v>10308</v>
      </c>
      <c r="E9" s="15" t="s">
        <v>10689</v>
      </c>
      <c r="F9" s="15">
        <v>3317141</v>
      </c>
      <c r="G9" s="15">
        <v>0.89712450637213792</v>
      </c>
      <c r="H9" s="15">
        <v>200</v>
      </c>
      <c r="I9" s="119">
        <v>1424.5981623124787</v>
      </c>
      <c r="J9" s="120">
        <v>0.65189079908186809</v>
      </c>
      <c r="K9" s="15">
        <v>30</v>
      </c>
      <c r="L9" s="15">
        <v>4054.5774732336968</v>
      </c>
      <c r="M9" s="15">
        <v>372.88752005541562</v>
      </c>
      <c r="N9" s="15">
        <v>13885251.956447791</v>
      </c>
      <c r="O9" s="15">
        <v>10147338.710468953</v>
      </c>
      <c r="P9" s="15">
        <v>2555580.6225842177</v>
      </c>
      <c r="Q9" s="15">
        <v>1182332.6233946225</v>
      </c>
      <c r="R9" s="15">
        <v>1182332.6233946225</v>
      </c>
      <c r="S9" s="15">
        <v>0</v>
      </c>
      <c r="T9" s="15">
        <v>0</v>
      </c>
      <c r="U9" s="15">
        <v>9049774986.8471146</v>
      </c>
      <c r="V9" s="15">
        <v>0</v>
      </c>
      <c r="W9" s="15">
        <v>0</v>
      </c>
      <c r="X9" s="15">
        <v>0</v>
      </c>
      <c r="Y9" s="15">
        <v>1801.7766085718592</v>
      </c>
      <c r="Z9" s="15">
        <v>0</v>
      </c>
      <c r="AA9" s="15">
        <v>1802.684</v>
      </c>
      <c r="AB9" s="15">
        <v>0</v>
      </c>
      <c r="AC9" s="15">
        <v>-0.90739142814080331</v>
      </c>
      <c r="AD9" s="15">
        <v>377.17844625938051</v>
      </c>
      <c r="AE9" s="15">
        <v>3.9972757405824146E-3</v>
      </c>
      <c r="AF9" s="15">
        <v>0</v>
      </c>
      <c r="AG9" s="15">
        <v>0</v>
      </c>
      <c r="AH9" s="15">
        <v>1.1368017823452055E-3</v>
      </c>
      <c r="AI9" s="15">
        <v>123.00035822944251</v>
      </c>
      <c r="AJ9" s="15">
        <v>254.17295395241487</v>
      </c>
      <c r="AK9" s="15">
        <v>0</v>
      </c>
      <c r="AL9" s="15">
        <v>0</v>
      </c>
      <c r="AM9" s="15">
        <v>0</v>
      </c>
      <c r="AN9" s="15">
        <v>-415.67336274291137</v>
      </c>
      <c r="AO9" s="15">
        <v>1424.5981623124787</v>
      </c>
      <c r="AP9" s="15">
        <v>5.1340775229276204E-3</v>
      </c>
      <c r="AQ9" s="15">
        <v>3.9972757405824146E-3</v>
      </c>
      <c r="AR9" s="15">
        <v>0</v>
      </c>
      <c r="AS9" s="15">
        <v>0</v>
      </c>
      <c r="AT9" s="15">
        <v>1.1368017823452055E-3</v>
      </c>
      <c r="AU9" s="15">
        <v>351.49885406353906</v>
      </c>
      <c r="AV9" s="15">
        <v>59.589502147500106</v>
      </c>
      <c r="AW9" s="15">
        <v>59.589502147500106</v>
      </c>
      <c r="AX9" s="15">
        <v>0</v>
      </c>
      <c r="AY9" s="15">
        <v>0</v>
      </c>
      <c r="AZ9" s="15">
        <v>35.01811690763968</v>
      </c>
      <c r="BA9" s="15">
        <v>0</v>
      </c>
      <c r="BB9" s="15">
        <v>14.590882044849867</v>
      </c>
      <c r="BC9" s="15">
        <v>20.427234862789813</v>
      </c>
      <c r="BD9" s="15">
        <v>0</v>
      </c>
      <c r="BE9" s="15">
        <v>256.89123500839924</v>
      </c>
      <c r="BF9" s="15">
        <v>90.137275441543579</v>
      </c>
      <c r="BG9" s="15">
        <v>0</v>
      </c>
      <c r="BH9" s="15">
        <v>166.75395956685563</v>
      </c>
      <c r="BI9" s="15">
        <v>0</v>
      </c>
      <c r="BJ9" s="15">
        <v>351.503988141062</v>
      </c>
      <c r="BK9" s="15">
        <v>728.6824344004425</v>
      </c>
      <c r="BL9" s="15">
        <v>-1024.4639711147188</v>
      </c>
      <c r="BM9" s="15">
        <v>0.65189079908186809</v>
      </c>
    </row>
    <row r="10" spans="1:65" s="54" customFormat="1" x14ac:dyDescent="0.4">
      <c r="A10" s="55" t="s">
        <v>10682</v>
      </c>
      <c r="B10" s="55" t="s">
        <v>10436</v>
      </c>
      <c r="C10" s="55" t="s">
        <v>10690</v>
      </c>
      <c r="D10" s="55" t="s">
        <v>10307</v>
      </c>
      <c r="E10" s="55" t="s">
        <v>10691</v>
      </c>
      <c r="F10" s="55">
        <v>3317141</v>
      </c>
      <c r="G10" s="55">
        <v>0.89712450637213792</v>
      </c>
      <c r="H10" s="55">
        <v>200</v>
      </c>
      <c r="I10" s="55">
        <v>1424.5981623124787</v>
      </c>
      <c r="J10" s="92">
        <v>0.65189079908186809</v>
      </c>
      <c r="K10" s="55">
        <v>30</v>
      </c>
      <c r="L10" s="55">
        <v>4054.5774732336968</v>
      </c>
      <c r="M10" s="55">
        <v>372.88752005541562</v>
      </c>
      <c r="N10" s="55">
        <v>13885251.956447791</v>
      </c>
      <c r="O10" s="55">
        <v>10147338.710468953</v>
      </c>
      <c r="P10" s="55">
        <v>2555580.6225842177</v>
      </c>
      <c r="Q10" s="55">
        <v>1182332.6233946225</v>
      </c>
      <c r="R10" s="55">
        <v>1182332.6233946225</v>
      </c>
      <c r="S10" s="55">
        <v>0</v>
      </c>
      <c r="T10" s="55">
        <v>0</v>
      </c>
      <c r="U10" s="55">
        <v>9049774986.8471146</v>
      </c>
      <c r="V10" s="55">
        <v>0</v>
      </c>
      <c r="W10" s="55">
        <v>0</v>
      </c>
      <c r="X10" s="55">
        <v>0</v>
      </c>
      <c r="Y10" s="55">
        <v>1801.7766085718592</v>
      </c>
      <c r="Z10" s="55">
        <v>0</v>
      </c>
      <c r="AA10" s="55">
        <v>1802.684</v>
      </c>
      <c r="AB10" s="55">
        <v>0</v>
      </c>
      <c r="AC10" s="55">
        <v>-0.90739142814080331</v>
      </c>
      <c r="AD10" s="55">
        <v>377.17844625938051</v>
      </c>
      <c r="AE10" s="55">
        <v>3.9972757405824146E-3</v>
      </c>
      <c r="AF10" s="55">
        <v>0</v>
      </c>
      <c r="AG10" s="55">
        <v>0</v>
      </c>
      <c r="AH10" s="55">
        <v>1.1368017823452055E-3</v>
      </c>
      <c r="AI10" s="55">
        <v>123.00035822944251</v>
      </c>
      <c r="AJ10" s="55">
        <v>254.17295395241487</v>
      </c>
      <c r="AK10" s="55">
        <v>0</v>
      </c>
      <c r="AL10" s="55">
        <v>0</v>
      </c>
      <c r="AM10" s="55">
        <v>0</v>
      </c>
      <c r="AN10" s="55">
        <v>-415.67336274291137</v>
      </c>
      <c r="AO10" s="55">
        <v>1424.5981623124787</v>
      </c>
      <c r="AP10" s="55">
        <v>5.1340775229276204E-3</v>
      </c>
      <c r="AQ10" s="55">
        <v>3.9972757405824146E-3</v>
      </c>
      <c r="AR10" s="55">
        <v>0</v>
      </c>
      <c r="AS10" s="55">
        <v>0</v>
      </c>
      <c r="AT10" s="55">
        <v>1.1368017823452055E-3</v>
      </c>
      <c r="AU10" s="55">
        <v>351.49885406353906</v>
      </c>
      <c r="AV10" s="55">
        <v>59.589502147500106</v>
      </c>
      <c r="AW10" s="55">
        <v>59.589502147500106</v>
      </c>
      <c r="AX10" s="55">
        <v>0</v>
      </c>
      <c r="AY10" s="55">
        <v>0</v>
      </c>
      <c r="AZ10" s="55">
        <v>35.01811690763968</v>
      </c>
      <c r="BA10" s="55">
        <v>0</v>
      </c>
      <c r="BB10" s="55">
        <v>14.590882044849867</v>
      </c>
      <c r="BC10" s="55">
        <v>20.427234862789813</v>
      </c>
      <c r="BD10" s="55">
        <v>0</v>
      </c>
      <c r="BE10" s="55">
        <v>256.89123500839924</v>
      </c>
      <c r="BF10" s="55">
        <v>90.137275441543579</v>
      </c>
      <c r="BG10" s="55">
        <v>0</v>
      </c>
      <c r="BH10" s="55">
        <v>166.75395956685563</v>
      </c>
      <c r="BI10" s="55">
        <v>0</v>
      </c>
      <c r="BJ10" s="55">
        <v>351.503988141062</v>
      </c>
      <c r="BK10" s="53">
        <v>728.6824344004425</v>
      </c>
      <c r="BL10" s="53">
        <v>-1024.4639711147188</v>
      </c>
      <c r="BM10" s="53">
        <v>0.65189079908186809</v>
      </c>
    </row>
    <row r="11" spans="1:65" s="52" customFormat="1" x14ac:dyDescent="0.4">
      <c r="A11" s="51" t="s">
        <v>10682</v>
      </c>
      <c r="B11" s="51" t="s">
        <v>10692</v>
      </c>
      <c r="C11" s="51" t="s">
        <v>9780</v>
      </c>
      <c r="D11" s="51" t="s">
        <v>9780</v>
      </c>
      <c r="E11" s="51" t="s">
        <v>9998</v>
      </c>
      <c r="F11" s="51">
        <f>F10</f>
        <v>3317141</v>
      </c>
      <c r="G11" s="51">
        <f>G10</f>
        <v>0.89712450637213792</v>
      </c>
      <c r="H11" s="51">
        <f>(H10*N10)/(N10)</f>
        <v>200</v>
      </c>
      <c r="I11" s="51">
        <f>(I10*N10)/(N10)</f>
        <v>1424.5981623124785</v>
      </c>
      <c r="J11" s="93">
        <f>(H11+AD11+AE11+AF11+AG11+AH11+AU11)/(I11)</f>
        <v>0.65189079908186809</v>
      </c>
      <c r="K11" s="51">
        <f t="shared" ref="K11:W11" si="0">K10</f>
        <v>30</v>
      </c>
      <c r="L11" s="51">
        <f t="shared" si="0"/>
        <v>4054.5774732336968</v>
      </c>
      <c r="M11" s="51">
        <f t="shared" si="0"/>
        <v>372.88752005541562</v>
      </c>
      <c r="N11" s="51">
        <f t="shared" si="0"/>
        <v>13885251.956447791</v>
      </c>
      <c r="O11" s="51">
        <f t="shared" si="0"/>
        <v>10147338.710468953</v>
      </c>
      <c r="P11" s="51">
        <f t="shared" si="0"/>
        <v>2555580.6225842177</v>
      </c>
      <c r="Q11" s="51">
        <f t="shared" si="0"/>
        <v>1182332.6233946225</v>
      </c>
      <c r="R11" s="51">
        <f t="shared" si="0"/>
        <v>1182332.6233946225</v>
      </c>
      <c r="S11" s="51">
        <f t="shared" si="0"/>
        <v>0</v>
      </c>
      <c r="T11" s="51">
        <f t="shared" si="0"/>
        <v>0</v>
      </c>
      <c r="U11" s="51">
        <f t="shared" si="0"/>
        <v>9049774986.8471146</v>
      </c>
      <c r="V11" s="51">
        <f t="shared" si="0"/>
        <v>0</v>
      </c>
      <c r="W11" s="51">
        <f t="shared" si="0"/>
        <v>0</v>
      </c>
      <c r="X11" s="51">
        <f>(X10*N10)/(N10)</f>
        <v>0</v>
      </c>
      <c r="Y11" s="51">
        <f>(Y10*N10)/(N10)</f>
        <v>1801.7766085718592</v>
      </c>
      <c r="Z11" s="51">
        <f>(Z10*N10)/(N10)</f>
        <v>0</v>
      </c>
      <c r="AA11" s="51">
        <f>(AA10*N10)/(N10)</f>
        <v>1802.6839999999997</v>
      </c>
      <c r="AB11" s="51">
        <f>(AB10*N10)/(N10)</f>
        <v>0</v>
      </c>
      <c r="AC11" s="51">
        <f>(AC10*N10)/(N10)</f>
        <v>-0.9073914281408032</v>
      </c>
      <c r="AD11" s="51">
        <f>(AD10*N10)/(N10)</f>
        <v>377.17844625938051</v>
      </c>
      <c r="AE11" s="51">
        <f>(AE10*N10)/(N10)</f>
        <v>3.9972757405824146E-3</v>
      </c>
      <c r="AF11" s="51">
        <f>(AF10*N10)/(N10)</f>
        <v>0</v>
      </c>
      <c r="AG11" s="51">
        <f>(AG10*N10)/(N10)</f>
        <v>0</v>
      </c>
      <c r="AH11" s="51">
        <f>(AH10*N10)/(N10)</f>
        <v>1.1368017823452055E-3</v>
      </c>
      <c r="AI11" s="51">
        <f>(AI10*N10)/(N10)</f>
        <v>123.00035822944251</v>
      </c>
      <c r="AJ11" s="51">
        <f>(AJ10*N10)/(N10)</f>
        <v>254.17295395241484</v>
      </c>
      <c r="AK11" s="51">
        <f>(AK10*N10)/(N10)</f>
        <v>0</v>
      </c>
      <c r="AL11" s="51">
        <f>(AL10*N10)/(N10)</f>
        <v>0</v>
      </c>
      <c r="AM11" s="51">
        <f>(AM10*N10)/(N10)</f>
        <v>0</v>
      </c>
      <c r="AN11" s="51">
        <f>(AN10*N10)/(N10)</f>
        <v>-415.67336274291137</v>
      </c>
      <c r="AO11" s="51">
        <f>(AO10*N10)/(N10)</f>
        <v>1424.5981623124785</v>
      </c>
      <c r="AP11" s="51">
        <f>(AP10*N10)/(N10)</f>
        <v>5.1340775229276204E-3</v>
      </c>
      <c r="AQ11" s="51">
        <f>(AQ10*N10)/(N10)</f>
        <v>3.9972757405824146E-3</v>
      </c>
      <c r="AR11" s="51">
        <f>(AR10*N10)/(N10)</f>
        <v>0</v>
      </c>
      <c r="AS11" s="51">
        <f>(AS10*N10)/(N10)</f>
        <v>0</v>
      </c>
      <c r="AT11" s="51">
        <f>(AT10*N10)/(N10)</f>
        <v>1.1368017823452055E-3</v>
      </c>
      <c r="AU11" s="51">
        <f>(AU10*N10)/(N10)</f>
        <v>351.49885406353906</v>
      </c>
      <c r="AV11" s="51">
        <f>(AV10*N10)/(N10)</f>
        <v>59.589502147500106</v>
      </c>
      <c r="AW11" s="51">
        <f>(AW10*N10)/(N10)</f>
        <v>59.589502147500106</v>
      </c>
      <c r="AX11" s="51">
        <f>(AX10*N10)/(N10)</f>
        <v>0</v>
      </c>
      <c r="AY11" s="51">
        <f>(AY10*N10)/(N10)</f>
        <v>0</v>
      </c>
      <c r="AZ11" s="51">
        <f>(AZ10*N10)/(N10)</f>
        <v>35.01811690763968</v>
      </c>
      <c r="BA11" s="51">
        <f>(BA10*N10)/(N10)</f>
        <v>0</v>
      </c>
      <c r="BB11" s="51">
        <f>(BB10*N10)/(N10)</f>
        <v>14.590882044849867</v>
      </c>
      <c r="BC11" s="51">
        <f>(BC10*N10)/(N10)</f>
        <v>20.427234862789813</v>
      </c>
      <c r="BD11" s="51">
        <f>(BD10*N10)/(N10)</f>
        <v>0</v>
      </c>
      <c r="BE11" s="51">
        <f>(BE10*N10)/(N10)</f>
        <v>256.89123500839924</v>
      </c>
      <c r="BF11" s="51">
        <f>(BF10*N10)/(N10)</f>
        <v>90.137275441543579</v>
      </c>
      <c r="BG11" s="51">
        <f>(BG10*N10)/(N10)</f>
        <v>0</v>
      </c>
      <c r="BH11" s="51">
        <f>(BH10*N10)/(N10)</f>
        <v>166.75395956685563</v>
      </c>
      <c r="BI11" s="51">
        <f>(BI10*N10)/(N10)</f>
        <v>0</v>
      </c>
      <c r="BJ11" s="51">
        <f>(BJ10*N10)/(N10)</f>
        <v>351.503988141062</v>
      </c>
      <c r="BK11" s="51">
        <f>(BK10*N10)/(N10)</f>
        <v>728.6824344004425</v>
      </c>
      <c r="BL11" s="51">
        <f>(BL10*N10)/(N10)</f>
        <v>-1024.4639711147188</v>
      </c>
      <c r="BM11" s="51">
        <f>(BM10*N10)/(N10)</f>
        <v>0.65189079908186809</v>
      </c>
    </row>
    <row r="12" spans="1:65" x14ac:dyDescent="0.4">
      <c r="A12" s="15" t="s">
        <v>10693</v>
      </c>
      <c r="B12" s="15" t="s">
        <v>10436</v>
      </c>
      <c r="C12" s="15" t="s">
        <v>10606</v>
      </c>
      <c r="D12" s="15" t="s">
        <v>10302</v>
      </c>
      <c r="E12" s="15" t="s">
        <v>10694</v>
      </c>
      <c r="F12" s="15">
        <v>3317141</v>
      </c>
      <c r="G12" s="15">
        <v>0.89712450637213792</v>
      </c>
      <c r="H12" s="15">
        <v>200</v>
      </c>
      <c r="I12" s="119">
        <v>1635.7657926682575</v>
      </c>
      <c r="J12" s="117">
        <v>0.41511233755127253</v>
      </c>
      <c r="K12" s="15">
        <v>30</v>
      </c>
      <c r="L12" s="15">
        <v>1245.1145603491473</v>
      </c>
      <c r="M12" s="15">
        <v>159.14410888124749</v>
      </c>
      <c r="N12" s="15">
        <v>13885251.956447791</v>
      </c>
      <c r="O12" s="15">
        <v>2594591.2379558566</v>
      </c>
      <c r="P12" s="15">
        <v>5247115.2183870021</v>
      </c>
      <c r="Q12" s="15">
        <v>6043545.5001049349</v>
      </c>
      <c r="R12" s="15">
        <v>1107348.8435267117</v>
      </c>
      <c r="S12" s="15">
        <v>2320423.4667628054</v>
      </c>
      <c r="T12" s="15">
        <v>2615773.1898154179</v>
      </c>
      <c r="U12" s="15">
        <v>0</v>
      </c>
      <c r="V12" s="15">
        <v>1686163902.4824116</v>
      </c>
      <c r="W12" s="15">
        <v>0</v>
      </c>
      <c r="X12" s="15">
        <v>0</v>
      </c>
      <c r="Y12" s="15">
        <v>1801.9406248711923</v>
      </c>
      <c r="Z12" s="15">
        <v>0</v>
      </c>
      <c r="AA12" s="15">
        <v>1802.684</v>
      </c>
      <c r="AB12" s="15">
        <v>0</v>
      </c>
      <c r="AC12" s="15">
        <v>-0.74337512880765577</v>
      </c>
      <c r="AD12" s="15">
        <v>166.17483220293479</v>
      </c>
      <c r="AE12" s="15">
        <v>1.0636862190742653E-3</v>
      </c>
      <c r="AF12" s="15">
        <v>0</v>
      </c>
      <c r="AG12" s="15">
        <v>0</v>
      </c>
      <c r="AH12" s="15">
        <v>7.3513630676536783E-4</v>
      </c>
      <c r="AI12" s="15">
        <v>101.46076875</v>
      </c>
      <c r="AJ12" s="15">
        <v>44.402289395409142</v>
      </c>
      <c r="AK12" s="15">
        <v>0</v>
      </c>
      <c r="AL12" s="15">
        <v>0</v>
      </c>
      <c r="AM12" s="15">
        <v>20.309975235000007</v>
      </c>
      <c r="AN12" s="15">
        <v>-223.54101686112722</v>
      </c>
      <c r="AO12" s="15">
        <v>1635.7657926682575</v>
      </c>
      <c r="AP12" s="15">
        <v>1.7988225258396332E-3</v>
      </c>
      <c r="AQ12" s="15">
        <v>1.0636862190742653E-3</v>
      </c>
      <c r="AR12" s="15">
        <v>0</v>
      </c>
      <c r="AS12" s="15">
        <v>0</v>
      </c>
      <c r="AT12" s="15">
        <v>7.3513630676536783E-4</v>
      </c>
      <c r="AU12" s="15">
        <v>312.84993085546995</v>
      </c>
      <c r="AV12" s="15">
        <v>35.849081282822247</v>
      </c>
      <c r="AW12" s="15">
        <v>35.849081282822247</v>
      </c>
      <c r="AX12" s="15">
        <v>0</v>
      </c>
      <c r="AY12" s="15">
        <v>0</v>
      </c>
      <c r="AZ12" s="15">
        <v>20.115005656040907</v>
      </c>
      <c r="BA12" s="15">
        <v>0</v>
      </c>
      <c r="BB12" s="15">
        <v>8.3812523566837118</v>
      </c>
      <c r="BC12" s="15">
        <v>11.733753299357195</v>
      </c>
      <c r="BD12" s="15">
        <v>0</v>
      </c>
      <c r="BE12" s="15">
        <v>256.8858439166068</v>
      </c>
      <c r="BF12" s="15">
        <v>90.135383830388363</v>
      </c>
      <c r="BG12" s="15">
        <v>0</v>
      </c>
      <c r="BH12" s="15">
        <v>166.75046008621845</v>
      </c>
      <c r="BI12" s="15">
        <v>0</v>
      </c>
      <c r="BJ12" s="15">
        <v>312.85172967799576</v>
      </c>
      <c r="BK12" s="15">
        <v>479.02656188093056</v>
      </c>
      <c r="BL12" s="15">
        <v>-914.43728834466424</v>
      </c>
      <c r="BM12" s="15">
        <v>0.41511233755127253</v>
      </c>
    </row>
    <row r="13" spans="1:65" x14ac:dyDescent="0.4">
      <c r="A13" s="15" t="s">
        <v>10693</v>
      </c>
      <c r="B13" s="15" t="s">
        <v>10436</v>
      </c>
      <c r="C13" s="15" t="s">
        <v>10606</v>
      </c>
      <c r="D13" s="15" t="s">
        <v>10303</v>
      </c>
      <c r="E13" s="15" t="s">
        <v>10695</v>
      </c>
      <c r="F13" s="15">
        <v>3317141</v>
      </c>
      <c r="G13" s="15">
        <v>0.89712450637213792</v>
      </c>
      <c r="H13" s="15">
        <v>200</v>
      </c>
      <c r="I13" s="119">
        <v>1680.1700269416131</v>
      </c>
      <c r="J13" s="117">
        <v>0.37771233120233905</v>
      </c>
      <c r="K13" s="15">
        <v>30</v>
      </c>
      <c r="L13" s="15">
        <v>1245.1145603491473</v>
      </c>
      <c r="M13" s="15">
        <v>159.14410888124749</v>
      </c>
      <c r="N13" s="15">
        <v>13885251.956447791</v>
      </c>
      <c r="O13" s="15">
        <v>2594591.2379558566</v>
      </c>
      <c r="P13" s="15">
        <v>5247115.2183870021</v>
      </c>
      <c r="Q13" s="15">
        <v>6043545.5001049349</v>
      </c>
      <c r="R13" s="15">
        <v>1107348.8435267117</v>
      </c>
      <c r="S13" s="15">
        <v>2320423.4667628054</v>
      </c>
      <c r="T13" s="15">
        <v>2615773.1898154179</v>
      </c>
      <c r="U13" s="15">
        <v>0</v>
      </c>
      <c r="V13" s="15">
        <v>0</v>
      </c>
      <c r="W13" s="15">
        <v>421540975.62060291</v>
      </c>
      <c r="X13" s="15">
        <v>0</v>
      </c>
      <c r="Y13" s="15">
        <v>1801.9406248711923</v>
      </c>
      <c r="Z13" s="15">
        <v>0</v>
      </c>
      <c r="AA13" s="15">
        <v>1802.684</v>
      </c>
      <c r="AB13" s="15">
        <v>0</v>
      </c>
      <c r="AC13" s="15">
        <v>-0.74337512880765577</v>
      </c>
      <c r="AD13" s="15">
        <v>121.77059792957925</v>
      </c>
      <c r="AE13" s="15">
        <v>-1.208673728570555E-3</v>
      </c>
      <c r="AF13" s="15">
        <v>4.3676162534609815E-5</v>
      </c>
      <c r="AG13" s="15">
        <v>9.4294729047446696E-5</v>
      </c>
      <c r="AH13" s="15">
        <v>0</v>
      </c>
      <c r="AI13" s="15">
        <v>101.46076875</v>
      </c>
      <c r="AJ13" s="15">
        <v>0</v>
      </c>
      <c r="AK13" s="15">
        <v>9.2464741649253546E-4</v>
      </c>
      <c r="AL13" s="15">
        <v>0</v>
      </c>
      <c r="AM13" s="15">
        <v>20.309975235000007</v>
      </c>
      <c r="AN13" s="15">
        <v>-163.80773745402871</v>
      </c>
      <c r="AO13" s="15">
        <v>1680.1700269416131</v>
      </c>
      <c r="AP13" s="15">
        <v>0</v>
      </c>
      <c r="AQ13" s="15">
        <v>0</v>
      </c>
      <c r="AR13" s="15">
        <v>0</v>
      </c>
      <c r="AS13" s="15">
        <v>0</v>
      </c>
      <c r="AT13" s="15">
        <v>0</v>
      </c>
      <c r="AU13" s="15">
        <v>312.85033976283421</v>
      </c>
      <c r="AV13" s="15">
        <v>35.849081282822247</v>
      </c>
      <c r="AW13" s="15">
        <v>35.849081282822247</v>
      </c>
      <c r="AX13" s="15">
        <v>0</v>
      </c>
      <c r="AY13" s="15">
        <v>0</v>
      </c>
      <c r="AZ13" s="15">
        <v>20.115005656040907</v>
      </c>
      <c r="BA13" s="15">
        <v>0</v>
      </c>
      <c r="BB13" s="15">
        <v>8.3812523566837118</v>
      </c>
      <c r="BC13" s="15">
        <v>11.733753299357195</v>
      </c>
      <c r="BD13" s="15">
        <v>0</v>
      </c>
      <c r="BE13" s="15">
        <v>256.88625282397106</v>
      </c>
      <c r="BF13" s="15">
        <v>90.135527306656513</v>
      </c>
      <c r="BG13" s="15">
        <v>0</v>
      </c>
      <c r="BH13" s="15">
        <v>166.75072551731452</v>
      </c>
      <c r="BI13" s="15">
        <v>0</v>
      </c>
      <c r="BJ13" s="15">
        <v>312.85033976283421</v>
      </c>
      <c r="BK13" s="15">
        <v>434.62093769241346</v>
      </c>
      <c r="BL13" s="15">
        <v>-854.702139201671</v>
      </c>
      <c r="BM13" s="15">
        <v>0.37771233120233905</v>
      </c>
    </row>
    <row r="14" spans="1:65" x14ac:dyDescent="0.4">
      <c r="A14" s="15" t="s">
        <v>10693</v>
      </c>
      <c r="B14" s="15" t="s">
        <v>10436</v>
      </c>
      <c r="C14" s="15" t="s">
        <v>10606</v>
      </c>
      <c r="D14" s="15" t="s">
        <v>10304</v>
      </c>
      <c r="E14" s="15" t="s">
        <v>10696</v>
      </c>
      <c r="F14" s="15">
        <v>3317141</v>
      </c>
      <c r="G14" s="15">
        <v>0.89712450637213792</v>
      </c>
      <c r="H14" s="15">
        <v>200</v>
      </c>
      <c r="I14" s="119">
        <v>1680.1701649125046</v>
      </c>
      <c r="J14" s="117">
        <v>0.37771222977014479</v>
      </c>
      <c r="K14" s="15">
        <v>30</v>
      </c>
      <c r="L14" s="15">
        <v>1245.1145603491473</v>
      </c>
      <c r="M14" s="15">
        <v>159.14410888124749</v>
      </c>
      <c r="N14" s="15">
        <v>13885251.956447791</v>
      </c>
      <c r="O14" s="15">
        <v>2594591.2379558566</v>
      </c>
      <c r="P14" s="15">
        <v>5247115.2183870021</v>
      </c>
      <c r="Q14" s="15">
        <v>6043545.5001049349</v>
      </c>
      <c r="R14" s="15">
        <v>1107348.8435267117</v>
      </c>
      <c r="S14" s="15">
        <v>2320423.4667628054</v>
      </c>
      <c r="T14" s="15">
        <v>2615773.1898154179</v>
      </c>
      <c r="U14" s="15">
        <v>0</v>
      </c>
      <c r="V14" s="15">
        <v>0</v>
      </c>
      <c r="W14" s="15">
        <v>0</v>
      </c>
      <c r="X14" s="15">
        <v>421540975620.60291</v>
      </c>
      <c r="Y14" s="15">
        <v>1801.9406248711923</v>
      </c>
      <c r="Z14" s="15">
        <v>0</v>
      </c>
      <c r="AA14" s="15">
        <v>1802.684</v>
      </c>
      <c r="AB14" s="15">
        <v>0</v>
      </c>
      <c r="AC14" s="15">
        <v>-0.74337512880765577</v>
      </c>
      <c r="AD14" s="15">
        <v>121.77045995868775</v>
      </c>
      <c r="AE14" s="15">
        <v>-1.208673728570555E-3</v>
      </c>
      <c r="AF14" s="15">
        <v>0</v>
      </c>
      <c r="AG14" s="15">
        <v>0</v>
      </c>
      <c r="AH14" s="15">
        <v>0</v>
      </c>
      <c r="AI14" s="15">
        <v>101.46076875</v>
      </c>
      <c r="AJ14" s="15">
        <v>0</v>
      </c>
      <c r="AK14" s="15">
        <v>9.2464741649253546E-4</v>
      </c>
      <c r="AL14" s="15">
        <v>0</v>
      </c>
      <c r="AM14" s="15">
        <v>20.309975235000007</v>
      </c>
      <c r="AN14" s="15">
        <v>-163.8075518533997</v>
      </c>
      <c r="AO14" s="15">
        <v>1680.1701649125046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5">
        <v>312.8503594236862</v>
      </c>
      <c r="AV14" s="15">
        <v>35.849081282822247</v>
      </c>
      <c r="AW14" s="15">
        <v>35.849081282822247</v>
      </c>
      <c r="AX14" s="15">
        <v>0</v>
      </c>
      <c r="AY14" s="15">
        <v>0</v>
      </c>
      <c r="AZ14" s="15">
        <v>20.115005656040907</v>
      </c>
      <c r="BA14" s="15">
        <v>0</v>
      </c>
      <c r="BB14" s="15">
        <v>8.3812523566837118</v>
      </c>
      <c r="BC14" s="15">
        <v>11.733753299357195</v>
      </c>
      <c r="BD14" s="15">
        <v>0</v>
      </c>
      <c r="BE14" s="15">
        <v>256.88627248482305</v>
      </c>
      <c r="BF14" s="15">
        <v>90.135534205201083</v>
      </c>
      <c r="BG14" s="15">
        <v>0</v>
      </c>
      <c r="BH14" s="15">
        <v>166.750738279622</v>
      </c>
      <c r="BI14" s="15">
        <v>0</v>
      </c>
      <c r="BJ14" s="15">
        <v>312.8503594236862</v>
      </c>
      <c r="BK14" s="15">
        <v>434.62081938237395</v>
      </c>
      <c r="BL14" s="15">
        <v>-854.70198004913152</v>
      </c>
      <c r="BM14" s="15">
        <v>0.37771222977014479</v>
      </c>
    </row>
    <row r="15" spans="1:65" x14ac:dyDescent="0.4">
      <c r="A15" s="15" t="s">
        <v>10693</v>
      </c>
      <c r="B15" s="15" t="s">
        <v>10436</v>
      </c>
      <c r="C15" s="15" t="s">
        <v>10606</v>
      </c>
      <c r="D15" s="15" t="s">
        <v>10305</v>
      </c>
      <c r="E15" s="15" t="s">
        <v>10697</v>
      </c>
      <c r="F15" s="15">
        <v>3317141</v>
      </c>
      <c r="G15" s="15">
        <v>0.89712450637213792</v>
      </c>
      <c r="H15" s="15">
        <v>200</v>
      </c>
      <c r="I15" s="119">
        <v>1680.1726001610352</v>
      </c>
      <c r="J15" s="117">
        <v>0.37366491570070454</v>
      </c>
      <c r="K15" s="15">
        <v>30</v>
      </c>
      <c r="L15" s="15">
        <v>665.56908571117276</v>
      </c>
      <c r="M15" s="15">
        <v>118.83981004775855</v>
      </c>
      <c r="N15" s="15">
        <v>13885251.956447791</v>
      </c>
      <c r="O15" s="15">
        <v>1957612.2470797922</v>
      </c>
      <c r="P15" s="15">
        <v>5474607.7151284544</v>
      </c>
      <c r="Q15" s="15">
        <v>6453031.9942395464</v>
      </c>
      <c r="R15" s="15">
        <v>1107348.8435267117</v>
      </c>
      <c r="S15" s="15">
        <v>2729909.9608974182</v>
      </c>
      <c r="T15" s="15">
        <v>2615773.1898154179</v>
      </c>
      <c r="U15" s="15">
        <v>0</v>
      </c>
      <c r="V15" s="15">
        <v>0</v>
      </c>
      <c r="W15" s="15">
        <v>0</v>
      </c>
      <c r="X15" s="15">
        <v>0</v>
      </c>
      <c r="Y15" s="15">
        <v>1801.9424383816947</v>
      </c>
      <c r="Z15" s="15">
        <v>0</v>
      </c>
      <c r="AA15" s="15">
        <v>1802.684</v>
      </c>
      <c r="AB15" s="15">
        <v>0</v>
      </c>
      <c r="AC15" s="15">
        <v>-0.74156161830520728</v>
      </c>
      <c r="AD15" s="15">
        <v>121.76983822065949</v>
      </c>
      <c r="AE15" s="15">
        <v>-9.0576434033597228E-4</v>
      </c>
      <c r="AF15" s="15">
        <v>0</v>
      </c>
      <c r="AG15" s="15">
        <v>0</v>
      </c>
      <c r="AH15" s="15">
        <v>0</v>
      </c>
      <c r="AI15" s="15">
        <v>101.46076875</v>
      </c>
      <c r="AJ15" s="15">
        <v>0</v>
      </c>
      <c r="AK15" s="15">
        <v>0</v>
      </c>
      <c r="AL15" s="15">
        <v>0</v>
      </c>
      <c r="AM15" s="15">
        <v>20.309975235000007</v>
      </c>
      <c r="AN15" s="15">
        <v>-164.2073095678237</v>
      </c>
      <c r="AO15" s="15">
        <v>1680.1726001610352</v>
      </c>
      <c r="AP15" s="15">
        <v>0</v>
      </c>
      <c r="AQ15" s="15">
        <v>0</v>
      </c>
      <c r="AR15" s="15">
        <v>0</v>
      </c>
      <c r="AS15" s="15">
        <v>0</v>
      </c>
      <c r="AT15" s="15">
        <v>0</v>
      </c>
      <c r="AU15" s="15">
        <v>306.05171478114733</v>
      </c>
      <c r="AV15" s="15">
        <v>34.467793702572685</v>
      </c>
      <c r="AW15" s="15">
        <v>34.467793702572685</v>
      </c>
      <c r="AX15" s="15">
        <v>0</v>
      </c>
      <c r="AY15" s="15">
        <v>0</v>
      </c>
      <c r="AZ15" s="15">
        <v>14.698802226597703</v>
      </c>
      <c r="BA15" s="15">
        <v>0</v>
      </c>
      <c r="BB15" s="15">
        <v>6.1245009277490432</v>
      </c>
      <c r="BC15" s="15">
        <v>8.5743012988486598</v>
      </c>
      <c r="BD15" s="15">
        <v>0</v>
      </c>
      <c r="BE15" s="15">
        <v>256.88511885197693</v>
      </c>
      <c r="BF15" s="15">
        <v>90.135129421746285</v>
      </c>
      <c r="BG15" s="15">
        <v>0</v>
      </c>
      <c r="BH15" s="15">
        <v>166.74998943023061</v>
      </c>
      <c r="BI15" s="15">
        <v>0</v>
      </c>
      <c r="BJ15" s="15">
        <v>306.05171478114733</v>
      </c>
      <c r="BK15" s="15">
        <v>427.82155300180682</v>
      </c>
      <c r="BL15" s="15">
        <v>-847.62088423164857</v>
      </c>
      <c r="BM15" s="15">
        <v>0.37366491570070454</v>
      </c>
    </row>
    <row r="16" spans="1:65" x14ac:dyDescent="0.4">
      <c r="A16" s="15" t="s">
        <v>10693</v>
      </c>
      <c r="B16" s="15" t="s">
        <v>10436</v>
      </c>
      <c r="C16" s="15" t="s">
        <v>10606</v>
      </c>
      <c r="D16" s="15" t="s">
        <v>10306</v>
      </c>
      <c r="E16" s="15" t="s">
        <v>10698</v>
      </c>
      <c r="F16" s="15">
        <v>3317141</v>
      </c>
      <c r="G16" s="15">
        <v>0.89712450637213792</v>
      </c>
      <c r="H16" s="15">
        <v>200</v>
      </c>
      <c r="I16" s="119">
        <v>1662.2538131007343</v>
      </c>
      <c r="J16" s="117">
        <v>0.39144906069311508</v>
      </c>
      <c r="K16" s="15">
        <v>30</v>
      </c>
      <c r="L16" s="15">
        <v>646.64489370000763</v>
      </c>
      <c r="M16" s="15">
        <v>115.94758963563142</v>
      </c>
      <c r="N16" s="15">
        <v>13885251.956447791</v>
      </c>
      <c r="O16" s="15">
        <v>3182673.3140672906</v>
      </c>
      <c r="P16" s="15">
        <v>4676552.8589316178</v>
      </c>
      <c r="Q16" s="15">
        <v>6026025.7834488871</v>
      </c>
      <c r="R16" s="15">
        <v>1107348.8435267117</v>
      </c>
      <c r="S16" s="15">
        <v>0</v>
      </c>
      <c r="T16" s="15">
        <v>4918676.9399221754</v>
      </c>
      <c r="U16" s="15">
        <v>0</v>
      </c>
      <c r="V16" s="15">
        <v>0</v>
      </c>
      <c r="W16" s="15">
        <v>0</v>
      </c>
      <c r="X16" s="15">
        <v>0</v>
      </c>
      <c r="Y16" s="15">
        <v>1801.9043751988938</v>
      </c>
      <c r="Z16" s="15">
        <v>0</v>
      </c>
      <c r="AA16" s="15">
        <v>1802.684</v>
      </c>
      <c r="AB16" s="15">
        <v>0</v>
      </c>
      <c r="AC16" s="15">
        <v>-0.77962480110613297</v>
      </c>
      <c r="AD16" s="15">
        <v>139.65056209815953</v>
      </c>
      <c r="AE16" s="15">
        <v>-9.0576434033597228E-4</v>
      </c>
      <c r="AF16" s="15">
        <v>0</v>
      </c>
      <c r="AG16" s="15">
        <v>0</v>
      </c>
      <c r="AH16" s="15">
        <v>0</v>
      </c>
      <c r="AI16" s="15">
        <v>101.46076875</v>
      </c>
      <c r="AJ16" s="15">
        <v>0</v>
      </c>
      <c r="AK16" s="15">
        <v>0</v>
      </c>
      <c r="AL16" s="15">
        <v>0</v>
      </c>
      <c r="AM16" s="15">
        <v>38.190699112500006</v>
      </c>
      <c r="AN16" s="15">
        <v>-179.12534580739745</v>
      </c>
      <c r="AO16" s="15">
        <v>1662.2538131007343</v>
      </c>
      <c r="AP16" s="15">
        <v>0</v>
      </c>
      <c r="AQ16" s="15">
        <v>0</v>
      </c>
      <c r="AR16" s="15">
        <v>0</v>
      </c>
      <c r="AS16" s="15">
        <v>0</v>
      </c>
      <c r="AT16" s="15">
        <v>0</v>
      </c>
      <c r="AU16" s="15">
        <v>311.03713167367175</v>
      </c>
      <c r="AV16" s="15">
        <v>39.613860994161591</v>
      </c>
      <c r="AW16" s="15">
        <v>39.613860994161591</v>
      </c>
      <c r="AX16" s="15">
        <v>0</v>
      </c>
      <c r="AY16" s="15">
        <v>0</v>
      </c>
      <c r="AZ16" s="15">
        <v>14.538211991673787</v>
      </c>
      <c r="BA16" s="15">
        <v>0</v>
      </c>
      <c r="BB16" s="15">
        <v>6.0575883298640782</v>
      </c>
      <c r="BC16" s="15">
        <v>8.4806236618097088</v>
      </c>
      <c r="BD16" s="15">
        <v>0</v>
      </c>
      <c r="BE16" s="15">
        <v>256.88505868783636</v>
      </c>
      <c r="BF16" s="15">
        <v>90.135108311521535</v>
      </c>
      <c r="BG16" s="15">
        <v>0</v>
      </c>
      <c r="BH16" s="15">
        <v>166.74995037631481</v>
      </c>
      <c r="BI16" s="15">
        <v>0</v>
      </c>
      <c r="BJ16" s="15">
        <v>311.03713167367175</v>
      </c>
      <c r="BK16" s="15">
        <v>450.68769377183128</v>
      </c>
      <c r="BL16" s="15">
        <v>-835.61646275058786</v>
      </c>
      <c r="BM16" s="15">
        <v>0.39144906069311508</v>
      </c>
    </row>
    <row r="17" spans="1:65" x14ac:dyDescent="0.4">
      <c r="A17" s="15" t="s">
        <v>10693</v>
      </c>
      <c r="B17" s="15" t="s">
        <v>10436</v>
      </c>
      <c r="C17" s="15" t="s">
        <v>10606</v>
      </c>
      <c r="D17" s="15" t="s">
        <v>10307</v>
      </c>
      <c r="E17" s="15" t="s">
        <v>10699</v>
      </c>
      <c r="F17" s="15">
        <v>3317141</v>
      </c>
      <c r="G17" s="15">
        <v>0.89712450637213792</v>
      </c>
      <c r="H17" s="15">
        <v>200</v>
      </c>
      <c r="I17" s="119">
        <v>1320.7101231274355</v>
      </c>
      <c r="J17" s="120">
        <v>0.78182975620748896</v>
      </c>
      <c r="K17" s="15">
        <v>30</v>
      </c>
      <c r="L17" s="15">
        <v>4054.5774732336968</v>
      </c>
      <c r="M17" s="15">
        <v>372.88752005541562</v>
      </c>
      <c r="N17" s="15">
        <v>13885251.956447791</v>
      </c>
      <c r="O17" s="15">
        <v>10147338.710468953</v>
      </c>
      <c r="P17" s="15">
        <v>2555580.6225842177</v>
      </c>
      <c r="Q17" s="15">
        <v>1182332.6233946225</v>
      </c>
      <c r="R17" s="15">
        <v>1182332.6233946225</v>
      </c>
      <c r="S17" s="15">
        <v>0</v>
      </c>
      <c r="T17" s="15">
        <v>0</v>
      </c>
      <c r="U17" s="15">
        <v>9049774986.8471146</v>
      </c>
      <c r="V17" s="15">
        <v>0</v>
      </c>
      <c r="W17" s="15">
        <v>0</v>
      </c>
      <c r="X17" s="15">
        <v>0</v>
      </c>
      <c r="Y17" s="15">
        <v>1801.7766085718592</v>
      </c>
      <c r="Z17" s="15">
        <v>0</v>
      </c>
      <c r="AA17" s="15">
        <v>1802.684</v>
      </c>
      <c r="AB17" s="15">
        <v>0</v>
      </c>
      <c r="AC17" s="15">
        <v>-0.90739142814080331</v>
      </c>
      <c r="AD17" s="15">
        <v>481.06648544442373</v>
      </c>
      <c r="AE17" s="15">
        <v>3.9972757405824146E-3</v>
      </c>
      <c r="AF17" s="15">
        <v>0</v>
      </c>
      <c r="AG17" s="15">
        <v>0</v>
      </c>
      <c r="AH17" s="15">
        <v>1.1368017823452055E-3</v>
      </c>
      <c r="AI17" s="15">
        <v>123.00035822944251</v>
      </c>
      <c r="AJ17" s="15">
        <v>358.06099313745824</v>
      </c>
      <c r="AK17" s="15">
        <v>0</v>
      </c>
      <c r="AL17" s="15">
        <v>0</v>
      </c>
      <c r="AM17" s="15">
        <v>0</v>
      </c>
      <c r="AN17" s="15">
        <v>-530.16423841484084</v>
      </c>
      <c r="AO17" s="15">
        <v>1320.7101231274355</v>
      </c>
      <c r="AP17" s="15">
        <v>5.1340775229276204E-3</v>
      </c>
      <c r="AQ17" s="15">
        <v>3.9972757405824146E-3</v>
      </c>
      <c r="AR17" s="15">
        <v>0</v>
      </c>
      <c r="AS17" s="15">
        <v>0</v>
      </c>
      <c r="AT17" s="15">
        <v>1.1368017823452055E-3</v>
      </c>
      <c r="AU17" s="15">
        <v>351.49885406353906</v>
      </c>
      <c r="AV17" s="15">
        <v>59.589502147500106</v>
      </c>
      <c r="AW17" s="15">
        <v>59.589502147500106</v>
      </c>
      <c r="AX17" s="15">
        <v>0</v>
      </c>
      <c r="AY17" s="15">
        <v>0</v>
      </c>
      <c r="AZ17" s="15">
        <v>35.01811690763968</v>
      </c>
      <c r="BA17" s="15">
        <v>0</v>
      </c>
      <c r="BB17" s="15">
        <v>14.590882044849867</v>
      </c>
      <c r="BC17" s="15">
        <v>20.427234862789813</v>
      </c>
      <c r="BD17" s="15">
        <v>0</v>
      </c>
      <c r="BE17" s="15">
        <v>256.89123500839924</v>
      </c>
      <c r="BF17" s="15">
        <v>90.137275441543579</v>
      </c>
      <c r="BG17" s="15">
        <v>0</v>
      </c>
      <c r="BH17" s="15">
        <v>166.75395956685563</v>
      </c>
      <c r="BI17" s="15">
        <v>0</v>
      </c>
      <c r="BJ17" s="15">
        <v>351.503988141062</v>
      </c>
      <c r="BK17" s="15">
        <v>832.57047358548573</v>
      </c>
      <c r="BL17" s="15">
        <v>-1138.954846786648</v>
      </c>
      <c r="BM17" s="15">
        <v>0.78182975620748896</v>
      </c>
    </row>
    <row r="18" spans="1:65" x14ac:dyDescent="0.4">
      <c r="A18" s="15" t="s">
        <v>10693</v>
      </c>
      <c r="B18" s="15" t="s">
        <v>10436</v>
      </c>
      <c r="C18" s="15" t="s">
        <v>10606</v>
      </c>
      <c r="D18" s="15" t="s">
        <v>10308</v>
      </c>
      <c r="E18" s="15" t="s">
        <v>10700</v>
      </c>
      <c r="F18" s="15">
        <v>3317141</v>
      </c>
      <c r="G18" s="15">
        <v>0.89712450637213792</v>
      </c>
      <c r="H18" s="15">
        <v>200</v>
      </c>
      <c r="I18" s="119">
        <v>1320.7101231274355</v>
      </c>
      <c r="J18" s="120">
        <v>0.78182975620748896</v>
      </c>
      <c r="K18" s="15">
        <v>30</v>
      </c>
      <c r="L18" s="15">
        <v>4054.5774732336968</v>
      </c>
      <c r="M18" s="15">
        <v>372.88752005541562</v>
      </c>
      <c r="N18" s="15">
        <v>13885251.956447791</v>
      </c>
      <c r="O18" s="15">
        <v>10147338.710468953</v>
      </c>
      <c r="P18" s="15">
        <v>2555580.6225842177</v>
      </c>
      <c r="Q18" s="15">
        <v>1182332.6233946225</v>
      </c>
      <c r="R18" s="15">
        <v>1182332.6233946225</v>
      </c>
      <c r="S18" s="15">
        <v>0</v>
      </c>
      <c r="T18" s="15">
        <v>0</v>
      </c>
      <c r="U18" s="15">
        <v>9049774986.8471146</v>
      </c>
      <c r="V18" s="15">
        <v>0</v>
      </c>
      <c r="W18" s="15">
        <v>0</v>
      </c>
      <c r="X18" s="15">
        <v>0</v>
      </c>
      <c r="Y18" s="15">
        <v>1801.7766085718592</v>
      </c>
      <c r="Z18" s="15">
        <v>0</v>
      </c>
      <c r="AA18" s="15">
        <v>1802.684</v>
      </c>
      <c r="AB18" s="15">
        <v>0</v>
      </c>
      <c r="AC18" s="15">
        <v>-0.90739142814080331</v>
      </c>
      <c r="AD18" s="15">
        <v>481.06648544442373</v>
      </c>
      <c r="AE18" s="15">
        <v>3.9972757405824146E-3</v>
      </c>
      <c r="AF18" s="15">
        <v>0</v>
      </c>
      <c r="AG18" s="15">
        <v>0</v>
      </c>
      <c r="AH18" s="15">
        <v>1.1368017823452055E-3</v>
      </c>
      <c r="AI18" s="15">
        <v>123.00035822944251</v>
      </c>
      <c r="AJ18" s="15">
        <v>358.06099313745824</v>
      </c>
      <c r="AK18" s="15">
        <v>0</v>
      </c>
      <c r="AL18" s="15">
        <v>0</v>
      </c>
      <c r="AM18" s="15">
        <v>0</v>
      </c>
      <c r="AN18" s="15">
        <v>-530.16423841484084</v>
      </c>
      <c r="AO18" s="15">
        <v>1320.7101231274355</v>
      </c>
      <c r="AP18" s="15">
        <v>5.1340775229276204E-3</v>
      </c>
      <c r="AQ18" s="15">
        <v>3.9972757405824146E-3</v>
      </c>
      <c r="AR18" s="15">
        <v>0</v>
      </c>
      <c r="AS18" s="15">
        <v>0</v>
      </c>
      <c r="AT18" s="15">
        <v>1.1368017823452055E-3</v>
      </c>
      <c r="AU18" s="15">
        <v>351.49885406353906</v>
      </c>
      <c r="AV18" s="15">
        <v>59.589502147500106</v>
      </c>
      <c r="AW18" s="15">
        <v>59.589502147500106</v>
      </c>
      <c r="AX18" s="15">
        <v>0</v>
      </c>
      <c r="AY18" s="15">
        <v>0</v>
      </c>
      <c r="AZ18" s="15">
        <v>35.01811690763968</v>
      </c>
      <c r="BA18" s="15">
        <v>0</v>
      </c>
      <c r="BB18" s="15">
        <v>14.590882044849867</v>
      </c>
      <c r="BC18" s="15">
        <v>20.427234862789813</v>
      </c>
      <c r="BD18" s="15">
        <v>0</v>
      </c>
      <c r="BE18" s="15">
        <v>256.89123500839924</v>
      </c>
      <c r="BF18" s="15">
        <v>90.137275441543579</v>
      </c>
      <c r="BG18" s="15">
        <v>0</v>
      </c>
      <c r="BH18" s="15">
        <v>166.75395956685563</v>
      </c>
      <c r="BI18" s="15">
        <v>0</v>
      </c>
      <c r="BJ18" s="15">
        <v>351.503988141062</v>
      </c>
      <c r="BK18" s="15">
        <v>832.57047358548573</v>
      </c>
      <c r="BL18" s="15">
        <v>-1138.954846786648</v>
      </c>
      <c r="BM18" s="15">
        <v>0.78182975620748896</v>
      </c>
    </row>
    <row r="19" spans="1:65" s="56" customFormat="1" x14ac:dyDescent="0.4">
      <c r="A19" s="55" t="s">
        <v>10693</v>
      </c>
      <c r="B19" s="55" t="s">
        <v>10436</v>
      </c>
      <c r="C19" s="55" t="s">
        <v>10690</v>
      </c>
      <c r="D19" s="55" t="s">
        <v>10307</v>
      </c>
      <c r="E19" s="55" t="s">
        <v>10701</v>
      </c>
      <c r="F19" s="55">
        <v>3317141</v>
      </c>
      <c r="G19" s="55">
        <v>0.89712450637213792</v>
      </c>
      <c r="H19" s="55">
        <v>200</v>
      </c>
      <c r="I19" s="55">
        <v>1320.7101231274355</v>
      </c>
      <c r="J19" s="92">
        <v>0.78182975620748896</v>
      </c>
      <c r="K19" s="55">
        <v>30</v>
      </c>
      <c r="L19" s="55">
        <v>4054.5774732336968</v>
      </c>
      <c r="M19" s="55">
        <v>372.88752005541562</v>
      </c>
      <c r="N19" s="55">
        <v>13885251.956447791</v>
      </c>
      <c r="O19" s="55">
        <v>10147338.710468953</v>
      </c>
      <c r="P19" s="55">
        <v>2555580.6225842177</v>
      </c>
      <c r="Q19" s="55">
        <v>1182332.6233946225</v>
      </c>
      <c r="R19" s="55">
        <v>1182332.6233946225</v>
      </c>
      <c r="S19" s="55">
        <v>0</v>
      </c>
      <c r="T19" s="55">
        <v>0</v>
      </c>
      <c r="U19" s="55">
        <v>9049774986.8471146</v>
      </c>
      <c r="V19" s="55">
        <v>0</v>
      </c>
      <c r="W19" s="55">
        <v>0</v>
      </c>
      <c r="X19" s="55">
        <v>0</v>
      </c>
      <c r="Y19" s="55">
        <v>1801.7766085718592</v>
      </c>
      <c r="Z19" s="55">
        <v>0</v>
      </c>
      <c r="AA19" s="55">
        <v>1802.684</v>
      </c>
      <c r="AB19" s="55">
        <v>0</v>
      </c>
      <c r="AC19" s="55">
        <v>-0.90739142814080331</v>
      </c>
      <c r="AD19" s="55">
        <v>481.06648544442373</v>
      </c>
      <c r="AE19" s="55">
        <v>3.9972757405824146E-3</v>
      </c>
      <c r="AF19" s="55">
        <v>0</v>
      </c>
      <c r="AG19" s="55">
        <v>0</v>
      </c>
      <c r="AH19" s="55">
        <v>1.1368017823452055E-3</v>
      </c>
      <c r="AI19" s="55">
        <v>123.00035822944251</v>
      </c>
      <c r="AJ19" s="55">
        <v>358.06099313745824</v>
      </c>
      <c r="AK19" s="55">
        <v>0</v>
      </c>
      <c r="AL19" s="55">
        <v>0</v>
      </c>
      <c r="AM19" s="55">
        <v>0</v>
      </c>
      <c r="AN19" s="55">
        <v>-530.16423841484084</v>
      </c>
      <c r="AO19" s="55">
        <v>1320.7101231274355</v>
      </c>
      <c r="AP19" s="55">
        <v>5.1340775229276204E-3</v>
      </c>
      <c r="AQ19" s="55">
        <v>3.9972757405824146E-3</v>
      </c>
      <c r="AR19" s="55">
        <v>0</v>
      </c>
      <c r="AS19" s="55">
        <v>0</v>
      </c>
      <c r="AT19" s="55">
        <v>1.1368017823452055E-3</v>
      </c>
      <c r="AU19" s="55">
        <v>351.49885406353906</v>
      </c>
      <c r="AV19" s="55">
        <v>59.589502147500106</v>
      </c>
      <c r="AW19" s="55">
        <v>59.589502147500106</v>
      </c>
      <c r="AX19" s="55">
        <v>0</v>
      </c>
      <c r="AY19" s="55">
        <v>0</v>
      </c>
      <c r="AZ19" s="55">
        <v>35.01811690763968</v>
      </c>
      <c r="BA19" s="55">
        <v>0</v>
      </c>
      <c r="BB19" s="55">
        <v>14.590882044849867</v>
      </c>
      <c r="BC19" s="55">
        <v>20.427234862789813</v>
      </c>
      <c r="BD19" s="55">
        <v>0</v>
      </c>
      <c r="BE19" s="55">
        <v>256.89123500839924</v>
      </c>
      <c r="BF19" s="55">
        <v>90.137275441543579</v>
      </c>
      <c r="BG19" s="55">
        <v>0</v>
      </c>
      <c r="BH19" s="55">
        <v>166.75395956685563</v>
      </c>
      <c r="BI19" s="55">
        <v>0</v>
      </c>
      <c r="BJ19" s="55">
        <v>351.503988141062</v>
      </c>
      <c r="BK19" s="55">
        <v>832.57047358548573</v>
      </c>
      <c r="BL19" s="55">
        <v>-1138.954846786648</v>
      </c>
      <c r="BM19" s="55">
        <v>0.78182975620748896</v>
      </c>
    </row>
    <row r="20" spans="1:65" s="52" customFormat="1" x14ac:dyDescent="0.4">
      <c r="A20" s="51" t="s">
        <v>10693</v>
      </c>
      <c r="B20" s="51" t="s">
        <v>10692</v>
      </c>
      <c r="C20" s="51" t="s">
        <v>9780</v>
      </c>
      <c r="D20" s="51" t="s">
        <v>9780</v>
      </c>
      <c r="E20" s="51" t="s">
        <v>9999</v>
      </c>
      <c r="F20" s="51">
        <f>F19</f>
        <v>3317141</v>
      </c>
      <c r="G20" s="51">
        <f>G19</f>
        <v>0.89712450637213792</v>
      </c>
      <c r="H20" s="51">
        <f>(H19*N19)/(N19)</f>
        <v>200</v>
      </c>
      <c r="I20" s="51">
        <f>(I19*N19)/(N19)</f>
        <v>1320.7101231274355</v>
      </c>
      <c r="J20" s="93">
        <f>(H20+AD20+AE20+AF20+AG20+AH20+AU20)/(I20)</f>
        <v>0.78182975620748896</v>
      </c>
      <c r="K20" s="51">
        <f t="shared" ref="K20:W20" si="1">K19</f>
        <v>30</v>
      </c>
      <c r="L20" s="51">
        <f t="shared" si="1"/>
        <v>4054.5774732336968</v>
      </c>
      <c r="M20" s="51">
        <f t="shared" si="1"/>
        <v>372.88752005541562</v>
      </c>
      <c r="N20" s="51">
        <f t="shared" si="1"/>
        <v>13885251.956447791</v>
      </c>
      <c r="O20" s="51">
        <f t="shared" si="1"/>
        <v>10147338.710468953</v>
      </c>
      <c r="P20" s="51">
        <f t="shared" si="1"/>
        <v>2555580.6225842177</v>
      </c>
      <c r="Q20" s="51">
        <f t="shared" si="1"/>
        <v>1182332.6233946225</v>
      </c>
      <c r="R20" s="51">
        <f t="shared" si="1"/>
        <v>1182332.6233946225</v>
      </c>
      <c r="S20" s="51">
        <f t="shared" si="1"/>
        <v>0</v>
      </c>
      <c r="T20" s="51">
        <f t="shared" si="1"/>
        <v>0</v>
      </c>
      <c r="U20" s="51">
        <f t="shared" si="1"/>
        <v>9049774986.8471146</v>
      </c>
      <c r="V20" s="51">
        <f t="shared" si="1"/>
        <v>0</v>
      </c>
      <c r="W20" s="51">
        <f t="shared" si="1"/>
        <v>0</v>
      </c>
      <c r="X20" s="51">
        <f>(X19*N19)/(N19)</f>
        <v>0</v>
      </c>
      <c r="Y20" s="51">
        <f>(Y19*N19)/(N19)</f>
        <v>1801.7766085718592</v>
      </c>
      <c r="Z20" s="51">
        <f>(Z19*N19)/(N19)</f>
        <v>0</v>
      </c>
      <c r="AA20" s="51">
        <f>(AA19*N19)/(N19)</f>
        <v>1802.6839999999997</v>
      </c>
      <c r="AB20" s="51">
        <f>(AB19*N19)/(N19)</f>
        <v>0</v>
      </c>
      <c r="AC20" s="51">
        <f>(AC19*N19)/(N19)</f>
        <v>-0.9073914281408032</v>
      </c>
      <c r="AD20" s="51">
        <f>(AD19*N19)/(N19)</f>
        <v>481.06648544442373</v>
      </c>
      <c r="AE20" s="51">
        <f>(AE19*N19)/(N19)</f>
        <v>3.9972757405824146E-3</v>
      </c>
      <c r="AF20" s="51">
        <f>(AF19*N19)/(N19)</f>
        <v>0</v>
      </c>
      <c r="AG20" s="51">
        <f>(AG19*N19)/(N19)</f>
        <v>0</v>
      </c>
      <c r="AH20" s="51">
        <f>(AH19*N19)/(N19)</f>
        <v>1.1368017823452055E-3</v>
      </c>
      <c r="AI20" s="51">
        <f>(AI19*N19)/(N19)</f>
        <v>123.00035822944251</v>
      </c>
      <c r="AJ20" s="51">
        <f>(AJ19*N19)/(N19)</f>
        <v>358.06099313745824</v>
      </c>
      <c r="AK20" s="51">
        <f>(AK19*N19)/(N19)</f>
        <v>0</v>
      </c>
      <c r="AL20" s="51">
        <f>(AL19*N19)/(N19)</f>
        <v>0</v>
      </c>
      <c r="AM20" s="51">
        <f>(AM19*N19)/(N19)</f>
        <v>0</v>
      </c>
      <c r="AN20" s="51">
        <f>(AN19*N19)/(N19)</f>
        <v>-530.16423841484084</v>
      </c>
      <c r="AO20" s="51">
        <f>(AO19*N19)/(N19)</f>
        <v>1320.7101231274355</v>
      </c>
      <c r="AP20" s="51">
        <f>(AP19*N19)/(N19)</f>
        <v>5.1340775229276204E-3</v>
      </c>
      <c r="AQ20" s="51">
        <f>(AQ19*N19)/(N19)</f>
        <v>3.9972757405824146E-3</v>
      </c>
      <c r="AR20" s="51">
        <f>(AR19*N19)/(N19)</f>
        <v>0</v>
      </c>
      <c r="AS20" s="51">
        <f>(AS19*N19)/(N19)</f>
        <v>0</v>
      </c>
      <c r="AT20" s="51">
        <f>(AT19*N19)/(N19)</f>
        <v>1.1368017823452055E-3</v>
      </c>
      <c r="AU20" s="51">
        <f>(AU19*N19)/(N19)</f>
        <v>351.49885406353906</v>
      </c>
      <c r="AV20" s="51">
        <f>(AV19*N19)/(N19)</f>
        <v>59.589502147500106</v>
      </c>
      <c r="AW20" s="51">
        <f>(AW19*N19)/(N19)</f>
        <v>59.589502147500106</v>
      </c>
      <c r="AX20" s="51">
        <f>(AX19*N19)/(N19)</f>
        <v>0</v>
      </c>
      <c r="AY20" s="51">
        <f>(AY19*N19)/(N19)</f>
        <v>0</v>
      </c>
      <c r="AZ20" s="51">
        <f>(AZ19*N19)/(N19)</f>
        <v>35.01811690763968</v>
      </c>
      <c r="BA20" s="51">
        <f>(BA19*N19)/(N19)</f>
        <v>0</v>
      </c>
      <c r="BB20" s="51">
        <f>(BB19*N19)/(N19)</f>
        <v>14.590882044849867</v>
      </c>
      <c r="BC20" s="51">
        <f>(BC19*N19)/(N19)</f>
        <v>20.427234862789813</v>
      </c>
      <c r="BD20" s="51">
        <f>(BD19*N19)/(N19)</f>
        <v>0</v>
      </c>
      <c r="BE20" s="51">
        <f>(BE19*N19)/(N19)</f>
        <v>256.89123500839924</v>
      </c>
      <c r="BF20" s="51">
        <f>(BF19*N19)/(N19)</f>
        <v>90.137275441543579</v>
      </c>
      <c r="BG20" s="51">
        <f>(BG19*N19)/(N19)</f>
        <v>0</v>
      </c>
      <c r="BH20" s="51">
        <f>(BH19*N19)/(N19)</f>
        <v>166.75395956685563</v>
      </c>
      <c r="BI20" s="51">
        <f>(BI19*N19)/(N19)</f>
        <v>0</v>
      </c>
      <c r="BJ20" s="51">
        <f>(BJ19*N19)/(N19)</f>
        <v>351.503988141062</v>
      </c>
      <c r="BK20" s="51">
        <f>(BK19*N19)/(N19)</f>
        <v>832.57047358548573</v>
      </c>
      <c r="BL20" s="51">
        <f>(BL19*N19)/(N19)</f>
        <v>-1138.954846786648</v>
      </c>
      <c r="BM20" s="51">
        <f>(BM19*N19)/(N19)</f>
        <v>0.78182975620748896</v>
      </c>
    </row>
    <row r="21" spans="1:65" x14ac:dyDescent="0.4">
      <c r="A21" s="15" t="s">
        <v>10702</v>
      </c>
      <c r="B21" s="15" t="s">
        <v>10436</v>
      </c>
      <c r="C21" s="15" t="s">
        <v>10606</v>
      </c>
      <c r="D21" s="15" t="s">
        <v>10302</v>
      </c>
      <c r="E21" s="15" t="s">
        <v>10703</v>
      </c>
      <c r="F21" s="15">
        <v>3317141</v>
      </c>
      <c r="G21" s="15">
        <v>0.89712450637213792</v>
      </c>
      <c r="H21" s="15">
        <v>200</v>
      </c>
      <c r="I21" s="119">
        <v>2343.3312623827355</v>
      </c>
      <c r="J21" s="120">
        <v>0.5145546333600084</v>
      </c>
      <c r="K21" s="15">
        <v>30</v>
      </c>
      <c r="L21" s="15">
        <v>1069.6113325807171</v>
      </c>
      <c r="M21" s="15">
        <v>453.7695362047578</v>
      </c>
      <c r="N21" s="15">
        <v>13885251.956447791</v>
      </c>
      <c r="O21" s="15">
        <v>2594591.2379558566</v>
      </c>
      <c r="P21" s="15">
        <v>5247115.2183870021</v>
      </c>
      <c r="Q21" s="15">
        <v>6043545.5001049349</v>
      </c>
      <c r="R21" s="15">
        <v>1107348.8435267117</v>
      </c>
      <c r="S21" s="15">
        <v>2320423.4667628054</v>
      </c>
      <c r="T21" s="15">
        <v>2615773.1898154179</v>
      </c>
      <c r="U21" s="15">
        <v>0</v>
      </c>
      <c r="V21" s="15">
        <v>1686163902.4824116</v>
      </c>
      <c r="W21" s="15">
        <v>0</v>
      </c>
      <c r="X21" s="15">
        <v>0</v>
      </c>
      <c r="Y21" s="15">
        <v>2489.1961193506709</v>
      </c>
      <c r="Z21" s="15">
        <v>0</v>
      </c>
      <c r="AA21" s="15">
        <v>1802.684</v>
      </c>
      <c r="AB21" s="15">
        <v>686.45399999999995</v>
      </c>
      <c r="AC21" s="15">
        <v>5.8119350670865016E-2</v>
      </c>
      <c r="AD21" s="15">
        <v>145.86485696793534</v>
      </c>
      <c r="AE21" s="15">
        <v>1.0636862190742653E-3</v>
      </c>
      <c r="AF21" s="15">
        <v>0</v>
      </c>
      <c r="AG21" s="15">
        <v>0</v>
      </c>
      <c r="AH21" s="15">
        <v>7.3513630676536783E-4</v>
      </c>
      <c r="AI21" s="15">
        <v>101.46076875</v>
      </c>
      <c r="AJ21" s="15">
        <v>44.402289395409142</v>
      </c>
      <c r="AK21" s="15">
        <v>0</v>
      </c>
      <c r="AL21" s="15">
        <v>0</v>
      </c>
      <c r="AM21" s="15">
        <v>0</v>
      </c>
      <c r="AN21" s="15">
        <v>2509.7468447984015</v>
      </c>
      <c r="AO21" s="15">
        <v>2343.3312623827355</v>
      </c>
      <c r="AP21" s="15">
        <v>1.7988225258396332E-3</v>
      </c>
      <c r="AQ21" s="15">
        <v>1.0636862190742653E-3</v>
      </c>
      <c r="AR21" s="15">
        <v>0</v>
      </c>
      <c r="AS21" s="15">
        <v>0</v>
      </c>
      <c r="AT21" s="15">
        <v>7.3513630676536783E-4</v>
      </c>
      <c r="AU21" s="15">
        <v>859.9053027659329</v>
      </c>
      <c r="AV21" s="15">
        <v>489.25991487249985</v>
      </c>
      <c r="AW21" s="15">
        <v>489.25991487249985</v>
      </c>
      <c r="AX21" s="15">
        <v>0</v>
      </c>
      <c r="AY21" s="15">
        <v>0</v>
      </c>
      <c r="AZ21" s="15">
        <v>15.935197218172386</v>
      </c>
      <c r="BA21" s="15">
        <v>0</v>
      </c>
      <c r="BB21" s="15">
        <v>6.6396655075718272</v>
      </c>
      <c r="BC21" s="15">
        <v>9.2955317106005584</v>
      </c>
      <c r="BD21" s="15">
        <v>0</v>
      </c>
      <c r="BE21" s="15">
        <v>354.71019067526061</v>
      </c>
      <c r="BF21" s="15">
        <v>124.45971602640724</v>
      </c>
      <c r="BG21" s="15">
        <v>0</v>
      </c>
      <c r="BH21" s="15">
        <v>230.25047464885336</v>
      </c>
      <c r="BI21" s="15">
        <v>0</v>
      </c>
      <c r="BJ21" s="15">
        <v>859.90710158845877</v>
      </c>
      <c r="BK21" s="15">
        <v>1005.7719585563941</v>
      </c>
      <c r="BL21" s="15">
        <v>20745.480210778445</v>
      </c>
      <c r="BM21" s="15">
        <v>0.5145546333600084</v>
      </c>
    </row>
    <row r="22" spans="1:65" x14ac:dyDescent="0.4">
      <c r="A22" s="15" t="s">
        <v>10702</v>
      </c>
      <c r="B22" s="15" t="s">
        <v>10436</v>
      </c>
      <c r="C22" s="15" t="s">
        <v>10606</v>
      </c>
      <c r="D22" s="15" t="s">
        <v>10303</v>
      </c>
      <c r="E22" s="15" t="s">
        <v>10704</v>
      </c>
      <c r="F22" s="15">
        <v>3317141</v>
      </c>
      <c r="G22" s="15">
        <v>0.89712450637213792</v>
      </c>
      <c r="H22" s="15">
        <v>200</v>
      </c>
      <c r="I22" s="119">
        <v>2387.7360142844373</v>
      </c>
      <c r="J22" s="117">
        <v>0.48638786272508933</v>
      </c>
      <c r="K22" s="15">
        <v>30</v>
      </c>
      <c r="L22" s="15">
        <v>1069.6113325807171</v>
      </c>
      <c r="M22" s="15">
        <v>453.7695362047578</v>
      </c>
      <c r="N22" s="15">
        <v>13885251.956447791</v>
      </c>
      <c r="O22" s="15">
        <v>2594591.2379558566</v>
      </c>
      <c r="P22" s="15">
        <v>5247115.2183870021</v>
      </c>
      <c r="Q22" s="15">
        <v>6043545.5001049349</v>
      </c>
      <c r="R22" s="15">
        <v>1107348.8435267117</v>
      </c>
      <c r="S22" s="15">
        <v>2320423.4667628054</v>
      </c>
      <c r="T22" s="15">
        <v>2615773.1898154179</v>
      </c>
      <c r="U22" s="15">
        <v>0</v>
      </c>
      <c r="V22" s="15">
        <v>0</v>
      </c>
      <c r="W22" s="15">
        <v>421540975.62060291</v>
      </c>
      <c r="X22" s="15">
        <v>0</v>
      </c>
      <c r="Y22" s="15">
        <v>2489.1961193506709</v>
      </c>
      <c r="Z22" s="15">
        <v>0</v>
      </c>
      <c r="AA22" s="15">
        <v>1802.684</v>
      </c>
      <c r="AB22" s="15">
        <v>686.45399999999995</v>
      </c>
      <c r="AC22" s="15">
        <v>5.8119350670865016E-2</v>
      </c>
      <c r="AD22" s="15">
        <v>101.46010506623361</v>
      </c>
      <c r="AE22" s="15">
        <v>-1.208673728570555E-3</v>
      </c>
      <c r="AF22" s="15">
        <v>4.3676162534609815E-5</v>
      </c>
      <c r="AG22" s="15">
        <v>9.4294729047446696E-5</v>
      </c>
      <c r="AH22" s="15">
        <v>0</v>
      </c>
      <c r="AI22" s="15">
        <v>101.46076875</v>
      </c>
      <c r="AJ22" s="15">
        <v>0</v>
      </c>
      <c r="AK22" s="15">
        <v>4.0701907078128312E-4</v>
      </c>
      <c r="AL22" s="15">
        <v>0</v>
      </c>
      <c r="AM22" s="15">
        <v>0</v>
      </c>
      <c r="AN22" s="15">
        <v>1745.7198660186534</v>
      </c>
      <c r="AO22" s="15">
        <v>2387.7360142844373</v>
      </c>
      <c r="AP22" s="15">
        <v>0</v>
      </c>
      <c r="AQ22" s="15">
        <v>0</v>
      </c>
      <c r="AR22" s="15">
        <v>0</v>
      </c>
      <c r="AS22" s="15">
        <v>0</v>
      </c>
      <c r="AT22" s="15">
        <v>0</v>
      </c>
      <c r="AU22" s="15">
        <v>859.90571167329722</v>
      </c>
      <c r="AV22" s="15">
        <v>489.25991487249985</v>
      </c>
      <c r="AW22" s="15">
        <v>489.25991487249985</v>
      </c>
      <c r="AX22" s="15">
        <v>0</v>
      </c>
      <c r="AY22" s="15">
        <v>0</v>
      </c>
      <c r="AZ22" s="15">
        <v>15.935197218172386</v>
      </c>
      <c r="BA22" s="15">
        <v>0</v>
      </c>
      <c r="BB22" s="15">
        <v>6.6396655075718272</v>
      </c>
      <c r="BC22" s="15">
        <v>9.2955317106005584</v>
      </c>
      <c r="BD22" s="15">
        <v>0</v>
      </c>
      <c r="BE22" s="15">
        <v>354.71059958262492</v>
      </c>
      <c r="BF22" s="15">
        <v>124.45985950267541</v>
      </c>
      <c r="BG22" s="15">
        <v>0</v>
      </c>
      <c r="BH22" s="15">
        <v>230.25074007994951</v>
      </c>
      <c r="BI22" s="15">
        <v>0</v>
      </c>
      <c r="BJ22" s="15">
        <v>859.90571167329722</v>
      </c>
      <c r="BK22" s="15">
        <v>961.36581673953083</v>
      </c>
      <c r="BL22" s="15">
        <v>19981.429317155438</v>
      </c>
      <c r="BM22" s="15">
        <v>0.48638786272508933</v>
      </c>
    </row>
    <row r="23" spans="1:65" x14ac:dyDescent="0.4">
      <c r="A23" s="15" t="s">
        <v>10702</v>
      </c>
      <c r="B23" s="15" t="s">
        <v>10436</v>
      </c>
      <c r="C23" s="15" t="s">
        <v>10606</v>
      </c>
      <c r="D23" s="15" t="s">
        <v>10304</v>
      </c>
      <c r="E23" s="15" t="s">
        <v>10705</v>
      </c>
      <c r="F23" s="15">
        <v>3317141</v>
      </c>
      <c r="G23" s="15">
        <v>0.89712450637213792</v>
      </c>
      <c r="H23" s="15">
        <v>200</v>
      </c>
      <c r="I23" s="119">
        <v>2387.7361522553288</v>
      </c>
      <c r="J23" s="117">
        <v>0.48638778507102925</v>
      </c>
      <c r="K23" s="15">
        <v>30</v>
      </c>
      <c r="L23" s="15">
        <v>1069.6113325807171</v>
      </c>
      <c r="M23" s="15">
        <v>453.7695362047578</v>
      </c>
      <c r="N23" s="15">
        <v>13885251.956447791</v>
      </c>
      <c r="O23" s="15">
        <v>2594591.2379558566</v>
      </c>
      <c r="P23" s="15">
        <v>5247115.2183870021</v>
      </c>
      <c r="Q23" s="15">
        <v>6043545.5001049349</v>
      </c>
      <c r="R23" s="15">
        <v>1107348.8435267117</v>
      </c>
      <c r="S23" s="15">
        <v>2320423.4667628054</v>
      </c>
      <c r="T23" s="15">
        <v>2615773.1898154179</v>
      </c>
      <c r="U23" s="15">
        <v>0</v>
      </c>
      <c r="V23" s="15">
        <v>0</v>
      </c>
      <c r="W23" s="15">
        <v>0</v>
      </c>
      <c r="X23" s="15">
        <v>421540975620.60291</v>
      </c>
      <c r="Y23" s="15">
        <v>2489.1961193506709</v>
      </c>
      <c r="Z23" s="15">
        <v>0</v>
      </c>
      <c r="AA23" s="15">
        <v>1802.684</v>
      </c>
      <c r="AB23" s="15">
        <v>686.45399999999995</v>
      </c>
      <c r="AC23" s="15">
        <v>5.8119350670865016E-2</v>
      </c>
      <c r="AD23" s="15">
        <v>101.45996709534211</v>
      </c>
      <c r="AE23" s="15">
        <v>-1.208673728570555E-3</v>
      </c>
      <c r="AF23" s="15">
        <v>0</v>
      </c>
      <c r="AG23" s="15">
        <v>0</v>
      </c>
      <c r="AH23" s="15">
        <v>0</v>
      </c>
      <c r="AI23" s="15">
        <v>101.46076875</v>
      </c>
      <c r="AJ23" s="15">
        <v>0</v>
      </c>
      <c r="AK23" s="15">
        <v>4.0701907078128312E-4</v>
      </c>
      <c r="AL23" s="15">
        <v>0</v>
      </c>
      <c r="AM23" s="15">
        <v>0</v>
      </c>
      <c r="AN23" s="15">
        <v>1745.7174920951682</v>
      </c>
      <c r="AO23" s="15">
        <v>2387.7361522553288</v>
      </c>
      <c r="AP23" s="15">
        <v>0</v>
      </c>
      <c r="AQ23" s="15">
        <v>0</v>
      </c>
      <c r="AR23" s="15">
        <v>0</v>
      </c>
      <c r="AS23" s="15">
        <v>0</v>
      </c>
      <c r="AT23" s="15">
        <v>0</v>
      </c>
      <c r="AU23" s="15">
        <v>859.9057313341491</v>
      </c>
      <c r="AV23" s="15">
        <v>489.25991487249985</v>
      </c>
      <c r="AW23" s="15">
        <v>489.25991487249985</v>
      </c>
      <c r="AX23" s="15">
        <v>0</v>
      </c>
      <c r="AY23" s="15">
        <v>0</v>
      </c>
      <c r="AZ23" s="15">
        <v>15.935197218172386</v>
      </c>
      <c r="BA23" s="15">
        <v>0</v>
      </c>
      <c r="BB23" s="15">
        <v>6.6396655075718272</v>
      </c>
      <c r="BC23" s="15">
        <v>9.2955317106005584</v>
      </c>
      <c r="BD23" s="15">
        <v>0</v>
      </c>
      <c r="BE23" s="15">
        <v>354.71061924347691</v>
      </c>
      <c r="BF23" s="15">
        <v>124.45986640121998</v>
      </c>
      <c r="BG23" s="15">
        <v>0</v>
      </c>
      <c r="BH23" s="15">
        <v>230.25075284225696</v>
      </c>
      <c r="BI23" s="15">
        <v>0</v>
      </c>
      <c r="BJ23" s="15">
        <v>859.9057313341491</v>
      </c>
      <c r="BK23" s="15">
        <v>961.3656984294912</v>
      </c>
      <c r="BL23" s="15">
        <v>19981.427281516048</v>
      </c>
      <c r="BM23" s="15">
        <v>0.48638778507102925</v>
      </c>
    </row>
    <row r="24" spans="1:65" x14ac:dyDescent="0.4">
      <c r="A24" s="15" t="s">
        <v>10702</v>
      </c>
      <c r="B24" s="15" t="s">
        <v>10436</v>
      </c>
      <c r="C24" s="15" t="s">
        <v>10606</v>
      </c>
      <c r="D24" s="15" t="s">
        <v>10305</v>
      </c>
      <c r="E24" s="15" t="s">
        <v>10706</v>
      </c>
      <c r="F24" s="15">
        <v>3317141</v>
      </c>
      <c r="G24" s="15">
        <v>0.89712450637213792</v>
      </c>
      <c r="H24" s="15">
        <v>200</v>
      </c>
      <c r="I24" s="119">
        <v>2387.7299349737423</v>
      </c>
      <c r="J24" s="117">
        <v>0.47870472569612049</v>
      </c>
      <c r="K24" s="15">
        <v>30</v>
      </c>
      <c r="L24" s="15">
        <v>484.67135196861574</v>
      </c>
      <c r="M24" s="15">
        <v>426.63653403590149</v>
      </c>
      <c r="N24" s="15">
        <v>13885251.956447791</v>
      </c>
      <c r="O24" s="15">
        <v>1957612.2470797922</v>
      </c>
      <c r="P24" s="15">
        <v>5474607.7151284544</v>
      </c>
      <c r="Q24" s="15">
        <v>6453031.9942395464</v>
      </c>
      <c r="R24" s="15">
        <v>1107348.8435267117</v>
      </c>
      <c r="S24" s="15">
        <v>2729909.9608974182</v>
      </c>
      <c r="T24" s="15">
        <v>2615773.1898154179</v>
      </c>
      <c r="U24" s="15">
        <v>0</v>
      </c>
      <c r="V24" s="15">
        <v>0</v>
      </c>
      <c r="W24" s="15">
        <v>0</v>
      </c>
      <c r="X24" s="15">
        <v>0</v>
      </c>
      <c r="Y24" s="15">
        <v>2489.1897979594028</v>
      </c>
      <c r="Z24" s="15">
        <v>0</v>
      </c>
      <c r="AA24" s="15">
        <v>1802.684</v>
      </c>
      <c r="AB24" s="15">
        <v>686.45399999999995</v>
      </c>
      <c r="AC24" s="15">
        <v>5.179795940265354E-2</v>
      </c>
      <c r="AD24" s="15">
        <v>101.45986298566049</v>
      </c>
      <c r="AE24" s="15">
        <v>-9.0576434033597228E-4</v>
      </c>
      <c r="AF24" s="15">
        <v>0</v>
      </c>
      <c r="AG24" s="15">
        <v>0</v>
      </c>
      <c r="AH24" s="15">
        <v>0</v>
      </c>
      <c r="AI24" s="15">
        <v>101.46076875</v>
      </c>
      <c r="AJ24" s="15">
        <v>0</v>
      </c>
      <c r="AK24" s="15">
        <v>0</v>
      </c>
      <c r="AL24" s="15">
        <v>0</v>
      </c>
      <c r="AM24" s="15">
        <v>0</v>
      </c>
      <c r="AN24" s="15">
        <v>1958.7617766359892</v>
      </c>
      <c r="AO24" s="15">
        <v>2387.7299349737423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5">
        <v>841.55774057236044</v>
      </c>
      <c r="AV24" s="15">
        <v>476.37484914999993</v>
      </c>
      <c r="AW24" s="15">
        <v>476.37484914999993</v>
      </c>
      <c r="AX24" s="15">
        <v>0</v>
      </c>
      <c r="AY24" s="15">
        <v>0</v>
      </c>
      <c r="AZ24" s="15">
        <v>10.473216141727274</v>
      </c>
      <c r="BA24" s="15">
        <v>0</v>
      </c>
      <c r="BB24" s="15">
        <v>4.3638400590530306</v>
      </c>
      <c r="BC24" s="15">
        <v>6.1093760826742436</v>
      </c>
      <c r="BD24" s="15">
        <v>0</v>
      </c>
      <c r="BE24" s="15">
        <v>354.70967528063329</v>
      </c>
      <c r="BF24" s="15">
        <v>124.45953518618713</v>
      </c>
      <c r="BG24" s="15">
        <v>0</v>
      </c>
      <c r="BH24" s="15">
        <v>230.25014009444618</v>
      </c>
      <c r="BI24" s="15">
        <v>0</v>
      </c>
      <c r="BJ24" s="15">
        <v>841.55774057236044</v>
      </c>
      <c r="BK24" s="15">
        <v>943.01760355802094</v>
      </c>
      <c r="BL24" s="15">
        <v>22065.846198954041</v>
      </c>
      <c r="BM24" s="15">
        <v>0.47870472569612049</v>
      </c>
    </row>
    <row r="25" spans="1:65" x14ac:dyDescent="0.4">
      <c r="A25" s="15" t="s">
        <v>10702</v>
      </c>
      <c r="B25" s="15" t="s">
        <v>10436</v>
      </c>
      <c r="C25" s="15" t="s">
        <v>10606</v>
      </c>
      <c r="D25" s="15" t="s">
        <v>10306</v>
      </c>
      <c r="E25" s="15" t="s">
        <v>10707</v>
      </c>
      <c r="F25" s="15">
        <v>3317141</v>
      </c>
      <c r="G25" s="15">
        <v>0.89712450637213792</v>
      </c>
      <c r="H25" s="15">
        <v>200</v>
      </c>
      <c r="I25" s="119">
        <v>2387.7243511364677</v>
      </c>
      <c r="J25" s="117">
        <v>0.4976362748680187</v>
      </c>
      <c r="K25" s="15">
        <v>30</v>
      </c>
      <c r="L25" s="15">
        <v>484.67135196861574</v>
      </c>
      <c r="M25" s="15">
        <v>377.53875776508772</v>
      </c>
      <c r="N25" s="15">
        <v>13885251.956447791</v>
      </c>
      <c r="O25" s="15">
        <v>3182673.3140672906</v>
      </c>
      <c r="P25" s="15">
        <v>4676552.8589316178</v>
      </c>
      <c r="Q25" s="15">
        <v>6026025.7834488871</v>
      </c>
      <c r="R25" s="15">
        <v>1107348.8435267117</v>
      </c>
      <c r="S25" s="15">
        <v>0</v>
      </c>
      <c r="T25" s="15">
        <v>4918676.9399221754</v>
      </c>
      <c r="U25" s="15">
        <v>0</v>
      </c>
      <c r="V25" s="15">
        <v>0</v>
      </c>
      <c r="W25" s="15">
        <v>0</v>
      </c>
      <c r="X25" s="15">
        <v>0</v>
      </c>
      <c r="Y25" s="15">
        <v>2489.1842141221277</v>
      </c>
      <c r="Z25" s="15">
        <v>0</v>
      </c>
      <c r="AA25" s="15">
        <v>1802.684</v>
      </c>
      <c r="AB25" s="15">
        <v>686.45399999999995</v>
      </c>
      <c r="AC25" s="15">
        <v>4.621412212765609E-2</v>
      </c>
      <c r="AD25" s="15">
        <v>101.45986298566004</v>
      </c>
      <c r="AE25" s="15">
        <v>-9.0576434033597228E-4</v>
      </c>
      <c r="AF25" s="15">
        <v>0</v>
      </c>
      <c r="AG25" s="15">
        <v>0</v>
      </c>
      <c r="AH25" s="15">
        <v>0</v>
      </c>
      <c r="AI25" s="15">
        <v>101.46076875</v>
      </c>
      <c r="AJ25" s="15">
        <v>0</v>
      </c>
      <c r="AK25" s="15">
        <v>0</v>
      </c>
      <c r="AL25" s="15">
        <v>0</v>
      </c>
      <c r="AM25" s="15">
        <v>0</v>
      </c>
      <c r="AN25" s="15">
        <v>2195.4298451326208</v>
      </c>
      <c r="AO25" s="15">
        <v>2387.7243511364677</v>
      </c>
      <c r="AP25" s="15">
        <v>0</v>
      </c>
      <c r="AQ25" s="15">
        <v>0</v>
      </c>
      <c r="AR25" s="15">
        <v>0</v>
      </c>
      <c r="AS25" s="15">
        <v>0</v>
      </c>
      <c r="AT25" s="15">
        <v>0</v>
      </c>
      <c r="AU25" s="15">
        <v>886.75838852554875</v>
      </c>
      <c r="AV25" s="15">
        <v>521.57629279999992</v>
      </c>
      <c r="AW25" s="15">
        <v>521.57629279999992</v>
      </c>
      <c r="AX25" s="15">
        <v>0</v>
      </c>
      <c r="AY25" s="15">
        <v>0</v>
      </c>
      <c r="AZ25" s="15">
        <v>10.473216141727274</v>
      </c>
      <c r="BA25" s="15">
        <v>0</v>
      </c>
      <c r="BB25" s="15">
        <v>4.3638400590530306</v>
      </c>
      <c r="BC25" s="15">
        <v>6.1093760826742436</v>
      </c>
      <c r="BD25" s="15">
        <v>0</v>
      </c>
      <c r="BE25" s="15">
        <v>354.70887958382167</v>
      </c>
      <c r="BF25" s="15">
        <v>124.4592559943234</v>
      </c>
      <c r="BG25" s="15">
        <v>0</v>
      </c>
      <c r="BH25" s="15">
        <v>230.24962358949827</v>
      </c>
      <c r="BI25" s="15">
        <v>0</v>
      </c>
      <c r="BJ25" s="15">
        <v>886.75838852554875</v>
      </c>
      <c r="BK25" s="15">
        <v>988.21825151120879</v>
      </c>
      <c r="BL25" s="15">
        <v>25710.150548938782</v>
      </c>
      <c r="BM25" s="15">
        <v>0.4976362748680187</v>
      </c>
    </row>
    <row r="26" spans="1:65" x14ac:dyDescent="0.4">
      <c r="A26" s="15" t="s">
        <v>10702</v>
      </c>
      <c r="B26" s="15" t="s">
        <v>10436</v>
      </c>
      <c r="C26" s="15" t="s">
        <v>10606</v>
      </c>
      <c r="D26" s="15" t="s">
        <v>10307</v>
      </c>
      <c r="E26" s="15" t="s">
        <v>10708</v>
      </c>
      <c r="F26" s="15">
        <v>3317141</v>
      </c>
      <c r="G26" s="15">
        <v>0.89712450637213792</v>
      </c>
      <c r="H26" s="15">
        <v>200</v>
      </c>
      <c r="I26" s="119">
        <v>2112.0434589899769</v>
      </c>
      <c r="J26" s="120">
        <v>0.76004656123430092</v>
      </c>
      <c r="K26" s="15">
        <v>30</v>
      </c>
      <c r="L26" s="15">
        <v>3945.5572393000493</v>
      </c>
      <c r="M26" s="15">
        <v>512.20139624188789</v>
      </c>
      <c r="N26" s="15">
        <v>13885251.956447791</v>
      </c>
      <c r="O26" s="15">
        <v>10147338.710468953</v>
      </c>
      <c r="P26" s="15">
        <v>2555580.6225842177</v>
      </c>
      <c r="Q26" s="15">
        <v>1182332.6233946225</v>
      </c>
      <c r="R26" s="15">
        <v>1182332.6233946225</v>
      </c>
      <c r="S26" s="15">
        <v>0</v>
      </c>
      <c r="T26" s="15">
        <v>0</v>
      </c>
      <c r="U26" s="15">
        <v>9049774986.8471146</v>
      </c>
      <c r="V26" s="15">
        <v>0</v>
      </c>
      <c r="W26" s="15">
        <v>0</v>
      </c>
      <c r="X26" s="15">
        <v>0</v>
      </c>
      <c r="Y26" s="15">
        <v>2489.2199509475008</v>
      </c>
      <c r="Z26" s="15">
        <v>0</v>
      </c>
      <c r="AA26" s="15">
        <v>1802.684</v>
      </c>
      <c r="AB26" s="15">
        <v>686.45399999999995</v>
      </c>
      <c r="AC26" s="15">
        <v>8.1950947500943505E-2</v>
      </c>
      <c r="AD26" s="15">
        <v>377.17649195752392</v>
      </c>
      <c r="AE26" s="15">
        <v>3.9972517681841555E-3</v>
      </c>
      <c r="AF26" s="15">
        <v>0</v>
      </c>
      <c r="AG26" s="15">
        <v>0</v>
      </c>
      <c r="AH26" s="15">
        <v>1.1367952269571162E-3</v>
      </c>
      <c r="AI26" s="15">
        <v>123.00035822944251</v>
      </c>
      <c r="AJ26" s="15">
        <v>254.17099968108604</v>
      </c>
      <c r="AK26" s="15">
        <v>0</v>
      </c>
      <c r="AL26" s="15">
        <v>0</v>
      </c>
      <c r="AM26" s="15">
        <v>0</v>
      </c>
      <c r="AN26" s="15">
        <v>4602.4665175857972</v>
      </c>
      <c r="AO26" s="15">
        <v>2112.0434589899769</v>
      </c>
      <c r="AP26" s="15">
        <v>5.1340469951412712E-3</v>
      </c>
      <c r="AQ26" s="15">
        <v>3.9972517681841555E-3</v>
      </c>
      <c r="AR26" s="15">
        <v>0</v>
      </c>
      <c r="AS26" s="15">
        <v>0</v>
      </c>
      <c r="AT26" s="15">
        <v>1.1367952269571162E-3</v>
      </c>
      <c r="AU26" s="15">
        <v>1028.0697421782111</v>
      </c>
      <c r="AV26" s="15">
        <v>641.70714129999999</v>
      </c>
      <c r="AW26" s="15">
        <v>641.70714129999999</v>
      </c>
      <c r="AX26" s="15">
        <v>0</v>
      </c>
      <c r="AY26" s="15">
        <v>0</v>
      </c>
      <c r="AZ26" s="15">
        <v>31.649489469889229</v>
      </c>
      <c r="BA26" s="15">
        <v>0</v>
      </c>
      <c r="BB26" s="15">
        <v>13.187287279120511</v>
      </c>
      <c r="BC26" s="15">
        <v>18.462202190768718</v>
      </c>
      <c r="BD26" s="15">
        <v>0</v>
      </c>
      <c r="BE26" s="15">
        <v>354.71311140832199</v>
      </c>
      <c r="BF26" s="15">
        <v>124.46074084502527</v>
      </c>
      <c r="BG26" s="15">
        <v>0</v>
      </c>
      <c r="BH26" s="15">
        <v>230.25237056329675</v>
      </c>
      <c r="BI26" s="15">
        <v>0</v>
      </c>
      <c r="BJ26" s="15">
        <v>1028.0748762252063</v>
      </c>
      <c r="BK26" s="15">
        <v>1405.2513681827302</v>
      </c>
      <c r="BL26" s="15">
        <v>19586.953734936975</v>
      </c>
      <c r="BM26" s="15">
        <v>0.76004656123430092</v>
      </c>
    </row>
    <row r="27" spans="1:65" x14ac:dyDescent="0.4">
      <c r="A27" s="15" t="s">
        <v>10702</v>
      </c>
      <c r="B27" s="15" t="s">
        <v>10436</v>
      </c>
      <c r="C27" s="15" t="s">
        <v>10606</v>
      </c>
      <c r="D27" s="15" t="s">
        <v>10308</v>
      </c>
      <c r="E27" s="15" t="s">
        <v>10709</v>
      </c>
      <c r="F27" s="15">
        <v>3317141</v>
      </c>
      <c r="G27" s="15">
        <v>0.89712450637213792</v>
      </c>
      <c r="H27" s="15">
        <v>200</v>
      </c>
      <c r="I27" s="119">
        <v>2112.0434589899769</v>
      </c>
      <c r="J27" s="120">
        <v>0.76004656123430092</v>
      </c>
      <c r="K27" s="15">
        <v>30</v>
      </c>
      <c r="L27" s="15">
        <v>3945.5572393000493</v>
      </c>
      <c r="M27" s="15">
        <v>512.20139624188789</v>
      </c>
      <c r="N27" s="15">
        <v>13885251.956447791</v>
      </c>
      <c r="O27" s="15">
        <v>10147338.710468953</v>
      </c>
      <c r="P27" s="15">
        <v>2555580.6225842177</v>
      </c>
      <c r="Q27" s="15">
        <v>1182332.6233946225</v>
      </c>
      <c r="R27" s="15">
        <v>1182332.6233946225</v>
      </c>
      <c r="S27" s="15">
        <v>0</v>
      </c>
      <c r="T27" s="15">
        <v>0</v>
      </c>
      <c r="U27" s="15">
        <v>9049774986.8471146</v>
      </c>
      <c r="V27" s="15">
        <v>0</v>
      </c>
      <c r="W27" s="15">
        <v>0</v>
      </c>
      <c r="X27" s="15">
        <v>0</v>
      </c>
      <c r="Y27" s="15">
        <v>2489.2199509475008</v>
      </c>
      <c r="Z27" s="15">
        <v>0</v>
      </c>
      <c r="AA27" s="15">
        <v>1802.684</v>
      </c>
      <c r="AB27" s="15">
        <v>686.45399999999995</v>
      </c>
      <c r="AC27" s="15">
        <v>8.1950947500943505E-2</v>
      </c>
      <c r="AD27" s="15">
        <v>377.17649195752392</v>
      </c>
      <c r="AE27" s="15">
        <v>3.9972517681841555E-3</v>
      </c>
      <c r="AF27" s="15">
        <v>0</v>
      </c>
      <c r="AG27" s="15">
        <v>0</v>
      </c>
      <c r="AH27" s="15">
        <v>1.1367952269571162E-3</v>
      </c>
      <c r="AI27" s="15">
        <v>123.00035822944251</v>
      </c>
      <c r="AJ27" s="15">
        <v>254.17099968108604</v>
      </c>
      <c r="AK27" s="15">
        <v>0</v>
      </c>
      <c r="AL27" s="15">
        <v>0</v>
      </c>
      <c r="AM27" s="15">
        <v>0</v>
      </c>
      <c r="AN27" s="15">
        <v>4602.4665175857972</v>
      </c>
      <c r="AO27" s="15">
        <v>2112.0434589899769</v>
      </c>
      <c r="AP27" s="15">
        <v>5.1340469951412712E-3</v>
      </c>
      <c r="AQ27" s="15">
        <v>3.9972517681841555E-3</v>
      </c>
      <c r="AR27" s="15">
        <v>0</v>
      </c>
      <c r="AS27" s="15">
        <v>0</v>
      </c>
      <c r="AT27" s="15">
        <v>1.1367952269571162E-3</v>
      </c>
      <c r="AU27" s="15">
        <v>1028.0697421782111</v>
      </c>
      <c r="AV27" s="15">
        <v>641.70714129999999</v>
      </c>
      <c r="AW27" s="15">
        <v>641.70714129999999</v>
      </c>
      <c r="AX27" s="15">
        <v>0</v>
      </c>
      <c r="AY27" s="15">
        <v>0</v>
      </c>
      <c r="AZ27" s="15">
        <v>31.649489469889229</v>
      </c>
      <c r="BA27" s="15">
        <v>0</v>
      </c>
      <c r="BB27" s="15">
        <v>13.187287279120511</v>
      </c>
      <c r="BC27" s="15">
        <v>18.462202190768718</v>
      </c>
      <c r="BD27" s="15">
        <v>0</v>
      </c>
      <c r="BE27" s="15">
        <v>354.71311140832199</v>
      </c>
      <c r="BF27" s="15">
        <v>124.46074084502527</v>
      </c>
      <c r="BG27" s="15">
        <v>0</v>
      </c>
      <c r="BH27" s="15">
        <v>230.25237056329675</v>
      </c>
      <c r="BI27" s="15">
        <v>0</v>
      </c>
      <c r="BJ27" s="15">
        <v>1028.0748762252063</v>
      </c>
      <c r="BK27" s="15">
        <v>1405.2513681827302</v>
      </c>
      <c r="BL27" s="15">
        <v>19586.953734936975</v>
      </c>
      <c r="BM27" s="15">
        <v>0.76004656123430092</v>
      </c>
    </row>
    <row r="28" spans="1:65" s="56" customFormat="1" x14ac:dyDescent="0.4">
      <c r="A28" s="55" t="s">
        <v>10702</v>
      </c>
      <c r="B28" s="55" t="s">
        <v>10436</v>
      </c>
      <c r="C28" s="55" t="s">
        <v>10690</v>
      </c>
      <c r="D28" s="55" t="s">
        <v>10307</v>
      </c>
      <c r="E28" s="55" t="s">
        <v>10710</v>
      </c>
      <c r="F28" s="55">
        <v>3317141</v>
      </c>
      <c r="G28" s="55">
        <v>0.89712450637213792</v>
      </c>
      <c r="H28" s="55">
        <v>200</v>
      </c>
      <c r="I28" s="55">
        <v>2112.0434589899769</v>
      </c>
      <c r="J28" s="92">
        <v>0.76004656123430092</v>
      </c>
      <c r="K28" s="55">
        <v>30</v>
      </c>
      <c r="L28" s="55">
        <v>3945.5572393000493</v>
      </c>
      <c r="M28" s="55">
        <v>512.20139624188789</v>
      </c>
      <c r="N28" s="55">
        <v>13885251.956447791</v>
      </c>
      <c r="O28" s="55">
        <v>10147338.710468953</v>
      </c>
      <c r="P28" s="55">
        <v>2555580.6225842177</v>
      </c>
      <c r="Q28" s="55">
        <v>1182332.6233946225</v>
      </c>
      <c r="R28" s="55">
        <v>1182332.6233946225</v>
      </c>
      <c r="S28" s="55">
        <v>0</v>
      </c>
      <c r="T28" s="55">
        <v>0</v>
      </c>
      <c r="U28" s="55">
        <v>9049774986.8471146</v>
      </c>
      <c r="V28" s="55">
        <v>0</v>
      </c>
      <c r="W28" s="55">
        <v>0</v>
      </c>
      <c r="X28" s="55">
        <v>0</v>
      </c>
      <c r="Y28" s="55">
        <v>2489.2199509475008</v>
      </c>
      <c r="Z28" s="55">
        <v>0</v>
      </c>
      <c r="AA28" s="55">
        <v>1802.684</v>
      </c>
      <c r="AB28" s="55">
        <v>686.45399999999995</v>
      </c>
      <c r="AC28" s="55">
        <v>8.1950947500943505E-2</v>
      </c>
      <c r="AD28" s="55">
        <v>377.17649195752392</v>
      </c>
      <c r="AE28" s="55">
        <v>3.9972517681841555E-3</v>
      </c>
      <c r="AF28" s="55">
        <v>0</v>
      </c>
      <c r="AG28" s="55">
        <v>0</v>
      </c>
      <c r="AH28" s="55">
        <v>1.1367952269571162E-3</v>
      </c>
      <c r="AI28" s="55">
        <v>123.00035822944251</v>
      </c>
      <c r="AJ28" s="55">
        <v>254.17099968108604</v>
      </c>
      <c r="AK28" s="55">
        <v>0</v>
      </c>
      <c r="AL28" s="55">
        <v>0</v>
      </c>
      <c r="AM28" s="55">
        <v>0</v>
      </c>
      <c r="AN28" s="55">
        <v>4602.4665175857972</v>
      </c>
      <c r="AO28" s="55">
        <v>2112.0434589899769</v>
      </c>
      <c r="AP28" s="55">
        <v>5.1340469951412712E-3</v>
      </c>
      <c r="AQ28" s="55">
        <v>3.9972517681841555E-3</v>
      </c>
      <c r="AR28" s="55">
        <v>0</v>
      </c>
      <c r="AS28" s="55">
        <v>0</v>
      </c>
      <c r="AT28" s="55">
        <v>1.1367952269571162E-3</v>
      </c>
      <c r="AU28" s="55">
        <v>1028.0697421782111</v>
      </c>
      <c r="AV28" s="55">
        <v>641.70714129999999</v>
      </c>
      <c r="AW28" s="55">
        <v>641.70714129999999</v>
      </c>
      <c r="AX28" s="55">
        <v>0</v>
      </c>
      <c r="AY28" s="55">
        <v>0</v>
      </c>
      <c r="AZ28" s="55">
        <v>31.649489469889229</v>
      </c>
      <c r="BA28" s="55">
        <v>0</v>
      </c>
      <c r="BB28" s="55">
        <v>13.187287279120511</v>
      </c>
      <c r="BC28" s="55">
        <v>18.462202190768718</v>
      </c>
      <c r="BD28" s="55">
        <v>0</v>
      </c>
      <c r="BE28" s="55">
        <v>354.71311140832199</v>
      </c>
      <c r="BF28" s="55">
        <v>124.46074084502527</v>
      </c>
      <c r="BG28" s="55">
        <v>0</v>
      </c>
      <c r="BH28" s="55">
        <v>230.25237056329675</v>
      </c>
      <c r="BI28" s="55">
        <v>0</v>
      </c>
      <c r="BJ28" s="55">
        <v>1028.0748762252063</v>
      </c>
      <c r="BK28" s="55">
        <v>1405.2513681827302</v>
      </c>
      <c r="BL28" s="55">
        <v>19586.953734936975</v>
      </c>
      <c r="BM28" s="55">
        <v>0.76004656123430092</v>
      </c>
    </row>
    <row r="29" spans="1:65" s="52" customFormat="1" x14ac:dyDescent="0.4">
      <c r="A29" s="51" t="s">
        <v>10702</v>
      </c>
      <c r="B29" s="51" t="s">
        <v>10692</v>
      </c>
      <c r="C29" s="51" t="s">
        <v>9780</v>
      </c>
      <c r="D29" s="51" t="s">
        <v>9780</v>
      </c>
      <c r="E29" s="51" t="s">
        <v>10000</v>
      </c>
      <c r="F29" s="51">
        <f>F28</f>
        <v>3317141</v>
      </c>
      <c r="G29" s="51">
        <f>G28</f>
        <v>0.89712450637213792</v>
      </c>
      <c r="H29" s="51">
        <f>(H28*N28)/(N28)</f>
        <v>200</v>
      </c>
      <c r="I29" s="51">
        <f>(I28*N28)/(N28)</f>
        <v>2112.0434589899769</v>
      </c>
      <c r="J29" s="93">
        <f>(H29+AD29+AE29+AF29+AG29+AH29+AU29)/(I29)</f>
        <v>0.76004656123430092</v>
      </c>
      <c r="K29" s="51">
        <f t="shared" ref="K29:W29" si="2">K28</f>
        <v>30</v>
      </c>
      <c r="L29" s="51">
        <f t="shared" si="2"/>
        <v>3945.5572393000493</v>
      </c>
      <c r="M29" s="51">
        <f t="shared" si="2"/>
        <v>512.20139624188789</v>
      </c>
      <c r="N29" s="51">
        <f t="shared" si="2"/>
        <v>13885251.956447791</v>
      </c>
      <c r="O29" s="51">
        <f t="shared" si="2"/>
        <v>10147338.710468953</v>
      </c>
      <c r="P29" s="51">
        <f t="shared" si="2"/>
        <v>2555580.6225842177</v>
      </c>
      <c r="Q29" s="51">
        <f t="shared" si="2"/>
        <v>1182332.6233946225</v>
      </c>
      <c r="R29" s="51">
        <f t="shared" si="2"/>
        <v>1182332.6233946225</v>
      </c>
      <c r="S29" s="51">
        <f t="shared" si="2"/>
        <v>0</v>
      </c>
      <c r="T29" s="51">
        <f t="shared" si="2"/>
        <v>0</v>
      </c>
      <c r="U29" s="51">
        <f t="shared" si="2"/>
        <v>9049774986.8471146</v>
      </c>
      <c r="V29" s="51">
        <f t="shared" si="2"/>
        <v>0</v>
      </c>
      <c r="W29" s="51">
        <f t="shared" si="2"/>
        <v>0</v>
      </c>
      <c r="X29" s="51">
        <f>(X28*N28)/(N28)</f>
        <v>0</v>
      </c>
      <c r="Y29" s="51">
        <f>(Y28*N28)/(N28)</f>
        <v>2489.2199509475008</v>
      </c>
      <c r="Z29" s="51">
        <f>(Z28*N28)/(N28)</f>
        <v>0</v>
      </c>
      <c r="AA29" s="51">
        <f>(AA28*N28)/(N28)</f>
        <v>1802.6839999999997</v>
      </c>
      <c r="AB29" s="51">
        <f>(AB28*N28)/(N28)</f>
        <v>686.45399999999995</v>
      </c>
      <c r="AC29" s="51">
        <f>(AC28*N28)/(N28)</f>
        <v>8.1950947500943505E-2</v>
      </c>
      <c r="AD29" s="51">
        <f>(AD28*N28)/(N28)</f>
        <v>377.17649195752392</v>
      </c>
      <c r="AE29" s="51">
        <f>(AE28*N28)/(N28)</f>
        <v>3.9972517681841555E-3</v>
      </c>
      <c r="AF29" s="51">
        <f>(AF28*N28)/(N28)</f>
        <v>0</v>
      </c>
      <c r="AG29" s="51">
        <f>(AG28*N28)/(N28)</f>
        <v>0</v>
      </c>
      <c r="AH29" s="51">
        <f>(AH28*N28)/(N28)</f>
        <v>1.1367952269571162E-3</v>
      </c>
      <c r="AI29" s="51">
        <f>(AI28*N28)/(N28)</f>
        <v>123.00035822944251</v>
      </c>
      <c r="AJ29" s="51">
        <f>(AJ28*N28)/(N28)</f>
        <v>254.17099968108604</v>
      </c>
      <c r="AK29" s="51">
        <f>(AK28*N28)/(N28)</f>
        <v>0</v>
      </c>
      <c r="AL29" s="51">
        <f>(AL28*N28)/(N28)</f>
        <v>0</v>
      </c>
      <c r="AM29" s="51">
        <f>(AM28*N28)/(N28)</f>
        <v>0</v>
      </c>
      <c r="AN29" s="51">
        <f>(AN28*N28)/(N28)</f>
        <v>4602.4665175857972</v>
      </c>
      <c r="AO29" s="51">
        <f>(AO28*N28)/(N28)</f>
        <v>2112.0434589899769</v>
      </c>
      <c r="AP29" s="51">
        <f>(AP28*N28)/(N28)</f>
        <v>5.1340469951412712E-3</v>
      </c>
      <c r="AQ29" s="51">
        <f>(AQ28*N28)/(N28)</f>
        <v>3.9972517681841555E-3</v>
      </c>
      <c r="AR29" s="51">
        <f>(AR28*N28)/(N28)</f>
        <v>0</v>
      </c>
      <c r="AS29" s="51">
        <f>(AS28*N28)/(N28)</f>
        <v>0</v>
      </c>
      <c r="AT29" s="51">
        <f>(AT28*N28)/(N28)</f>
        <v>1.1367952269571162E-3</v>
      </c>
      <c r="AU29" s="51">
        <f>(AU28*N28)/(N28)</f>
        <v>1028.0697421782111</v>
      </c>
      <c r="AV29" s="51">
        <f>(AV28*N28)/(N28)</f>
        <v>641.70714129999999</v>
      </c>
      <c r="AW29" s="51">
        <f>(AW28*N28)/(N28)</f>
        <v>641.70714129999999</v>
      </c>
      <c r="AX29" s="51">
        <f>(AX28*N28)/(N28)</f>
        <v>0</v>
      </c>
      <c r="AY29" s="51">
        <f>(AY28*N28)/(N28)</f>
        <v>0</v>
      </c>
      <c r="AZ29" s="51">
        <f>(AZ28*N28)/(N28)</f>
        <v>31.649489469889229</v>
      </c>
      <c r="BA29" s="51">
        <f>(BA28*N28)/(N28)</f>
        <v>0</v>
      </c>
      <c r="BB29" s="51">
        <f>(BB28*N28)/(N28)</f>
        <v>13.187287279120511</v>
      </c>
      <c r="BC29" s="51">
        <f>(BC28*N28)/(N28)</f>
        <v>18.462202190768718</v>
      </c>
      <c r="BD29" s="51">
        <f>(BD28*N28)/(N28)</f>
        <v>0</v>
      </c>
      <c r="BE29" s="51">
        <f>(BE28*N28)/(N28)</f>
        <v>354.71311140832199</v>
      </c>
      <c r="BF29" s="51">
        <f>(BF28*N28)/(N28)</f>
        <v>124.46074084502528</v>
      </c>
      <c r="BG29" s="51">
        <f>(BG28*N28)/(N28)</f>
        <v>0</v>
      </c>
      <c r="BH29" s="51">
        <f>(BH28*N28)/(N28)</f>
        <v>230.25237056329675</v>
      </c>
      <c r="BI29" s="51">
        <f>(BI28*N28)/(N28)</f>
        <v>0</v>
      </c>
      <c r="BJ29" s="51">
        <f>(BJ28*N28)/(N28)</f>
        <v>1028.0748762252063</v>
      </c>
      <c r="BK29" s="51">
        <f>(BK28*N28)/(N28)</f>
        <v>1405.2513681827304</v>
      </c>
      <c r="BL29" s="51">
        <f>(BL28*N28)/(N28)</f>
        <v>19586.953734936975</v>
      </c>
      <c r="BM29" s="51">
        <f>(BM28*N28)/(N28)</f>
        <v>0.76004656123430092</v>
      </c>
    </row>
    <row r="30" spans="1:65" x14ac:dyDescent="0.4">
      <c r="A30" s="15" t="s">
        <v>10682</v>
      </c>
      <c r="B30" s="15" t="s">
        <v>10548</v>
      </c>
      <c r="C30" s="15" t="s">
        <v>10600</v>
      </c>
      <c r="D30" s="15" t="s">
        <v>10302</v>
      </c>
      <c r="E30" s="15" t="s">
        <v>10711</v>
      </c>
      <c r="F30" s="15">
        <v>1963726</v>
      </c>
      <c r="G30" s="15">
        <v>0.89712450607071414</v>
      </c>
      <c r="H30" s="15">
        <v>200</v>
      </c>
      <c r="I30" s="119">
        <v>956.18260140786197</v>
      </c>
      <c r="J30" s="120">
        <v>0.60822012937762637</v>
      </c>
      <c r="K30" s="15">
        <v>30</v>
      </c>
      <c r="L30" s="15">
        <v>848.511130751113</v>
      </c>
      <c r="M30" s="15">
        <v>379.2429506136171</v>
      </c>
      <c r="N30" s="15">
        <v>8219979.275606934</v>
      </c>
      <c r="O30" s="15">
        <v>1535981.2174502737</v>
      </c>
      <c r="P30" s="15">
        <v>3106258.2434331989</v>
      </c>
      <c r="Q30" s="15">
        <v>3577739.8147234609</v>
      </c>
      <c r="R30" s="15">
        <v>655543.34722965304</v>
      </c>
      <c r="S30" s="15">
        <v>1373675.671658596</v>
      </c>
      <c r="T30" s="15">
        <v>1548520.7958352126</v>
      </c>
      <c r="U30" s="15">
        <v>0</v>
      </c>
      <c r="V30" s="15">
        <v>998198115.32089341</v>
      </c>
      <c r="W30" s="15">
        <v>0</v>
      </c>
      <c r="X30" s="15">
        <v>0</v>
      </c>
      <c r="Y30" s="15">
        <v>1102.0474068788569</v>
      </c>
      <c r="Z30" s="15">
        <v>0</v>
      </c>
      <c r="AA30" s="15">
        <v>30.82</v>
      </c>
      <c r="AB30" s="15">
        <v>1072.7070000000001</v>
      </c>
      <c r="AC30" s="15">
        <v>-1.4795931211431432</v>
      </c>
      <c r="AD30" s="15">
        <v>145.86480547099495</v>
      </c>
      <c r="AE30" s="15">
        <v>1.1097715531791384E-3</v>
      </c>
      <c r="AF30" s="15">
        <v>0</v>
      </c>
      <c r="AG30" s="15">
        <v>0</v>
      </c>
      <c r="AH30" s="15">
        <v>1.2417978804473253E-3</v>
      </c>
      <c r="AI30" s="15">
        <v>101.46076874999997</v>
      </c>
      <c r="AJ30" s="15">
        <v>44.401685151561146</v>
      </c>
      <c r="AK30" s="15">
        <v>0</v>
      </c>
      <c r="AL30" s="15">
        <v>0</v>
      </c>
      <c r="AM30" s="15">
        <v>0</v>
      </c>
      <c r="AN30" s="15">
        <v>-98.584403635439216</v>
      </c>
      <c r="AO30" s="15">
        <v>956.18260140786197</v>
      </c>
      <c r="AP30" s="15">
        <v>2.3515694336264637E-3</v>
      </c>
      <c r="AQ30" s="15">
        <v>1.1097715531791384E-3</v>
      </c>
      <c r="AR30" s="15">
        <v>0</v>
      </c>
      <c r="AS30" s="15">
        <v>0</v>
      </c>
      <c r="AT30" s="15">
        <v>1.2417978804473253E-3</v>
      </c>
      <c r="AU30" s="15">
        <v>235.7023484964966</v>
      </c>
      <c r="AV30" s="15">
        <v>43.099875438362425</v>
      </c>
      <c r="AW30" s="15">
        <v>43.099875438362425</v>
      </c>
      <c r="AX30" s="15">
        <v>0</v>
      </c>
      <c r="AY30" s="15">
        <v>0</v>
      </c>
      <c r="AZ30" s="15">
        <v>35.338639284902207</v>
      </c>
      <c r="BA30" s="15">
        <v>0</v>
      </c>
      <c r="BB30" s="15">
        <v>14.72443303537592</v>
      </c>
      <c r="BC30" s="15">
        <v>20.614206249526287</v>
      </c>
      <c r="BD30" s="15">
        <v>0</v>
      </c>
      <c r="BE30" s="15">
        <v>157.26383377323197</v>
      </c>
      <c r="BF30" s="15">
        <v>55.180292552011217</v>
      </c>
      <c r="BG30" s="15">
        <v>0</v>
      </c>
      <c r="BH30" s="15">
        <v>102.08354122122074</v>
      </c>
      <c r="BI30" s="15">
        <v>0</v>
      </c>
      <c r="BJ30" s="15">
        <v>235.70470006593021</v>
      </c>
      <c r="BK30" s="15">
        <v>381.56950553692513</v>
      </c>
      <c r="BL30" s="15">
        <v>-394.06042805038237</v>
      </c>
      <c r="BM30" s="15">
        <v>0.60822012937762637</v>
      </c>
    </row>
    <row r="31" spans="1:65" x14ac:dyDescent="0.4">
      <c r="A31" s="15" t="s">
        <v>10682</v>
      </c>
      <c r="B31" s="15" t="s">
        <v>10548</v>
      </c>
      <c r="C31" s="15" t="s">
        <v>10600</v>
      </c>
      <c r="D31" s="15" t="s">
        <v>10303</v>
      </c>
      <c r="E31" s="15" t="s">
        <v>10712</v>
      </c>
      <c r="F31" s="15">
        <v>1963726</v>
      </c>
      <c r="G31" s="15">
        <v>0.89712450607071414</v>
      </c>
      <c r="H31" s="15">
        <v>200</v>
      </c>
      <c r="I31" s="119">
        <v>1000.5869785684381</v>
      </c>
      <c r="J31" s="120">
        <v>0.53684814003990255</v>
      </c>
      <c r="K31" s="15">
        <v>30</v>
      </c>
      <c r="L31" s="15">
        <v>848.511130751113</v>
      </c>
      <c r="M31" s="15">
        <v>379.2429506136171</v>
      </c>
      <c r="N31" s="15">
        <v>8219979.275606934</v>
      </c>
      <c r="O31" s="15">
        <v>1535981.2174502737</v>
      </c>
      <c r="P31" s="15">
        <v>3106258.2434331989</v>
      </c>
      <c r="Q31" s="15">
        <v>3577739.8147234609</v>
      </c>
      <c r="R31" s="15">
        <v>655543.34722965304</v>
      </c>
      <c r="S31" s="15">
        <v>1373675.671658596</v>
      </c>
      <c r="T31" s="15">
        <v>1548520.7958352126</v>
      </c>
      <c r="U31" s="15">
        <v>0</v>
      </c>
      <c r="V31" s="15">
        <v>0</v>
      </c>
      <c r="W31" s="15">
        <v>249549528.83022335</v>
      </c>
      <c r="X31" s="15">
        <v>0</v>
      </c>
      <c r="Y31" s="15">
        <v>1102.0474068788569</v>
      </c>
      <c r="Z31" s="15">
        <v>0</v>
      </c>
      <c r="AA31" s="15">
        <v>30.82</v>
      </c>
      <c r="AB31" s="15">
        <v>1072.7070000000001</v>
      </c>
      <c r="AC31" s="15">
        <v>-1.4795931211431432</v>
      </c>
      <c r="AD31" s="15">
        <v>101.46042831041882</v>
      </c>
      <c r="AE31" s="15">
        <v>-1.2610408003686973E-3</v>
      </c>
      <c r="AF31" s="15">
        <v>7.3778108307827128E-5</v>
      </c>
      <c r="AG31" s="15">
        <v>1.5928337859368868E-4</v>
      </c>
      <c r="AH31" s="15">
        <v>0</v>
      </c>
      <c r="AI31" s="15">
        <v>101.46076874999997</v>
      </c>
      <c r="AJ31" s="15">
        <v>0</v>
      </c>
      <c r="AK31" s="15">
        <v>6.8753973208285043E-4</v>
      </c>
      <c r="AL31" s="15">
        <v>0</v>
      </c>
      <c r="AM31" s="15">
        <v>0</v>
      </c>
      <c r="AN31" s="15">
        <v>-68.573195468785258</v>
      </c>
      <c r="AO31" s="15">
        <v>1000.5869785684381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5">
        <v>235.70283008219303</v>
      </c>
      <c r="AV31" s="15">
        <v>43.099875438362425</v>
      </c>
      <c r="AW31" s="15">
        <v>43.099875438362425</v>
      </c>
      <c r="AX31" s="15">
        <v>0</v>
      </c>
      <c r="AY31" s="15">
        <v>0</v>
      </c>
      <c r="AZ31" s="15">
        <v>35.338639284902207</v>
      </c>
      <c r="BA31" s="15">
        <v>0</v>
      </c>
      <c r="BB31" s="15">
        <v>14.72443303537592</v>
      </c>
      <c r="BC31" s="15">
        <v>20.614206249526287</v>
      </c>
      <c r="BD31" s="15">
        <v>0</v>
      </c>
      <c r="BE31" s="15">
        <v>157.2643153589284</v>
      </c>
      <c r="BF31" s="15">
        <v>55.180461529448564</v>
      </c>
      <c r="BG31" s="15">
        <v>0</v>
      </c>
      <c r="BH31" s="15">
        <v>102.08385382947985</v>
      </c>
      <c r="BI31" s="15">
        <v>0</v>
      </c>
      <c r="BJ31" s="15">
        <v>235.70283008219303</v>
      </c>
      <c r="BK31" s="15">
        <v>337.16325839261185</v>
      </c>
      <c r="BL31" s="15">
        <v>-364.04795603374799</v>
      </c>
      <c r="BM31" s="15">
        <v>0.53684814003990255</v>
      </c>
    </row>
    <row r="32" spans="1:65" x14ac:dyDescent="0.4">
      <c r="A32" s="15" t="s">
        <v>10682</v>
      </c>
      <c r="B32" s="15" t="s">
        <v>10548</v>
      </c>
      <c r="C32" s="15" t="s">
        <v>10600</v>
      </c>
      <c r="D32" s="15" t="s">
        <v>10304</v>
      </c>
      <c r="E32" s="15" t="s">
        <v>10713</v>
      </c>
      <c r="F32" s="15">
        <v>1963726</v>
      </c>
      <c r="G32" s="15">
        <v>0.89712450607071414</v>
      </c>
      <c r="H32" s="15">
        <v>200</v>
      </c>
      <c r="I32" s="119">
        <v>1000.5872116299252</v>
      </c>
      <c r="J32" s="120">
        <v>0.53684781526176506</v>
      </c>
      <c r="K32" s="15">
        <v>30</v>
      </c>
      <c r="L32" s="15">
        <v>848.511130751113</v>
      </c>
      <c r="M32" s="15">
        <v>379.2429506136171</v>
      </c>
      <c r="N32" s="15">
        <v>8219979.275606934</v>
      </c>
      <c r="O32" s="15">
        <v>1535981.2174502737</v>
      </c>
      <c r="P32" s="15">
        <v>3106258.2434331989</v>
      </c>
      <c r="Q32" s="15">
        <v>3577739.8147234609</v>
      </c>
      <c r="R32" s="15">
        <v>655543.34722965304</v>
      </c>
      <c r="S32" s="15">
        <v>1373675.671658596</v>
      </c>
      <c r="T32" s="15">
        <v>1548520.7958352126</v>
      </c>
      <c r="U32" s="15">
        <v>0</v>
      </c>
      <c r="V32" s="15">
        <v>0</v>
      </c>
      <c r="W32" s="15">
        <v>0</v>
      </c>
      <c r="X32" s="15">
        <v>249549528830.22336</v>
      </c>
      <c r="Y32" s="15">
        <v>1102.0474068788569</v>
      </c>
      <c r="Z32" s="15">
        <v>0</v>
      </c>
      <c r="AA32" s="15">
        <v>30.82</v>
      </c>
      <c r="AB32" s="15">
        <v>1072.7070000000001</v>
      </c>
      <c r="AC32" s="15">
        <v>-1.4795931211431432</v>
      </c>
      <c r="AD32" s="15">
        <v>101.46019524893177</v>
      </c>
      <c r="AE32" s="15">
        <v>-1.2610408003686973E-3</v>
      </c>
      <c r="AF32" s="15">
        <v>0</v>
      </c>
      <c r="AG32" s="15">
        <v>0</v>
      </c>
      <c r="AH32" s="15">
        <v>0</v>
      </c>
      <c r="AI32" s="15">
        <v>101.46076874999997</v>
      </c>
      <c r="AJ32" s="15">
        <v>0</v>
      </c>
      <c r="AK32" s="15">
        <v>6.8753973208285043E-4</v>
      </c>
      <c r="AL32" s="15">
        <v>0</v>
      </c>
      <c r="AM32" s="15">
        <v>0</v>
      </c>
      <c r="AN32" s="15">
        <v>-68.573037951503153</v>
      </c>
      <c r="AO32" s="15">
        <v>1000.5872116299252</v>
      </c>
      <c r="AP32" s="15">
        <v>0</v>
      </c>
      <c r="AQ32" s="15">
        <v>0</v>
      </c>
      <c r="AR32" s="15">
        <v>0</v>
      </c>
      <c r="AS32" s="15">
        <v>0</v>
      </c>
      <c r="AT32" s="15">
        <v>0</v>
      </c>
      <c r="AU32" s="15">
        <v>235.70286329345493</v>
      </c>
      <c r="AV32" s="15">
        <v>43.099875438362425</v>
      </c>
      <c r="AW32" s="15">
        <v>43.099875438362425</v>
      </c>
      <c r="AX32" s="15">
        <v>0</v>
      </c>
      <c r="AY32" s="15">
        <v>0</v>
      </c>
      <c r="AZ32" s="15">
        <v>35.338639284902207</v>
      </c>
      <c r="BA32" s="15">
        <v>0</v>
      </c>
      <c r="BB32" s="15">
        <v>14.72443303537592</v>
      </c>
      <c r="BC32" s="15">
        <v>20.614206249526287</v>
      </c>
      <c r="BD32" s="15">
        <v>0</v>
      </c>
      <c r="BE32" s="15">
        <v>157.26434857019029</v>
      </c>
      <c r="BF32" s="15">
        <v>55.180473182522917</v>
      </c>
      <c r="BG32" s="15">
        <v>0</v>
      </c>
      <c r="BH32" s="15">
        <v>102.08387538766739</v>
      </c>
      <c r="BI32" s="15">
        <v>0</v>
      </c>
      <c r="BJ32" s="15">
        <v>235.70286329345493</v>
      </c>
      <c r="BK32" s="15">
        <v>337.16305854238669</v>
      </c>
      <c r="BL32" s="15">
        <v>-364.0478209626786</v>
      </c>
      <c r="BM32" s="15">
        <v>0.53684781526176506</v>
      </c>
    </row>
    <row r="33" spans="1:65" x14ac:dyDescent="0.4">
      <c r="A33" s="15" t="s">
        <v>10682</v>
      </c>
      <c r="B33" s="15" t="s">
        <v>10548</v>
      </c>
      <c r="C33" s="15" t="s">
        <v>10600</v>
      </c>
      <c r="D33" s="15" t="s">
        <v>10305</v>
      </c>
      <c r="E33" s="15" t="s">
        <v>10714</v>
      </c>
      <c r="F33" s="15">
        <v>1963726</v>
      </c>
      <c r="G33" s="15">
        <v>0.89712450607071414</v>
      </c>
      <c r="H33" s="15">
        <v>200</v>
      </c>
      <c r="I33" s="119">
        <v>1000.6086631471921</v>
      </c>
      <c r="J33" s="120">
        <v>0.52706296194388547</v>
      </c>
      <c r="K33" s="15">
        <v>30</v>
      </c>
      <c r="L33" s="15">
        <v>549.78166614592033</v>
      </c>
      <c r="M33" s="15">
        <v>367.66818982306808</v>
      </c>
      <c r="N33" s="15">
        <v>8219979.275606934</v>
      </c>
      <c r="O33" s="15">
        <v>1158893.7781714434</v>
      </c>
      <c r="P33" s="15">
        <v>3240932.3288899241</v>
      </c>
      <c r="Q33" s="15">
        <v>3820153.1685455665</v>
      </c>
      <c r="R33" s="15">
        <v>655543.34722965304</v>
      </c>
      <c r="S33" s="15">
        <v>1616089.0254807011</v>
      </c>
      <c r="T33" s="15">
        <v>1548520.7958352126</v>
      </c>
      <c r="U33" s="15">
        <v>0</v>
      </c>
      <c r="V33" s="15">
        <v>0</v>
      </c>
      <c r="W33" s="15">
        <v>0</v>
      </c>
      <c r="X33" s="15">
        <v>0</v>
      </c>
      <c r="Y33" s="15">
        <v>1102.0684596238702</v>
      </c>
      <c r="Z33" s="15">
        <v>0</v>
      </c>
      <c r="AA33" s="15">
        <v>30.82</v>
      </c>
      <c r="AB33" s="15">
        <v>1072.7070000000001</v>
      </c>
      <c r="AC33" s="15">
        <v>-1.4585403761298126</v>
      </c>
      <c r="AD33" s="15">
        <v>101.45979647667809</v>
      </c>
      <c r="AE33" s="15">
        <v>-9.7227332189778464E-4</v>
      </c>
      <c r="AF33" s="15">
        <v>0</v>
      </c>
      <c r="AG33" s="15">
        <v>0</v>
      </c>
      <c r="AH33" s="15">
        <v>0</v>
      </c>
      <c r="AI33" s="15">
        <v>101.46076874999997</v>
      </c>
      <c r="AJ33" s="15">
        <v>0</v>
      </c>
      <c r="AK33" s="15">
        <v>0</v>
      </c>
      <c r="AL33" s="15">
        <v>0</v>
      </c>
      <c r="AM33" s="15">
        <v>0</v>
      </c>
      <c r="AN33" s="15">
        <v>-69.562555920390921</v>
      </c>
      <c r="AO33" s="15">
        <v>1000.6086631471921</v>
      </c>
      <c r="AP33" s="15">
        <v>0</v>
      </c>
      <c r="AQ33" s="15">
        <v>0</v>
      </c>
      <c r="AR33" s="15">
        <v>0</v>
      </c>
      <c r="AS33" s="15">
        <v>0</v>
      </c>
      <c r="AT33" s="15">
        <v>0</v>
      </c>
      <c r="AU33" s="15">
        <v>225.92396926839251</v>
      </c>
      <c r="AV33" s="15">
        <v>41.261868351815657</v>
      </c>
      <c r="AW33" s="15">
        <v>41.261868351815657</v>
      </c>
      <c r="AX33" s="15">
        <v>0</v>
      </c>
      <c r="AY33" s="15">
        <v>0</v>
      </c>
      <c r="AZ33" s="15">
        <v>27.398511535685699</v>
      </c>
      <c r="BA33" s="15">
        <v>0</v>
      </c>
      <c r="BB33" s="15">
        <v>11.416046473202377</v>
      </c>
      <c r="BC33" s="15">
        <v>15.982465062483325</v>
      </c>
      <c r="BD33" s="15">
        <v>0</v>
      </c>
      <c r="BE33" s="15">
        <v>157.26358938089115</v>
      </c>
      <c r="BF33" s="15">
        <v>55.180206800312682</v>
      </c>
      <c r="BG33" s="15">
        <v>0</v>
      </c>
      <c r="BH33" s="15">
        <v>102.08338258057846</v>
      </c>
      <c r="BI33" s="15">
        <v>0</v>
      </c>
      <c r="BJ33" s="15">
        <v>225.92396926839251</v>
      </c>
      <c r="BK33" s="15">
        <v>327.3837657450706</v>
      </c>
      <c r="BL33" s="15">
        <v>-362.58324745487369</v>
      </c>
      <c r="BM33" s="15">
        <v>0.52706296194388547</v>
      </c>
    </row>
    <row r="34" spans="1:65" x14ac:dyDescent="0.4">
      <c r="A34" s="15" t="s">
        <v>10682</v>
      </c>
      <c r="B34" s="15" t="s">
        <v>10548</v>
      </c>
      <c r="C34" s="15" t="s">
        <v>10600</v>
      </c>
      <c r="D34" s="15" t="s">
        <v>10306</v>
      </c>
      <c r="E34" s="15" t="s">
        <v>10715</v>
      </c>
      <c r="F34" s="15">
        <v>1963726</v>
      </c>
      <c r="G34" s="15">
        <v>0.89712450607071414</v>
      </c>
      <c r="H34" s="15">
        <v>200</v>
      </c>
      <c r="I34" s="119">
        <v>1000.5385154184646</v>
      </c>
      <c r="J34" s="120">
        <v>0.5372285097477032</v>
      </c>
      <c r="K34" s="15">
        <v>30</v>
      </c>
      <c r="L34" s="15">
        <v>1117.8797163063678</v>
      </c>
      <c r="M34" s="15">
        <v>377.63778963738309</v>
      </c>
      <c r="N34" s="15">
        <v>8219979.275606934</v>
      </c>
      <c r="O34" s="15">
        <v>1884121.9997100541</v>
      </c>
      <c r="P34" s="15">
        <v>2768489.020024416</v>
      </c>
      <c r="Q34" s="15">
        <v>3567368.2558724657</v>
      </c>
      <c r="R34" s="15">
        <v>655543.34722965304</v>
      </c>
      <c r="S34" s="15">
        <v>0</v>
      </c>
      <c r="T34" s="15">
        <v>2911824.9086428126</v>
      </c>
      <c r="U34" s="15">
        <v>0</v>
      </c>
      <c r="V34" s="15">
        <v>0</v>
      </c>
      <c r="W34" s="15">
        <v>0</v>
      </c>
      <c r="X34" s="15">
        <v>0</v>
      </c>
      <c r="Y34" s="15">
        <v>1101.9972681768038</v>
      </c>
      <c r="Z34" s="15">
        <v>0</v>
      </c>
      <c r="AA34" s="15">
        <v>30.82</v>
      </c>
      <c r="AB34" s="15">
        <v>1072.7070000000001</v>
      </c>
      <c r="AC34" s="15">
        <v>-1.5297318231961337</v>
      </c>
      <c r="AD34" s="15">
        <v>101.45875275833919</v>
      </c>
      <c r="AE34" s="15">
        <v>-2.01599166043896E-3</v>
      </c>
      <c r="AF34" s="15">
        <v>0</v>
      </c>
      <c r="AG34" s="15">
        <v>0</v>
      </c>
      <c r="AH34" s="15">
        <v>0</v>
      </c>
      <c r="AI34" s="15">
        <v>101.46076874999997</v>
      </c>
      <c r="AJ34" s="15">
        <v>0</v>
      </c>
      <c r="AK34" s="15">
        <v>0</v>
      </c>
      <c r="AL34" s="15">
        <v>0</v>
      </c>
      <c r="AM34" s="15">
        <v>0</v>
      </c>
      <c r="AN34" s="15">
        <v>-66.324535594975799</v>
      </c>
      <c r="AO34" s="15">
        <v>1000.5385154184646</v>
      </c>
      <c r="AP34" s="15">
        <v>0</v>
      </c>
      <c r="AQ34" s="15">
        <v>0</v>
      </c>
      <c r="AR34" s="15">
        <v>0</v>
      </c>
      <c r="AS34" s="15">
        <v>0</v>
      </c>
      <c r="AT34" s="15">
        <v>0</v>
      </c>
      <c r="AU34" s="15">
        <v>236.05906282510193</v>
      </c>
      <c r="AV34" s="15">
        <v>47.502535960107764</v>
      </c>
      <c r="AW34" s="15">
        <v>47.502535960107764</v>
      </c>
      <c r="AX34" s="15">
        <v>0</v>
      </c>
      <c r="AY34" s="15">
        <v>0</v>
      </c>
      <c r="AZ34" s="15">
        <v>31.291684065292522</v>
      </c>
      <c r="BA34" s="15">
        <v>0</v>
      </c>
      <c r="BB34" s="15">
        <v>13.038201693871885</v>
      </c>
      <c r="BC34" s="15">
        <v>18.253482371420638</v>
      </c>
      <c r="BD34" s="15">
        <v>0</v>
      </c>
      <c r="BE34" s="15">
        <v>157.26484279970165</v>
      </c>
      <c r="BF34" s="15">
        <v>55.180646596386545</v>
      </c>
      <c r="BG34" s="15">
        <v>0</v>
      </c>
      <c r="BH34" s="15">
        <v>102.0841962033151</v>
      </c>
      <c r="BI34" s="15">
        <v>0</v>
      </c>
      <c r="BJ34" s="15">
        <v>236.05906282510193</v>
      </c>
      <c r="BK34" s="15">
        <v>337.51781558344112</v>
      </c>
      <c r="BL34" s="15">
        <v>-352.38042330869627</v>
      </c>
      <c r="BM34" s="15">
        <v>0.5372285097477032</v>
      </c>
    </row>
    <row r="35" spans="1:65" x14ac:dyDescent="0.4">
      <c r="A35" s="15" t="s">
        <v>10682</v>
      </c>
      <c r="B35" s="15" t="s">
        <v>10548</v>
      </c>
      <c r="C35" s="15" t="s">
        <v>10600</v>
      </c>
      <c r="D35" s="15" t="s">
        <v>10307</v>
      </c>
      <c r="E35" s="15" t="s">
        <v>10716</v>
      </c>
      <c r="F35" s="15">
        <v>1963726</v>
      </c>
      <c r="G35" s="15">
        <v>0.89712450607071414</v>
      </c>
      <c r="H35" s="15">
        <v>200</v>
      </c>
      <c r="I35" s="119">
        <v>724.53245358678828</v>
      </c>
      <c r="J35" s="120">
        <v>1.16743292068946</v>
      </c>
      <c r="K35" s="15">
        <v>30</v>
      </c>
      <c r="L35" s="15">
        <v>2457.089869561456</v>
      </c>
      <c r="M35" s="15">
        <v>363.94354948608418</v>
      </c>
      <c r="N35" s="15">
        <v>8219979.275606934</v>
      </c>
      <c r="O35" s="15">
        <v>6007158.8304082518</v>
      </c>
      <c r="P35" s="15">
        <v>1512887.1856754562</v>
      </c>
      <c r="Q35" s="15">
        <v>699933.25952322735</v>
      </c>
      <c r="R35" s="15">
        <v>699933.25952322735</v>
      </c>
      <c r="S35" s="15">
        <v>0</v>
      </c>
      <c r="T35" s="15">
        <v>0</v>
      </c>
      <c r="U35" s="15">
        <v>5357408210.8208227</v>
      </c>
      <c r="V35" s="15">
        <v>0</v>
      </c>
      <c r="W35" s="15">
        <v>0</v>
      </c>
      <c r="X35" s="15">
        <v>0</v>
      </c>
      <c r="Y35" s="15">
        <v>1101.7076328038154</v>
      </c>
      <c r="Z35" s="15">
        <v>0</v>
      </c>
      <c r="AA35" s="15">
        <v>30.82</v>
      </c>
      <c r="AB35" s="15">
        <v>1072.7070000000001</v>
      </c>
      <c r="AC35" s="15">
        <v>-1.819367196184664</v>
      </c>
      <c r="AD35" s="15">
        <v>377.17517921702711</v>
      </c>
      <c r="AE35" s="15">
        <v>4.3029576056816191E-3</v>
      </c>
      <c r="AF35" s="15">
        <v>0</v>
      </c>
      <c r="AG35" s="15">
        <v>0</v>
      </c>
      <c r="AH35" s="15">
        <v>1.9202742758901272E-3</v>
      </c>
      <c r="AI35" s="15">
        <v>123.0003582294425</v>
      </c>
      <c r="AJ35" s="15">
        <v>254.16859775570305</v>
      </c>
      <c r="AK35" s="15">
        <v>0</v>
      </c>
      <c r="AL35" s="15">
        <v>0</v>
      </c>
      <c r="AM35" s="15">
        <v>0</v>
      </c>
      <c r="AN35" s="15">
        <v>-207.31119040070027</v>
      </c>
      <c r="AO35" s="15">
        <v>724.53245358678828</v>
      </c>
      <c r="AP35" s="15">
        <v>6.2232318815717462E-3</v>
      </c>
      <c r="AQ35" s="15">
        <v>4.3029576056816191E-3</v>
      </c>
      <c r="AR35" s="15">
        <v>0</v>
      </c>
      <c r="AS35" s="15">
        <v>0</v>
      </c>
      <c r="AT35" s="15">
        <v>1.9202742758901272E-3</v>
      </c>
      <c r="AU35" s="15">
        <v>268.66163597621619</v>
      </c>
      <c r="AV35" s="15">
        <v>69.313041684627791</v>
      </c>
      <c r="AW35" s="15">
        <v>69.313041684627791</v>
      </c>
      <c r="AX35" s="15">
        <v>0</v>
      </c>
      <c r="AY35" s="15">
        <v>0</v>
      </c>
      <c r="AZ35" s="15">
        <v>42.083357430895489</v>
      </c>
      <c r="BA35" s="15">
        <v>0</v>
      </c>
      <c r="BB35" s="15">
        <v>17.534732262873121</v>
      </c>
      <c r="BC35" s="15">
        <v>24.548625168022365</v>
      </c>
      <c r="BD35" s="15">
        <v>0</v>
      </c>
      <c r="BE35" s="15">
        <v>157.26523686069294</v>
      </c>
      <c r="BF35" s="15">
        <v>55.18078486340103</v>
      </c>
      <c r="BG35" s="15">
        <v>0</v>
      </c>
      <c r="BH35" s="15">
        <v>102.08445199729189</v>
      </c>
      <c r="BI35" s="15">
        <v>0</v>
      </c>
      <c r="BJ35" s="15">
        <v>268.66785920809775</v>
      </c>
      <c r="BK35" s="15">
        <v>645.84303842512486</v>
      </c>
      <c r="BL35" s="15">
        <v>-465.9105690148283</v>
      </c>
      <c r="BM35" s="15">
        <v>1.16743292068946</v>
      </c>
    </row>
    <row r="36" spans="1:65" x14ac:dyDescent="0.4">
      <c r="A36" s="15" t="s">
        <v>10682</v>
      </c>
      <c r="B36" s="15" t="s">
        <v>10548</v>
      </c>
      <c r="C36" s="15" t="s">
        <v>10600</v>
      </c>
      <c r="D36" s="15" t="s">
        <v>10308</v>
      </c>
      <c r="E36" s="15" t="s">
        <v>10717</v>
      </c>
      <c r="F36" s="15">
        <v>1963726</v>
      </c>
      <c r="G36" s="15">
        <v>0.89712450607071414</v>
      </c>
      <c r="H36" s="15">
        <v>200</v>
      </c>
      <c r="I36" s="119">
        <v>724.53245358678828</v>
      </c>
      <c r="J36" s="120">
        <v>1.16743292068946</v>
      </c>
      <c r="K36" s="15">
        <v>30</v>
      </c>
      <c r="L36" s="15">
        <v>2457.089869561456</v>
      </c>
      <c r="M36" s="15">
        <v>363.94354948608418</v>
      </c>
      <c r="N36" s="15">
        <v>8219979.275606934</v>
      </c>
      <c r="O36" s="15">
        <v>6007158.8304082518</v>
      </c>
      <c r="P36" s="15">
        <v>1512887.1856754562</v>
      </c>
      <c r="Q36" s="15">
        <v>699933.25952322735</v>
      </c>
      <c r="R36" s="15">
        <v>699933.25952322735</v>
      </c>
      <c r="S36" s="15">
        <v>0</v>
      </c>
      <c r="T36" s="15">
        <v>0</v>
      </c>
      <c r="U36" s="15">
        <v>5357408210.8208227</v>
      </c>
      <c r="V36" s="15">
        <v>0</v>
      </c>
      <c r="W36" s="15">
        <v>0</v>
      </c>
      <c r="X36" s="15">
        <v>0</v>
      </c>
      <c r="Y36" s="15">
        <v>1101.7076328038154</v>
      </c>
      <c r="Z36" s="15">
        <v>0</v>
      </c>
      <c r="AA36" s="15">
        <v>30.82</v>
      </c>
      <c r="AB36" s="15">
        <v>1072.7070000000001</v>
      </c>
      <c r="AC36" s="15">
        <v>-1.819367196184664</v>
      </c>
      <c r="AD36" s="15">
        <v>377.17517921702711</v>
      </c>
      <c r="AE36" s="15">
        <v>4.3029576056816191E-3</v>
      </c>
      <c r="AF36" s="15">
        <v>0</v>
      </c>
      <c r="AG36" s="15">
        <v>0</v>
      </c>
      <c r="AH36" s="15">
        <v>1.9202742758901272E-3</v>
      </c>
      <c r="AI36" s="15">
        <v>123.0003582294425</v>
      </c>
      <c r="AJ36" s="15">
        <v>254.16859775570305</v>
      </c>
      <c r="AK36" s="15">
        <v>0</v>
      </c>
      <c r="AL36" s="15">
        <v>0</v>
      </c>
      <c r="AM36" s="15">
        <v>0</v>
      </c>
      <c r="AN36" s="15">
        <v>-207.31119040070027</v>
      </c>
      <c r="AO36" s="15">
        <v>724.53245358678828</v>
      </c>
      <c r="AP36" s="15">
        <v>6.2232318815717462E-3</v>
      </c>
      <c r="AQ36" s="15">
        <v>4.3029576056816191E-3</v>
      </c>
      <c r="AR36" s="15">
        <v>0</v>
      </c>
      <c r="AS36" s="15">
        <v>0</v>
      </c>
      <c r="AT36" s="15">
        <v>1.9202742758901272E-3</v>
      </c>
      <c r="AU36" s="15">
        <v>268.66163597621619</v>
      </c>
      <c r="AV36" s="15">
        <v>69.313041684627791</v>
      </c>
      <c r="AW36" s="15">
        <v>69.313041684627791</v>
      </c>
      <c r="AX36" s="15">
        <v>0</v>
      </c>
      <c r="AY36" s="15">
        <v>0</v>
      </c>
      <c r="AZ36" s="15">
        <v>42.083357430895489</v>
      </c>
      <c r="BA36" s="15">
        <v>0</v>
      </c>
      <c r="BB36" s="15">
        <v>17.534732262873121</v>
      </c>
      <c r="BC36" s="15">
        <v>24.548625168022365</v>
      </c>
      <c r="BD36" s="15">
        <v>0</v>
      </c>
      <c r="BE36" s="15">
        <v>157.26523686069294</v>
      </c>
      <c r="BF36" s="15">
        <v>55.18078486340103</v>
      </c>
      <c r="BG36" s="15">
        <v>0</v>
      </c>
      <c r="BH36" s="15">
        <v>102.08445199729189</v>
      </c>
      <c r="BI36" s="15">
        <v>0</v>
      </c>
      <c r="BJ36" s="15">
        <v>268.66785920809775</v>
      </c>
      <c r="BK36" s="15">
        <v>645.84303842512486</v>
      </c>
      <c r="BL36" s="15">
        <v>-465.9105690148283</v>
      </c>
      <c r="BM36" s="15">
        <v>1.16743292068946</v>
      </c>
    </row>
    <row r="37" spans="1:65" s="56" customFormat="1" x14ac:dyDescent="0.4">
      <c r="A37" s="55" t="s">
        <v>10682</v>
      </c>
      <c r="B37" s="55" t="s">
        <v>10548</v>
      </c>
      <c r="C37" s="55" t="s">
        <v>10718</v>
      </c>
      <c r="D37" s="55" t="s">
        <v>10307</v>
      </c>
      <c r="E37" s="55" t="s">
        <v>10719</v>
      </c>
      <c r="F37" s="55">
        <v>1963726</v>
      </c>
      <c r="G37" s="55">
        <v>0.89712450607071414</v>
      </c>
      <c r="H37" s="55">
        <v>200</v>
      </c>
      <c r="I37" s="55">
        <v>724.53245358678828</v>
      </c>
      <c r="J37" s="92">
        <v>1.16743292068946</v>
      </c>
      <c r="K37" s="55">
        <v>30</v>
      </c>
      <c r="L37" s="55">
        <v>2457.089869561456</v>
      </c>
      <c r="M37" s="55">
        <v>363.94354948608418</v>
      </c>
      <c r="N37" s="55">
        <v>8219979.275606934</v>
      </c>
      <c r="O37" s="55">
        <v>6007158.8304082518</v>
      </c>
      <c r="P37" s="55">
        <v>1512887.1856754562</v>
      </c>
      <c r="Q37" s="55">
        <v>699933.25952322735</v>
      </c>
      <c r="R37" s="55">
        <v>699933.25952322735</v>
      </c>
      <c r="S37" s="55">
        <v>0</v>
      </c>
      <c r="T37" s="55">
        <v>0</v>
      </c>
      <c r="U37" s="55">
        <v>5357408210.8208227</v>
      </c>
      <c r="V37" s="55">
        <v>0</v>
      </c>
      <c r="W37" s="55">
        <v>0</v>
      </c>
      <c r="X37" s="55">
        <v>0</v>
      </c>
      <c r="Y37" s="55">
        <v>1101.7076328038154</v>
      </c>
      <c r="Z37" s="55">
        <v>0</v>
      </c>
      <c r="AA37" s="55">
        <v>30.82</v>
      </c>
      <c r="AB37" s="55">
        <v>1072.7070000000001</v>
      </c>
      <c r="AC37" s="55">
        <v>-1.819367196184664</v>
      </c>
      <c r="AD37" s="55">
        <v>377.17517921702711</v>
      </c>
      <c r="AE37" s="55">
        <v>4.3029576056816191E-3</v>
      </c>
      <c r="AF37" s="55">
        <v>0</v>
      </c>
      <c r="AG37" s="55">
        <v>0</v>
      </c>
      <c r="AH37" s="55">
        <v>1.9202742758901272E-3</v>
      </c>
      <c r="AI37" s="55">
        <v>123.0003582294425</v>
      </c>
      <c r="AJ37" s="55">
        <v>254.16859775570305</v>
      </c>
      <c r="AK37" s="55">
        <v>0</v>
      </c>
      <c r="AL37" s="55">
        <v>0</v>
      </c>
      <c r="AM37" s="55">
        <v>0</v>
      </c>
      <c r="AN37" s="55">
        <v>-207.31119040070027</v>
      </c>
      <c r="AO37" s="55">
        <v>724.53245358678828</v>
      </c>
      <c r="AP37" s="55">
        <v>6.2232318815717462E-3</v>
      </c>
      <c r="AQ37" s="55">
        <v>4.3029576056816191E-3</v>
      </c>
      <c r="AR37" s="55">
        <v>0</v>
      </c>
      <c r="AS37" s="55">
        <v>0</v>
      </c>
      <c r="AT37" s="55">
        <v>1.9202742758901272E-3</v>
      </c>
      <c r="AU37" s="55">
        <v>268.66163597621619</v>
      </c>
      <c r="AV37" s="55">
        <v>69.313041684627791</v>
      </c>
      <c r="AW37" s="55">
        <v>69.313041684627791</v>
      </c>
      <c r="AX37" s="55">
        <v>0</v>
      </c>
      <c r="AY37" s="55">
        <v>0</v>
      </c>
      <c r="AZ37" s="55">
        <v>42.083357430895489</v>
      </c>
      <c r="BA37" s="55">
        <v>0</v>
      </c>
      <c r="BB37" s="55">
        <v>17.534732262873121</v>
      </c>
      <c r="BC37" s="55">
        <v>24.548625168022365</v>
      </c>
      <c r="BD37" s="55">
        <v>0</v>
      </c>
      <c r="BE37" s="55">
        <v>157.26523686069294</v>
      </c>
      <c r="BF37" s="55">
        <v>55.18078486340103</v>
      </c>
      <c r="BG37" s="55">
        <v>0</v>
      </c>
      <c r="BH37" s="55">
        <v>102.08445199729189</v>
      </c>
      <c r="BI37" s="55">
        <v>0</v>
      </c>
      <c r="BJ37" s="55">
        <v>268.66785920809775</v>
      </c>
      <c r="BK37" s="55">
        <v>645.84303842512486</v>
      </c>
      <c r="BL37" s="55">
        <v>-465.9105690148283</v>
      </c>
      <c r="BM37" s="55">
        <v>1.16743292068946</v>
      </c>
    </row>
    <row r="38" spans="1:65" s="52" customFormat="1" x14ac:dyDescent="0.4">
      <c r="A38" s="15" t="s">
        <v>10682</v>
      </c>
      <c r="B38" s="15" t="s">
        <v>10548</v>
      </c>
      <c r="C38" s="15" t="s">
        <v>10612</v>
      </c>
      <c r="D38" s="15" t="s">
        <v>10302</v>
      </c>
      <c r="E38" s="15" t="s">
        <v>10720</v>
      </c>
      <c r="F38" s="15">
        <v>336073</v>
      </c>
      <c r="G38" s="15">
        <v>0.89712563672056078</v>
      </c>
      <c r="H38" s="15">
        <v>200</v>
      </c>
      <c r="I38" s="119">
        <v>1267.9652533078961</v>
      </c>
      <c r="J38" s="120">
        <v>0.5621024370395532</v>
      </c>
      <c r="K38" s="15">
        <v>30</v>
      </c>
      <c r="L38" s="15">
        <v>241.81890965591629</v>
      </c>
      <c r="M38" s="15">
        <v>100.13909403230926</v>
      </c>
      <c r="N38" s="15">
        <v>1406772.9289616272</v>
      </c>
      <c r="O38" s="15">
        <v>262868.88611930504</v>
      </c>
      <c r="P38" s="15">
        <v>531607.18059147056</v>
      </c>
      <c r="Q38" s="15">
        <v>612296.86225085158</v>
      </c>
      <c r="R38" s="15">
        <v>112190.14108468981</v>
      </c>
      <c r="S38" s="15">
        <v>235091.8029437256</v>
      </c>
      <c r="T38" s="15">
        <v>265014.91822243616</v>
      </c>
      <c r="U38" s="15">
        <v>0</v>
      </c>
      <c r="V38" s="15">
        <v>170832314.69221255</v>
      </c>
      <c r="W38" s="15">
        <v>0</v>
      </c>
      <c r="X38" s="15">
        <v>0</v>
      </c>
      <c r="Y38" s="15">
        <v>1413.8294757665435</v>
      </c>
      <c r="Z38" s="15">
        <v>0</v>
      </c>
      <c r="AA38" s="15">
        <v>15.41</v>
      </c>
      <c r="AB38" s="15">
        <v>1413.7380000000001</v>
      </c>
      <c r="AC38" s="15">
        <v>-15.318524233456575</v>
      </c>
      <c r="AD38" s="15">
        <v>145.86422245864742</v>
      </c>
      <c r="AE38" s="15">
        <v>1.4758301920094103E-3</v>
      </c>
      <c r="AF38" s="15">
        <v>0</v>
      </c>
      <c r="AG38" s="15">
        <v>0</v>
      </c>
      <c r="AH38" s="15">
        <v>7.2560060203206121E-3</v>
      </c>
      <c r="AI38" s="15">
        <v>101.46076875000001</v>
      </c>
      <c r="AJ38" s="15">
        <v>44.394721872435227</v>
      </c>
      <c r="AK38" s="15">
        <v>0</v>
      </c>
      <c r="AL38" s="15">
        <v>0</v>
      </c>
      <c r="AM38" s="15">
        <v>0</v>
      </c>
      <c r="AN38" s="15">
        <v>-9.5220806022600541</v>
      </c>
      <c r="AO38" s="15">
        <v>1267.9652533078961</v>
      </c>
      <c r="AP38" s="15">
        <v>8.7318362123300231E-3</v>
      </c>
      <c r="AQ38" s="15">
        <v>1.4758301920094103E-3</v>
      </c>
      <c r="AR38" s="15">
        <v>0</v>
      </c>
      <c r="AS38" s="15">
        <v>0</v>
      </c>
      <c r="AT38" s="15">
        <v>7.2560060203206121E-3</v>
      </c>
      <c r="AU38" s="15">
        <v>366.85340467098308</v>
      </c>
      <c r="AV38" s="15">
        <v>72.976507873363232</v>
      </c>
      <c r="AW38" s="15">
        <v>72.976507873363232</v>
      </c>
      <c r="AX38" s="15">
        <v>0</v>
      </c>
      <c r="AY38" s="15">
        <v>0</v>
      </c>
      <c r="AZ38" s="15">
        <v>90.20661842754069</v>
      </c>
      <c r="BA38" s="15">
        <v>0</v>
      </c>
      <c r="BB38" s="15">
        <v>37.58609101147529</v>
      </c>
      <c r="BC38" s="15">
        <v>52.620527416065407</v>
      </c>
      <c r="BD38" s="15">
        <v>0</v>
      </c>
      <c r="BE38" s="15">
        <v>203.67027837007913</v>
      </c>
      <c r="BF38" s="15">
        <v>71.463255568448815</v>
      </c>
      <c r="BG38" s="15">
        <v>0</v>
      </c>
      <c r="BH38" s="15">
        <v>132.2070228016303</v>
      </c>
      <c r="BI38" s="15">
        <v>0</v>
      </c>
      <c r="BJ38" s="15">
        <v>366.86213650719543</v>
      </c>
      <c r="BK38" s="51">
        <v>512.72635896584279</v>
      </c>
      <c r="BL38" s="51">
        <v>-47.527090214683071</v>
      </c>
      <c r="BM38" s="51">
        <v>0.5621024370395532</v>
      </c>
    </row>
    <row r="39" spans="1:65" x14ac:dyDescent="0.4">
      <c r="A39" s="15" t="s">
        <v>10682</v>
      </c>
      <c r="B39" s="15" t="s">
        <v>10548</v>
      </c>
      <c r="C39" s="15" t="s">
        <v>10612</v>
      </c>
      <c r="D39" s="15" t="s">
        <v>10303</v>
      </c>
      <c r="E39" s="15" t="s">
        <v>10721</v>
      </c>
      <c r="F39" s="15">
        <v>336073</v>
      </c>
      <c r="G39" s="15">
        <v>0.89712563672056078</v>
      </c>
      <c r="H39" s="15">
        <v>200</v>
      </c>
      <c r="I39" s="119">
        <v>1312.3650048051013</v>
      </c>
      <c r="J39" s="120">
        <v>0.50924793208119401</v>
      </c>
      <c r="K39" s="15">
        <v>30</v>
      </c>
      <c r="L39" s="15">
        <v>241.81890965591629</v>
      </c>
      <c r="M39" s="15">
        <v>100.13909403230926</v>
      </c>
      <c r="N39" s="15">
        <v>1406772.9289616272</v>
      </c>
      <c r="O39" s="15">
        <v>262868.88611930504</v>
      </c>
      <c r="P39" s="15">
        <v>531607.18059147056</v>
      </c>
      <c r="Q39" s="15">
        <v>612296.86225085158</v>
      </c>
      <c r="R39" s="15">
        <v>112190.14108468981</v>
      </c>
      <c r="S39" s="15">
        <v>235091.8029437256</v>
      </c>
      <c r="T39" s="15">
        <v>265014.91822243616</v>
      </c>
      <c r="U39" s="15">
        <v>0</v>
      </c>
      <c r="V39" s="15">
        <v>0</v>
      </c>
      <c r="W39" s="15">
        <v>42708078.673053138</v>
      </c>
      <c r="X39" s="15">
        <v>0</v>
      </c>
      <c r="Y39" s="15">
        <v>1413.8294757665435</v>
      </c>
      <c r="Z39" s="15">
        <v>0</v>
      </c>
      <c r="AA39" s="15">
        <v>15.41</v>
      </c>
      <c r="AB39" s="15">
        <v>1413.7380000000001</v>
      </c>
      <c r="AC39" s="15">
        <v>-15.318524233456575</v>
      </c>
      <c r="AD39" s="15">
        <v>101.4644709614422</v>
      </c>
      <c r="AE39" s="15">
        <v>-1.6769956674492455E-3</v>
      </c>
      <c r="AF39" s="15">
        <v>4.3109624076393153E-4</v>
      </c>
      <c r="AG39" s="15">
        <v>9.3071599832049933E-4</v>
      </c>
      <c r="AH39" s="15">
        <v>0</v>
      </c>
      <c r="AI39" s="15">
        <v>101.46076875000001</v>
      </c>
      <c r="AJ39" s="15">
        <v>0</v>
      </c>
      <c r="AK39" s="15">
        <v>4.0173948705772488E-3</v>
      </c>
      <c r="AL39" s="15">
        <v>0</v>
      </c>
      <c r="AM39" s="15">
        <v>0</v>
      </c>
      <c r="AN39" s="15">
        <v>-6.623645294749589</v>
      </c>
      <c r="AO39" s="15">
        <v>1312.3650048051013</v>
      </c>
      <c r="AP39" s="15">
        <v>0</v>
      </c>
      <c r="AQ39" s="15">
        <v>0</v>
      </c>
      <c r="AR39" s="15">
        <v>0</v>
      </c>
      <c r="AS39" s="15">
        <v>0</v>
      </c>
      <c r="AT39" s="15">
        <v>0</v>
      </c>
      <c r="AU39" s="15">
        <v>366.85469387128182</v>
      </c>
      <c r="AV39" s="15">
        <v>72.976507873363232</v>
      </c>
      <c r="AW39" s="15">
        <v>72.976507873363232</v>
      </c>
      <c r="AX39" s="15">
        <v>0</v>
      </c>
      <c r="AY39" s="15">
        <v>0</v>
      </c>
      <c r="AZ39" s="15">
        <v>90.20661842754069</v>
      </c>
      <c r="BA39" s="15">
        <v>0</v>
      </c>
      <c r="BB39" s="15">
        <v>37.58609101147529</v>
      </c>
      <c r="BC39" s="15">
        <v>52.620527416065407</v>
      </c>
      <c r="BD39" s="15">
        <v>0</v>
      </c>
      <c r="BE39" s="15">
        <v>203.6715675703779</v>
      </c>
      <c r="BF39" s="15">
        <v>71.463707919430846</v>
      </c>
      <c r="BG39" s="15">
        <v>0</v>
      </c>
      <c r="BH39" s="15">
        <v>132.20785965094706</v>
      </c>
      <c r="BI39" s="15">
        <v>0</v>
      </c>
      <c r="BJ39" s="15">
        <v>366.85469387128182</v>
      </c>
      <c r="BK39" s="15">
        <v>468.31916483272403</v>
      </c>
      <c r="BL39" s="15">
        <v>-44.628169048626432</v>
      </c>
      <c r="BM39" s="15">
        <v>0.50924793208119401</v>
      </c>
    </row>
    <row r="40" spans="1:65" x14ac:dyDescent="0.4">
      <c r="A40" s="15" t="s">
        <v>10682</v>
      </c>
      <c r="B40" s="15" t="s">
        <v>10548</v>
      </c>
      <c r="C40" s="15" t="s">
        <v>10612</v>
      </c>
      <c r="D40" s="15" t="s">
        <v>10304</v>
      </c>
      <c r="E40" s="15" t="s">
        <v>10722</v>
      </c>
      <c r="F40" s="15">
        <v>336073</v>
      </c>
      <c r="G40" s="15">
        <v>0.89712563672056078</v>
      </c>
      <c r="H40" s="15">
        <v>200</v>
      </c>
      <c r="I40" s="119">
        <v>1312.3663666173404</v>
      </c>
      <c r="J40" s="120">
        <v>0.50924651383846153</v>
      </c>
      <c r="K40" s="15">
        <v>30</v>
      </c>
      <c r="L40" s="15">
        <v>241.81890965591629</v>
      </c>
      <c r="M40" s="15">
        <v>100.13909403230926</v>
      </c>
      <c r="N40" s="15">
        <v>1406772.9289616272</v>
      </c>
      <c r="O40" s="15">
        <v>262868.88611930504</v>
      </c>
      <c r="P40" s="15">
        <v>531607.18059147056</v>
      </c>
      <c r="Q40" s="15">
        <v>612296.86225085158</v>
      </c>
      <c r="R40" s="15">
        <v>112190.14108468981</v>
      </c>
      <c r="S40" s="15">
        <v>235091.8029437256</v>
      </c>
      <c r="T40" s="15">
        <v>265014.91822243616</v>
      </c>
      <c r="U40" s="15">
        <v>0</v>
      </c>
      <c r="V40" s="15">
        <v>0</v>
      </c>
      <c r="W40" s="15">
        <v>0</v>
      </c>
      <c r="X40" s="15">
        <v>42708078673.053139</v>
      </c>
      <c r="Y40" s="15">
        <v>1413.8294757665435</v>
      </c>
      <c r="Z40" s="15">
        <v>0</v>
      </c>
      <c r="AA40" s="15">
        <v>15.41</v>
      </c>
      <c r="AB40" s="15">
        <v>1413.7380000000001</v>
      </c>
      <c r="AC40" s="15">
        <v>-15.318524233456575</v>
      </c>
      <c r="AD40" s="15">
        <v>101.46310914920309</v>
      </c>
      <c r="AE40" s="15">
        <v>-1.6769956674492455E-3</v>
      </c>
      <c r="AF40" s="15">
        <v>0</v>
      </c>
      <c r="AG40" s="15">
        <v>0</v>
      </c>
      <c r="AH40" s="15">
        <v>0</v>
      </c>
      <c r="AI40" s="15">
        <v>101.46076875000001</v>
      </c>
      <c r="AJ40" s="15">
        <v>0</v>
      </c>
      <c r="AK40" s="15">
        <v>4.0173948705772488E-3</v>
      </c>
      <c r="AL40" s="15">
        <v>0</v>
      </c>
      <c r="AM40" s="15">
        <v>0</v>
      </c>
      <c r="AN40" s="15">
        <v>-6.6235563950476104</v>
      </c>
      <c r="AO40" s="15">
        <v>1312.3663666173404</v>
      </c>
      <c r="AP40" s="15">
        <v>0</v>
      </c>
      <c r="AQ40" s="15">
        <v>0</v>
      </c>
      <c r="AR40" s="15">
        <v>0</v>
      </c>
      <c r="AS40" s="15">
        <v>0</v>
      </c>
      <c r="AT40" s="15">
        <v>0</v>
      </c>
      <c r="AU40" s="15">
        <v>366.85488792952583</v>
      </c>
      <c r="AV40" s="15">
        <v>72.976507873363232</v>
      </c>
      <c r="AW40" s="15">
        <v>72.976507873363232</v>
      </c>
      <c r="AX40" s="15">
        <v>0</v>
      </c>
      <c r="AY40" s="15">
        <v>0</v>
      </c>
      <c r="AZ40" s="15">
        <v>90.20661842754069</v>
      </c>
      <c r="BA40" s="15">
        <v>0</v>
      </c>
      <c r="BB40" s="15">
        <v>37.58609101147529</v>
      </c>
      <c r="BC40" s="15">
        <v>52.620527416065407</v>
      </c>
      <c r="BD40" s="15">
        <v>0</v>
      </c>
      <c r="BE40" s="15">
        <v>203.67176162862194</v>
      </c>
      <c r="BF40" s="15">
        <v>71.463776010042793</v>
      </c>
      <c r="BG40" s="15">
        <v>0</v>
      </c>
      <c r="BH40" s="15">
        <v>132.20798561857916</v>
      </c>
      <c r="BI40" s="15">
        <v>0</v>
      </c>
      <c r="BJ40" s="15">
        <v>366.85488792952583</v>
      </c>
      <c r="BK40" s="15">
        <v>468.31799707872892</v>
      </c>
      <c r="BL40" s="15">
        <v>-44.628092817131979</v>
      </c>
      <c r="BM40" s="15">
        <v>0.50924651383846153</v>
      </c>
    </row>
    <row r="41" spans="1:65" x14ac:dyDescent="0.4">
      <c r="A41" s="15" t="s">
        <v>10682</v>
      </c>
      <c r="B41" s="15" t="s">
        <v>10548</v>
      </c>
      <c r="C41" s="15" t="s">
        <v>10612</v>
      </c>
      <c r="D41" s="15" t="s">
        <v>10305</v>
      </c>
      <c r="E41" s="15" t="s">
        <v>10723</v>
      </c>
      <c r="F41" s="15">
        <v>336073</v>
      </c>
      <c r="G41" s="15">
        <v>0.89712563672056078</v>
      </c>
      <c r="H41" s="15">
        <v>200</v>
      </c>
      <c r="I41" s="119">
        <v>1312.5556207470124</v>
      </c>
      <c r="J41" s="117">
        <v>0.48577217426741959</v>
      </c>
      <c r="K41" s="15">
        <v>30</v>
      </c>
      <c r="L41" s="15">
        <v>175.76194088349837</v>
      </c>
      <c r="M41" s="15">
        <v>95.988278994690546</v>
      </c>
      <c r="N41" s="15">
        <v>1406772.9289616272</v>
      </c>
      <c r="O41" s="15">
        <v>198333.88138965491</v>
      </c>
      <c r="P41" s="15">
        <v>554655.39656634571</v>
      </c>
      <c r="Q41" s="15">
        <v>653783.65100562677</v>
      </c>
      <c r="R41" s="15">
        <v>112190.14108468981</v>
      </c>
      <c r="S41" s="15">
        <v>276578.59169850074</v>
      </c>
      <c r="T41" s="15">
        <v>265014.91822243616</v>
      </c>
      <c r="U41" s="15">
        <v>0</v>
      </c>
      <c r="V41" s="15">
        <v>0</v>
      </c>
      <c r="W41" s="15">
        <v>0</v>
      </c>
      <c r="X41" s="15">
        <v>0</v>
      </c>
      <c r="Y41" s="15">
        <v>1414.0149681815044</v>
      </c>
      <c r="Z41" s="15">
        <v>0</v>
      </c>
      <c r="AA41" s="15">
        <v>15.41</v>
      </c>
      <c r="AB41" s="15">
        <v>1413.7380000000001</v>
      </c>
      <c r="AC41" s="15">
        <v>-15.133031818495642</v>
      </c>
      <c r="AD41" s="15">
        <v>101.45934743449197</v>
      </c>
      <c r="AE41" s="15">
        <v>-1.421315507950649E-3</v>
      </c>
      <c r="AF41" s="15">
        <v>0</v>
      </c>
      <c r="AG41" s="15">
        <v>0</v>
      </c>
      <c r="AH41" s="15">
        <v>0</v>
      </c>
      <c r="AI41" s="15">
        <v>101.46076875000001</v>
      </c>
      <c r="AJ41" s="15">
        <v>0</v>
      </c>
      <c r="AK41" s="15">
        <v>0</v>
      </c>
      <c r="AL41" s="15">
        <v>0</v>
      </c>
      <c r="AM41" s="15">
        <v>0</v>
      </c>
      <c r="AN41" s="15">
        <v>-6.7044957448968043</v>
      </c>
      <c r="AO41" s="15">
        <v>1312.5556207470124</v>
      </c>
      <c r="AP41" s="15">
        <v>0</v>
      </c>
      <c r="AQ41" s="15">
        <v>0</v>
      </c>
      <c r="AR41" s="15">
        <v>0</v>
      </c>
      <c r="AS41" s="15">
        <v>0</v>
      </c>
      <c r="AT41" s="15">
        <v>0</v>
      </c>
      <c r="AU41" s="15">
        <v>336.14365030270682</v>
      </c>
      <c r="AV41" s="15">
        <v>70.162177255310866</v>
      </c>
      <c r="AW41" s="15">
        <v>70.162177255310866</v>
      </c>
      <c r="AX41" s="15">
        <v>0</v>
      </c>
      <c r="AY41" s="15">
        <v>0</v>
      </c>
      <c r="AZ41" s="15">
        <v>62.310910916861658</v>
      </c>
      <c r="BA41" s="15">
        <v>0</v>
      </c>
      <c r="BB41" s="15">
        <v>25.962879548692356</v>
      </c>
      <c r="BC41" s="15">
        <v>36.348031368169302</v>
      </c>
      <c r="BD41" s="15">
        <v>0</v>
      </c>
      <c r="BE41" s="15">
        <v>203.67056213053428</v>
      </c>
      <c r="BF41" s="15">
        <v>71.463355133520807</v>
      </c>
      <c r="BG41" s="15">
        <v>0</v>
      </c>
      <c r="BH41" s="15">
        <v>132.20720699701349</v>
      </c>
      <c r="BI41" s="15">
        <v>0</v>
      </c>
      <c r="BJ41" s="15">
        <v>336.14365030270682</v>
      </c>
      <c r="BK41" s="15">
        <v>437.60299773719879</v>
      </c>
      <c r="BL41" s="15">
        <v>-43.133196135748442</v>
      </c>
      <c r="BM41" s="15">
        <v>0.48577217426741959</v>
      </c>
    </row>
    <row r="42" spans="1:65" x14ac:dyDescent="0.4">
      <c r="A42" s="15" t="s">
        <v>10682</v>
      </c>
      <c r="B42" s="15" t="s">
        <v>10548</v>
      </c>
      <c r="C42" s="15" t="s">
        <v>10612</v>
      </c>
      <c r="D42" s="15" t="s">
        <v>10306</v>
      </c>
      <c r="E42" s="15" t="s">
        <v>10724</v>
      </c>
      <c r="F42" s="15">
        <v>336073</v>
      </c>
      <c r="G42" s="15">
        <v>0.89712563672056078</v>
      </c>
      <c r="H42" s="15">
        <v>200</v>
      </c>
      <c r="I42" s="119">
        <v>1311.8200504774711</v>
      </c>
      <c r="J42" s="117">
        <v>0.49453572673178203</v>
      </c>
      <c r="K42" s="15">
        <v>30</v>
      </c>
      <c r="L42" s="15">
        <v>277.80955156673008</v>
      </c>
      <c r="M42" s="15">
        <v>93.329564078668085</v>
      </c>
      <c r="N42" s="15">
        <v>1406772.9289616272</v>
      </c>
      <c r="O42" s="15">
        <v>322449.93997961684</v>
      </c>
      <c r="P42" s="15">
        <v>473801.12247427611</v>
      </c>
      <c r="Q42" s="15">
        <v>610521.86650773417</v>
      </c>
      <c r="R42" s="15">
        <v>112190.14108468981</v>
      </c>
      <c r="S42" s="15">
        <v>0</v>
      </c>
      <c r="T42" s="15">
        <v>498331.72542304435</v>
      </c>
      <c r="U42" s="15">
        <v>0</v>
      </c>
      <c r="V42" s="15">
        <v>0</v>
      </c>
      <c r="W42" s="15">
        <v>0</v>
      </c>
      <c r="X42" s="15">
        <v>0</v>
      </c>
      <c r="Y42" s="15">
        <v>1413.2794660872453</v>
      </c>
      <c r="Z42" s="15">
        <v>0</v>
      </c>
      <c r="AA42" s="15">
        <v>15.41</v>
      </c>
      <c r="AB42" s="15">
        <v>1413.7380000000001</v>
      </c>
      <c r="AC42" s="15">
        <v>-15.868533912754899</v>
      </c>
      <c r="AD42" s="15">
        <v>101.45941560977417</v>
      </c>
      <c r="AE42" s="15">
        <v>-1.3531402260730946E-3</v>
      </c>
      <c r="AF42" s="15">
        <v>0</v>
      </c>
      <c r="AG42" s="15">
        <v>0</v>
      </c>
      <c r="AH42" s="15">
        <v>0</v>
      </c>
      <c r="AI42" s="15">
        <v>101.46076875000001</v>
      </c>
      <c r="AJ42" s="15">
        <v>0</v>
      </c>
      <c r="AK42" s="15">
        <v>0</v>
      </c>
      <c r="AL42" s="15">
        <v>0</v>
      </c>
      <c r="AM42" s="15">
        <v>0</v>
      </c>
      <c r="AN42" s="15">
        <v>-6.3937485446101956</v>
      </c>
      <c r="AO42" s="15">
        <v>1311.8200504774711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5">
        <v>347.28246639442494</v>
      </c>
      <c r="AV42" s="15">
        <v>80.540823390340975</v>
      </c>
      <c r="AW42" s="15">
        <v>80.540823390340975</v>
      </c>
      <c r="AX42" s="15">
        <v>0</v>
      </c>
      <c r="AY42" s="15">
        <v>0</v>
      </c>
      <c r="AZ42" s="15">
        <v>63.070804662582631</v>
      </c>
      <c r="BA42" s="15">
        <v>0</v>
      </c>
      <c r="BB42" s="15">
        <v>26.279501942742765</v>
      </c>
      <c r="BC42" s="15">
        <v>36.791302719839869</v>
      </c>
      <c r="BD42" s="15">
        <v>0</v>
      </c>
      <c r="BE42" s="15">
        <v>203.67083834150134</v>
      </c>
      <c r="BF42" s="15">
        <v>71.463452049649604</v>
      </c>
      <c r="BG42" s="15">
        <v>0</v>
      </c>
      <c r="BH42" s="15">
        <v>132.20738629185175</v>
      </c>
      <c r="BI42" s="15">
        <v>0</v>
      </c>
      <c r="BJ42" s="15">
        <v>347.28246639442494</v>
      </c>
      <c r="BK42" s="15">
        <v>448.74188200419911</v>
      </c>
      <c r="BL42" s="15">
        <v>-41.88228223041763</v>
      </c>
      <c r="BM42" s="15">
        <v>0.49453572673178203</v>
      </c>
    </row>
    <row r="43" spans="1:65" x14ac:dyDescent="0.4">
      <c r="A43" s="15" t="s">
        <v>10682</v>
      </c>
      <c r="B43" s="15" t="s">
        <v>10548</v>
      </c>
      <c r="C43" s="15" t="s">
        <v>10612</v>
      </c>
      <c r="D43" s="15" t="s">
        <v>10307</v>
      </c>
      <c r="E43" s="15" t="s">
        <v>10725</v>
      </c>
      <c r="F43" s="15">
        <v>336073</v>
      </c>
      <c r="G43" s="15">
        <v>0.89712563672056078</v>
      </c>
      <c r="H43" s="15">
        <v>200</v>
      </c>
      <c r="I43" s="119">
        <v>1032.9064634116346</v>
      </c>
      <c r="J43" s="120">
        <v>0.97169444566055896</v>
      </c>
      <c r="K43" s="15">
        <v>30</v>
      </c>
      <c r="L43" s="15">
        <v>558.59129932672226</v>
      </c>
      <c r="M43" s="15">
        <v>94.718597541202243</v>
      </c>
      <c r="N43" s="15">
        <v>1406772.9289616272</v>
      </c>
      <c r="O43" s="15">
        <v>1028069.310061265</v>
      </c>
      <c r="P43" s="15">
        <v>258916.55757538744</v>
      </c>
      <c r="Q43" s="15">
        <v>119787.0613249748</v>
      </c>
      <c r="R43" s="15">
        <v>119787.0613249748</v>
      </c>
      <c r="S43" s="15">
        <v>0</v>
      </c>
      <c r="T43" s="15">
        <v>0</v>
      </c>
      <c r="U43" s="15">
        <v>916870540.38503015</v>
      </c>
      <c r="V43" s="15">
        <v>0</v>
      </c>
      <c r="W43" s="15">
        <v>0</v>
      </c>
      <c r="X43" s="15">
        <v>0</v>
      </c>
      <c r="Y43" s="15">
        <v>1410.0787547459852</v>
      </c>
      <c r="Z43" s="15">
        <v>0</v>
      </c>
      <c r="AA43" s="15">
        <v>15.41</v>
      </c>
      <c r="AB43" s="15">
        <v>1413.7380000000001</v>
      </c>
      <c r="AC43" s="15">
        <v>-19.069245254015044</v>
      </c>
      <c r="AD43" s="15">
        <v>377.17229133435058</v>
      </c>
      <c r="AE43" s="15">
        <v>4.5408752403378458E-3</v>
      </c>
      <c r="AF43" s="15">
        <v>0</v>
      </c>
      <c r="AG43" s="15">
        <v>0</v>
      </c>
      <c r="AH43" s="15">
        <v>1.1220268166895532E-2</v>
      </c>
      <c r="AI43" s="15">
        <v>123.00035822944254</v>
      </c>
      <c r="AJ43" s="15">
        <v>254.15617196150052</v>
      </c>
      <c r="AK43" s="15">
        <v>0</v>
      </c>
      <c r="AL43" s="15">
        <v>0</v>
      </c>
      <c r="AM43" s="15">
        <v>0</v>
      </c>
      <c r="AN43" s="15">
        <v>-19.779088595807778</v>
      </c>
      <c r="AO43" s="15">
        <v>1032.9064634116346</v>
      </c>
      <c r="AP43" s="15">
        <v>1.5761143407233377E-2</v>
      </c>
      <c r="AQ43" s="15">
        <v>4.5408752403378458E-3</v>
      </c>
      <c r="AR43" s="15">
        <v>0</v>
      </c>
      <c r="AS43" s="15">
        <v>0</v>
      </c>
      <c r="AT43" s="15">
        <v>1.1220268166895532E-2</v>
      </c>
      <c r="AU43" s="15">
        <v>426.48142090621889</v>
      </c>
      <c r="AV43" s="15">
        <v>119.07592051918013</v>
      </c>
      <c r="AW43" s="15">
        <v>119.07592051918013</v>
      </c>
      <c r="AX43" s="15">
        <v>0</v>
      </c>
      <c r="AY43" s="15">
        <v>0</v>
      </c>
      <c r="AZ43" s="15">
        <v>103.73445233656622</v>
      </c>
      <c r="BA43" s="15">
        <v>0</v>
      </c>
      <c r="BB43" s="15">
        <v>43.222688473569264</v>
      </c>
      <c r="BC43" s="15">
        <v>60.511763862996965</v>
      </c>
      <c r="BD43" s="15">
        <v>0</v>
      </c>
      <c r="BE43" s="15">
        <v>203.67104805047251</v>
      </c>
      <c r="BF43" s="15">
        <v>71.46352563174473</v>
      </c>
      <c r="BG43" s="15">
        <v>0</v>
      </c>
      <c r="BH43" s="15">
        <v>132.20752241872776</v>
      </c>
      <c r="BI43" s="15">
        <v>0</v>
      </c>
      <c r="BJ43" s="15">
        <v>426.49718204962613</v>
      </c>
      <c r="BK43" s="15">
        <v>803.66947338397677</v>
      </c>
      <c r="BL43" s="15">
        <v>-53.632889242045565</v>
      </c>
      <c r="BM43" s="15">
        <v>0.97169444566055896</v>
      </c>
    </row>
    <row r="44" spans="1:65" x14ac:dyDescent="0.4">
      <c r="A44" s="15" t="s">
        <v>10682</v>
      </c>
      <c r="B44" s="15" t="s">
        <v>10548</v>
      </c>
      <c r="C44" s="15" t="s">
        <v>10612</v>
      </c>
      <c r="D44" s="15" t="s">
        <v>10308</v>
      </c>
      <c r="E44" s="15" t="s">
        <v>10726</v>
      </c>
      <c r="F44" s="15">
        <v>336073</v>
      </c>
      <c r="G44" s="15">
        <v>0.89712563672056078</v>
      </c>
      <c r="H44" s="15">
        <v>200</v>
      </c>
      <c r="I44" s="119">
        <v>1032.9064634116346</v>
      </c>
      <c r="J44" s="120">
        <v>0.97169444566055896</v>
      </c>
      <c r="K44" s="15">
        <v>30</v>
      </c>
      <c r="L44" s="15">
        <v>558.59129932672226</v>
      </c>
      <c r="M44" s="15">
        <v>94.718597541202243</v>
      </c>
      <c r="N44" s="15">
        <v>1406772.9289616272</v>
      </c>
      <c r="O44" s="15">
        <v>1028069.310061265</v>
      </c>
      <c r="P44" s="15">
        <v>258916.55757538744</v>
      </c>
      <c r="Q44" s="15">
        <v>119787.0613249748</v>
      </c>
      <c r="R44" s="15">
        <v>119787.0613249748</v>
      </c>
      <c r="S44" s="15">
        <v>0</v>
      </c>
      <c r="T44" s="15">
        <v>0</v>
      </c>
      <c r="U44" s="15">
        <v>916870540.38503015</v>
      </c>
      <c r="V44" s="15">
        <v>0</v>
      </c>
      <c r="W44" s="15">
        <v>0</v>
      </c>
      <c r="X44" s="15">
        <v>0</v>
      </c>
      <c r="Y44" s="15">
        <v>1410.0787547459852</v>
      </c>
      <c r="Z44" s="15">
        <v>0</v>
      </c>
      <c r="AA44" s="15">
        <v>15.41</v>
      </c>
      <c r="AB44" s="15">
        <v>1413.7380000000001</v>
      </c>
      <c r="AC44" s="15">
        <v>-19.069245254015044</v>
      </c>
      <c r="AD44" s="15">
        <v>377.17229133435058</v>
      </c>
      <c r="AE44" s="15">
        <v>4.5408752403378458E-3</v>
      </c>
      <c r="AF44" s="15">
        <v>0</v>
      </c>
      <c r="AG44" s="15">
        <v>0</v>
      </c>
      <c r="AH44" s="15">
        <v>1.1220268166895532E-2</v>
      </c>
      <c r="AI44" s="15">
        <v>123.00035822944254</v>
      </c>
      <c r="AJ44" s="15">
        <v>254.15617196150052</v>
      </c>
      <c r="AK44" s="15">
        <v>0</v>
      </c>
      <c r="AL44" s="15">
        <v>0</v>
      </c>
      <c r="AM44" s="15">
        <v>0</v>
      </c>
      <c r="AN44" s="15">
        <v>-19.779088595807778</v>
      </c>
      <c r="AO44" s="15">
        <v>1032.9064634116346</v>
      </c>
      <c r="AP44" s="15">
        <v>1.5761143407233377E-2</v>
      </c>
      <c r="AQ44" s="15">
        <v>4.5408752403378458E-3</v>
      </c>
      <c r="AR44" s="15">
        <v>0</v>
      </c>
      <c r="AS44" s="15">
        <v>0</v>
      </c>
      <c r="AT44" s="15">
        <v>1.1220268166895532E-2</v>
      </c>
      <c r="AU44" s="15">
        <v>426.48142090621889</v>
      </c>
      <c r="AV44" s="15">
        <v>119.07592051918013</v>
      </c>
      <c r="AW44" s="15">
        <v>119.07592051918013</v>
      </c>
      <c r="AX44" s="15">
        <v>0</v>
      </c>
      <c r="AY44" s="15">
        <v>0</v>
      </c>
      <c r="AZ44" s="15">
        <v>103.73445233656622</v>
      </c>
      <c r="BA44" s="15">
        <v>0</v>
      </c>
      <c r="BB44" s="15">
        <v>43.222688473569264</v>
      </c>
      <c r="BC44" s="15">
        <v>60.511763862996965</v>
      </c>
      <c r="BD44" s="15">
        <v>0</v>
      </c>
      <c r="BE44" s="15">
        <v>203.67104805047251</v>
      </c>
      <c r="BF44" s="15">
        <v>71.46352563174473</v>
      </c>
      <c r="BG44" s="15">
        <v>0</v>
      </c>
      <c r="BH44" s="15">
        <v>132.20752241872776</v>
      </c>
      <c r="BI44" s="15">
        <v>0</v>
      </c>
      <c r="BJ44" s="15">
        <v>426.49718204962613</v>
      </c>
      <c r="BK44" s="15">
        <v>803.66947338397677</v>
      </c>
      <c r="BL44" s="15">
        <v>-53.632889242045565</v>
      </c>
      <c r="BM44" s="15">
        <v>0.97169444566055896</v>
      </c>
    </row>
    <row r="45" spans="1:65" s="56" customFormat="1" x14ac:dyDescent="0.4">
      <c r="A45" s="55" t="s">
        <v>10682</v>
      </c>
      <c r="B45" s="55" t="s">
        <v>10548</v>
      </c>
      <c r="C45" s="55" t="s">
        <v>10727</v>
      </c>
      <c r="D45" s="55" t="s">
        <v>10307</v>
      </c>
      <c r="E45" s="55" t="s">
        <v>10728</v>
      </c>
      <c r="F45" s="55">
        <v>336073</v>
      </c>
      <c r="G45" s="55">
        <v>0.89712563672056078</v>
      </c>
      <c r="H45" s="55">
        <v>200</v>
      </c>
      <c r="I45" s="55">
        <v>1032.9064634116346</v>
      </c>
      <c r="J45" s="92">
        <v>0.97169444566055896</v>
      </c>
      <c r="K45" s="55">
        <v>30</v>
      </c>
      <c r="L45" s="55">
        <v>558.59129932672226</v>
      </c>
      <c r="M45" s="55">
        <v>94.718597541202243</v>
      </c>
      <c r="N45" s="55">
        <v>1406772.9289616272</v>
      </c>
      <c r="O45" s="55">
        <v>1028069.310061265</v>
      </c>
      <c r="P45" s="55">
        <v>258916.55757538744</v>
      </c>
      <c r="Q45" s="55">
        <v>119787.0613249748</v>
      </c>
      <c r="R45" s="55">
        <v>119787.0613249748</v>
      </c>
      <c r="S45" s="55">
        <v>0</v>
      </c>
      <c r="T45" s="55">
        <v>0</v>
      </c>
      <c r="U45" s="55">
        <v>916870540.38503015</v>
      </c>
      <c r="V45" s="55">
        <v>0</v>
      </c>
      <c r="W45" s="55">
        <v>0</v>
      </c>
      <c r="X45" s="55">
        <v>0</v>
      </c>
      <c r="Y45" s="55">
        <v>1410.0787547459852</v>
      </c>
      <c r="Z45" s="55">
        <v>0</v>
      </c>
      <c r="AA45" s="55">
        <v>15.41</v>
      </c>
      <c r="AB45" s="55">
        <v>1413.7380000000001</v>
      </c>
      <c r="AC45" s="55">
        <v>-19.069245254015044</v>
      </c>
      <c r="AD45" s="55">
        <v>377.17229133435058</v>
      </c>
      <c r="AE45" s="55">
        <v>4.5408752403378458E-3</v>
      </c>
      <c r="AF45" s="55">
        <v>0</v>
      </c>
      <c r="AG45" s="55">
        <v>0</v>
      </c>
      <c r="AH45" s="55">
        <v>1.1220268166895532E-2</v>
      </c>
      <c r="AI45" s="55">
        <v>123.00035822944254</v>
      </c>
      <c r="AJ45" s="55">
        <v>254.15617196150052</v>
      </c>
      <c r="AK45" s="55">
        <v>0</v>
      </c>
      <c r="AL45" s="55">
        <v>0</v>
      </c>
      <c r="AM45" s="55">
        <v>0</v>
      </c>
      <c r="AN45" s="55">
        <v>-19.779088595807778</v>
      </c>
      <c r="AO45" s="55">
        <v>1032.9064634116346</v>
      </c>
      <c r="AP45" s="55">
        <v>1.5761143407233377E-2</v>
      </c>
      <c r="AQ45" s="55">
        <v>4.5408752403378458E-3</v>
      </c>
      <c r="AR45" s="55">
        <v>0</v>
      </c>
      <c r="AS45" s="55">
        <v>0</v>
      </c>
      <c r="AT45" s="55">
        <v>1.1220268166895532E-2</v>
      </c>
      <c r="AU45" s="55">
        <v>426.48142090621889</v>
      </c>
      <c r="AV45" s="55">
        <v>119.07592051918013</v>
      </c>
      <c r="AW45" s="55">
        <v>119.07592051918013</v>
      </c>
      <c r="AX45" s="55">
        <v>0</v>
      </c>
      <c r="AY45" s="55">
        <v>0</v>
      </c>
      <c r="AZ45" s="55">
        <v>103.73445233656622</v>
      </c>
      <c r="BA45" s="55">
        <v>0</v>
      </c>
      <c r="BB45" s="55">
        <v>43.222688473569264</v>
      </c>
      <c r="BC45" s="55">
        <v>60.511763862996965</v>
      </c>
      <c r="BD45" s="55">
        <v>0</v>
      </c>
      <c r="BE45" s="55">
        <v>203.67104805047251</v>
      </c>
      <c r="BF45" s="55">
        <v>71.46352563174473</v>
      </c>
      <c r="BG45" s="55">
        <v>0</v>
      </c>
      <c r="BH45" s="55">
        <v>132.20752241872776</v>
      </c>
      <c r="BI45" s="55">
        <v>0</v>
      </c>
      <c r="BJ45" s="55">
        <v>426.49718204962613</v>
      </c>
      <c r="BK45" s="55">
        <v>803.66947338397677</v>
      </c>
      <c r="BL45" s="55">
        <v>-53.632889242045565</v>
      </c>
      <c r="BM45" s="55">
        <v>0.97169444566055896</v>
      </c>
    </row>
    <row r="46" spans="1:65" s="52" customFormat="1" x14ac:dyDescent="0.4">
      <c r="A46" s="15" t="s">
        <v>10682</v>
      </c>
      <c r="B46" s="15" t="s">
        <v>10548</v>
      </c>
      <c r="C46" s="15" t="s">
        <v>10615</v>
      </c>
      <c r="D46" s="15" t="s">
        <v>10302</v>
      </c>
      <c r="E46" s="15" t="s">
        <v>10729</v>
      </c>
      <c r="F46" s="15">
        <v>1017342</v>
      </c>
      <c r="G46" s="15">
        <v>0.89712497377331613</v>
      </c>
      <c r="H46" s="15">
        <v>200</v>
      </c>
      <c r="I46" s="119">
        <v>350.29353464562763</v>
      </c>
      <c r="J46" s="120">
        <v>1.4528534880999968</v>
      </c>
      <c r="K46" s="15">
        <v>30</v>
      </c>
      <c r="L46" s="15">
        <v>575.30505887012919</v>
      </c>
      <c r="M46" s="15">
        <v>77.088579791646495</v>
      </c>
      <c r="N46" s="15">
        <v>4258503.7402804708</v>
      </c>
      <c r="O46" s="15">
        <v>795741.87965693872</v>
      </c>
      <c r="P46" s="15">
        <v>1609251.3015442628</v>
      </c>
      <c r="Q46" s="15">
        <v>1853510.5590792694</v>
      </c>
      <c r="R46" s="15">
        <v>339615.67328736756</v>
      </c>
      <c r="S46" s="15">
        <v>711656.65867916553</v>
      </c>
      <c r="T46" s="15">
        <v>802238.22711273644</v>
      </c>
      <c r="U46" s="15">
        <v>0</v>
      </c>
      <c r="V46" s="15">
        <v>517133956.80320305</v>
      </c>
      <c r="W46" s="15">
        <v>0</v>
      </c>
      <c r="X46" s="15">
        <v>0</v>
      </c>
      <c r="Y46" s="15">
        <v>496.15822642129802</v>
      </c>
      <c r="Z46" s="15">
        <v>0</v>
      </c>
      <c r="AA46" s="15">
        <v>499.74099999999999</v>
      </c>
      <c r="AB46" s="15">
        <v>0</v>
      </c>
      <c r="AC46" s="15">
        <v>-3.5827735787019614</v>
      </c>
      <c r="AD46" s="15">
        <v>145.86469177567039</v>
      </c>
      <c r="AE46" s="15">
        <v>1.1910481145169878E-3</v>
      </c>
      <c r="AF46" s="15">
        <v>0</v>
      </c>
      <c r="AG46" s="15">
        <v>0</v>
      </c>
      <c r="AH46" s="15">
        <v>2.3969810676031829E-3</v>
      </c>
      <c r="AI46" s="15">
        <v>101.46076874999999</v>
      </c>
      <c r="AJ46" s="15">
        <v>44.400334996488333</v>
      </c>
      <c r="AK46" s="15">
        <v>0</v>
      </c>
      <c r="AL46" s="15">
        <v>0</v>
      </c>
      <c r="AM46" s="15">
        <v>0</v>
      </c>
      <c r="AN46" s="15">
        <v>-40.712785380235267</v>
      </c>
      <c r="AO46" s="15">
        <v>350.29353464562763</v>
      </c>
      <c r="AP46" s="15">
        <v>3.5880291821201709E-3</v>
      </c>
      <c r="AQ46" s="15">
        <v>1.1910481145169878E-3</v>
      </c>
      <c r="AR46" s="15">
        <v>0</v>
      </c>
      <c r="AS46" s="15">
        <v>0</v>
      </c>
      <c r="AT46" s="15">
        <v>2.3969810676031829E-3</v>
      </c>
      <c r="AU46" s="15">
        <v>163.05690386392473</v>
      </c>
      <c r="AV46" s="15">
        <v>51.803443033998526</v>
      </c>
      <c r="AW46" s="15">
        <v>51.803443033998526</v>
      </c>
      <c r="AX46" s="15">
        <v>0</v>
      </c>
      <c r="AY46" s="15">
        <v>0</v>
      </c>
      <c r="AZ46" s="15">
        <v>40.035289340496689</v>
      </c>
      <c r="BA46" s="15">
        <v>0</v>
      </c>
      <c r="BB46" s="15">
        <v>16.681370558540287</v>
      </c>
      <c r="BC46" s="15">
        <v>23.353918781956402</v>
      </c>
      <c r="BD46" s="15">
        <v>0</v>
      </c>
      <c r="BE46" s="15">
        <v>71.218171489429523</v>
      </c>
      <c r="BF46" s="15">
        <v>24.98883210155422</v>
      </c>
      <c r="BG46" s="15">
        <v>0</v>
      </c>
      <c r="BH46" s="15">
        <v>46.229339387875299</v>
      </c>
      <c r="BI46" s="15">
        <v>0</v>
      </c>
      <c r="BJ46" s="15">
        <v>163.06049189310684</v>
      </c>
      <c r="BK46" s="51">
        <v>308.92518366877721</v>
      </c>
      <c r="BL46" s="51">
        <v>-143.04782202652081</v>
      </c>
      <c r="BM46" s="51">
        <v>1.4528534880999968</v>
      </c>
    </row>
    <row r="47" spans="1:65" s="52" customFormat="1" x14ac:dyDescent="0.4">
      <c r="A47" s="15" t="s">
        <v>10682</v>
      </c>
      <c r="B47" s="15" t="s">
        <v>10548</v>
      </c>
      <c r="C47" s="15" t="s">
        <v>10615</v>
      </c>
      <c r="D47" s="15" t="s">
        <v>10303</v>
      </c>
      <c r="E47" s="15" t="s">
        <v>10730</v>
      </c>
      <c r="F47" s="15">
        <v>1017342</v>
      </c>
      <c r="G47" s="15">
        <v>0.89712497377331613</v>
      </c>
      <c r="H47" s="15">
        <v>200</v>
      </c>
      <c r="I47" s="119">
        <v>394.69703407616737</v>
      </c>
      <c r="J47" s="120">
        <v>1.1768994853060657</v>
      </c>
      <c r="K47" s="15">
        <v>30</v>
      </c>
      <c r="L47" s="15">
        <v>575.30505887012919</v>
      </c>
      <c r="M47" s="15">
        <v>77.088579791646495</v>
      </c>
      <c r="N47" s="15">
        <v>4258503.7402804708</v>
      </c>
      <c r="O47" s="15">
        <v>795741.87965693872</v>
      </c>
      <c r="P47" s="15">
        <v>1609251.3015442628</v>
      </c>
      <c r="Q47" s="15">
        <v>1853510.5590792694</v>
      </c>
      <c r="R47" s="15">
        <v>339615.67328736756</v>
      </c>
      <c r="S47" s="15">
        <v>711656.65867916553</v>
      </c>
      <c r="T47" s="15">
        <v>802238.22711273644</v>
      </c>
      <c r="U47" s="15">
        <v>0</v>
      </c>
      <c r="V47" s="15">
        <v>0</v>
      </c>
      <c r="W47" s="15">
        <v>129283489.20080076</v>
      </c>
      <c r="X47" s="15">
        <v>0</v>
      </c>
      <c r="Y47" s="15">
        <v>496.15822642129802</v>
      </c>
      <c r="Z47" s="15">
        <v>0</v>
      </c>
      <c r="AA47" s="15">
        <v>499.74099999999999</v>
      </c>
      <c r="AB47" s="15">
        <v>0</v>
      </c>
      <c r="AC47" s="15">
        <v>-3.5827735787019614</v>
      </c>
      <c r="AD47" s="15">
        <v>101.46119234513066</v>
      </c>
      <c r="AE47" s="15">
        <v>-1.3533958978363583E-3</v>
      </c>
      <c r="AF47" s="15">
        <v>1.4241023567678748E-4</v>
      </c>
      <c r="AG47" s="15">
        <v>3.0745683245602626E-4</v>
      </c>
      <c r="AH47" s="15">
        <v>0</v>
      </c>
      <c r="AI47" s="15">
        <v>101.46076874999999</v>
      </c>
      <c r="AJ47" s="15">
        <v>0</v>
      </c>
      <c r="AK47" s="15">
        <v>1.3271239603291167E-3</v>
      </c>
      <c r="AL47" s="15">
        <v>0</v>
      </c>
      <c r="AM47" s="15">
        <v>0</v>
      </c>
      <c r="AN47" s="15">
        <v>-28.319175107317285</v>
      </c>
      <c r="AO47" s="15">
        <v>394.69703407616737</v>
      </c>
      <c r="AP47" s="15">
        <v>0</v>
      </c>
      <c r="AQ47" s="15">
        <v>0</v>
      </c>
      <c r="AR47" s="15">
        <v>0</v>
      </c>
      <c r="AS47" s="15">
        <v>0</v>
      </c>
      <c r="AT47" s="15">
        <v>0</v>
      </c>
      <c r="AU47" s="15">
        <v>163.0575439109414</v>
      </c>
      <c r="AV47" s="15">
        <v>51.803443033998526</v>
      </c>
      <c r="AW47" s="15">
        <v>51.803443033998526</v>
      </c>
      <c r="AX47" s="15">
        <v>0</v>
      </c>
      <c r="AY47" s="15">
        <v>0</v>
      </c>
      <c r="AZ47" s="15">
        <v>40.035289340496689</v>
      </c>
      <c r="BA47" s="15">
        <v>0</v>
      </c>
      <c r="BB47" s="15">
        <v>16.681370558540287</v>
      </c>
      <c r="BC47" s="15">
        <v>23.353918781956402</v>
      </c>
      <c r="BD47" s="15">
        <v>0</v>
      </c>
      <c r="BE47" s="15">
        <v>71.218811536446196</v>
      </c>
      <c r="BF47" s="15">
        <v>24.989056679454805</v>
      </c>
      <c r="BG47" s="15">
        <v>0</v>
      </c>
      <c r="BH47" s="15">
        <v>46.229754856991391</v>
      </c>
      <c r="BI47" s="15">
        <v>0</v>
      </c>
      <c r="BJ47" s="15">
        <v>163.0575439109414</v>
      </c>
      <c r="BK47" s="51">
        <v>264.51873625607209</v>
      </c>
      <c r="BL47" s="51">
        <v>-130.65338893237211</v>
      </c>
      <c r="BM47" s="51">
        <v>1.1768994853060657</v>
      </c>
    </row>
    <row r="48" spans="1:65" x14ac:dyDescent="0.4">
      <c r="A48" s="15" t="s">
        <v>10682</v>
      </c>
      <c r="B48" s="15" t="s">
        <v>10548</v>
      </c>
      <c r="C48" s="15" t="s">
        <v>10615</v>
      </c>
      <c r="D48" s="15" t="s">
        <v>10304</v>
      </c>
      <c r="E48" s="15" t="s">
        <v>10731</v>
      </c>
      <c r="F48" s="15">
        <v>1017342</v>
      </c>
      <c r="G48" s="15">
        <v>0.89712497377331613</v>
      </c>
      <c r="H48" s="15">
        <v>200</v>
      </c>
      <c r="I48" s="119">
        <v>394.69748394323551</v>
      </c>
      <c r="J48" s="120">
        <v>1.1768971665445607</v>
      </c>
      <c r="K48" s="15">
        <v>30</v>
      </c>
      <c r="L48" s="15">
        <v>575.30505887012919</v>
      </c>
      <c r="M48" s="15">
        <v>77.088579791646495</v>
      </c>
      <c r="N48" s="15">
        <v>4258503.7402804708</v>
      </c>
      <c r="O48" s="15">
        <v>795741.87965693872</v>
      </c>
      <c r="P48" s="15">
        <v>1609251.3015442628</v>
      </c>
      <c r="Q48" s="15">
        <v>1853510.5590792694</v>
      </c>
      <c r="R48" s="15">
        <v>339615.67328736756</v>
      </c>
      <c r="S48" s="15">
        <v>711656.65867916553</v>
      </c>
      <c r="T48" s="15">
        <v>802238.22711273644</v>
      </c>
      <c r="U48" s="15">
        <v>0</v>
      </c>
      <c r="V48" s="15">
        <v>0</v>
      </c>
      <c r="W48" s="15">
        <v>0</v>
      </c>
      <c r="X48" s="15">
        <v>129283489200.80077</v>
      </c>
      <c r="Y48" s="15">
        <v>496.15822642129802</v>
      </c>
      <c r="Z48" s="15">
        <v>0</v>
      </c>
      <c r="AA48" s="15">
        <v>499.74099999999999</v>
      </c>
      <c r="AB48" s="15">
        <v>0</v>
      </c>
      <c r="AC48" s="15">
        <v>-3.5827735787019614</v>
      </c>
      <c r="AD48" s="15">
        <v>101.46074247806251</v>
      </c>
      <c r="AE48" s="15">
        <v>-1.3533958978363583E-3</v>
      </c>
      <c r="AF48" s="15">
        <v>0</v>
      </c>
      <c r="AG48" s="15">
        <v>0</v>
      </c>
      <c r="AH48" s="15">
        <v>0</v>
      </c>
      <c r="AI48" s="15">
        <v>101.46076874999999</v>
      </c>
      <c r="AJ48" s="15">
        <v>0</v>
      </c>
      <c r="AK48" s="15">
        <v>1.3271239603291167E-3</v>
      </c>
      <c r="AL48" s="15">
        <v>0</v>
      </c>
      <c r="AM48" s="15">
        <v>0</v>
      </c>
      <c r="AN48" s="15">
        <v>-28.319049543404788</v>
      </c>
      <c r="AO48" s="15">
        <v>394.69748394323551</v>
      </c>
      <c r="AP48" s="15">
        <v>0</v>
      </c>
      <c r="AQ48" s="15">
        <v>0</v>
      </c>
      <c r="AR48" s="15">
        <v>0</v>
      </c>
      <c r="AS48" s="15">
        <v>0</v>
      </c>
      <c r="AT48" s="15">
        <v>0</v>
      </c>
      <c r="AU48" s="15">
        <v>163.05760801699861</v>
      </c>
      <c r="AV48" s="15">
        <v>51.803443033998526</v>
      </c>
      <c r="AW48" s="15">
        <v>51.803443033998526</v>
      </c>
      <c r="AX48" s="15">
        <v>0</v>
      </c>
      <c r="AY48" s="15">
        <v>0</v>
      </c>
      <c r="AZ48" s="15">
        <v>40.035289340496689</v>
      </c>
      <c r="BA48" s="15">
        <v>0</v>
      </c>
      <c r="BB48" s="15">
        <v>16.681370558540287</v>
      </c>
      <c r="BC48" s="15">
        <v>23.353918781956402</v>
      </c>
      <c r="BD48" s="15">
        <v>0</v>
      </c>
      <c r="BE48" s="15">
        <v>71.218875642503406</v>
      </c>
      <c r="BF48" s="15">
        <v>24.989079172808214</v>
      </c>
      <c r="BG48" s="15">
        <v>0</v>
      </c>
      <c r="BH48" s="15">
        <v>46.229796469695195</v>
      </c>
      <c r="BI48" s="15">
        <v>0</v>
      </c>
      <c r="BJ48" s="15">
        <v>163.05760801699861</v>
      </c>
      <c r="BK48" s="15">
        <v>264.5183504950611</v>
      </c>
      <c r="BL48" s="15">
        <v>-130.65328126131712</v>
      </c>
      <c r="BM48" s="15">
        <v>1.1768971665445607</v>
      </c>
    </row>
    <row r="49" spans="1:65" x14ac:dyDescent="0.4">
      <c r="A49" s="15" t="s">
        <v>10682</v>
      </c>
      <c r="B49" s="15" t="s">
        <v>10548</v>
      </c>
      <c r="C49" s="15" t="s">
        <v>10615</v>
      </c>
      <c r="D49" s="15" t="s">
        <v>10305</v>
      </c>
      <c r="E49" s="15" t="s">
        <v>10732</v>
      </c>
      <c r="F49" s="15">
        <v>1017342</v>
      </c>
      <c r="G49" s="15">
        <v>0.89712497377331613</v>
      </c>
      <c r="H49" s="15">
        <v>200</v>
      </c>
      <c r="I49" s="119">
        <v>394.73850397612574</v>
      </c>
      <c r="J49" s="120">
        <v>1.1428595321498087</v>
      </c>
      <c r="K49" s="15">
        <v>30</v>
      </c>
      <c r="L49" s="15">
        <v>393.20109993209212</v>
      </c>
      <c r="M49" s="15">
        <v>63.637641728157469</v>
      </c>
      <c r="N49" s="15">
        <v>4258503.7402804708</v>
      </c>
      <c r="O49" s="15">
        <v>600385.1498234421</v>
      </c>
      <c r="P49" s="15">
        <v>1679021.5621990829</v>
      </c>
      <c r="Q49" s="15">
        <v>1979097.028257946</v>
      </c>
      <c r="R49" s="15">
        <v>339615.67328736756</v>
      </c>
      <c r="S49" s="15">
        <v>837243.12785784213</v>
      </c>
      <c r="T49" s="15">
        <v>802238.22711273644</v>
      </c>
      <c r="U49" s="15">
        <v>0</v>
      </c>
      <c r="V49" s="15">
        <v>0</v>
      </c>
      <c r="W49" s="15">
        <v>0</v>
      </c>
      <c r="X49" s="15">
        <v>0</v>
      </c>
      <c r="Y49" s="15">
        <v>496.19820075127819</v>
      </c>
      <c r="Z49" s="15">
        <v>0</v>
      </c>
      <c r="AA49" s="15">
        <v>499.74099999999999</v>
      </c>
      <c r="AB49" s="15">
        <v>0</v>
      </c>
      <c r="AC49" s="15">
        <v>-3.5427992487217672</v>
      </c>
      <c r="AD49" s="15">
        <v>101.45969677515245</v>
      </c>
      <c r="AE49" s="15">
        <v>-1.0719748475731003E-3</v>
      </c>
      <c r="AF49" s="15">
        <v>0</v>
      </c>
      <c r="AG49" s="15">
        <v>0</v>
      </c>
      <c r="AH49" s="15">
        <v>0</v>
      </c>
      <c r="AI49" s="15">
        <v>101.46076874999999</v>
      </c>
      <c r="AJ49" s="15">
        <v>0</v>
      </c>
      <c r="AK49" s="15">
        <v>0</v>
      </c>
      <c r="AL49" s="15">
        <v>0</v>
      </c>
      <c r="AM49" s="15">
        <v>0</v>
      </c>
      <c r="AN49" s="15">
        <v>-28.638285618853185</v>
      </c>
      <c r="AO49" s="15">
        <v>394.73850397612574</v>
      </c>
      <c r="AP49" s="15">
        <v>0</v>
      </c>
      <c r="AQ49" s="15">
        <v>0</v>
      </c>
      <c r="AR49" s="15">
        <v>0</v>
      </c>
      <c r="AS49" s="15">
        <v>0</v>
      </c>
      <c r="AT49" s="15">
        <v>0</v>
      </c>
      <c r="AU49" s="15">
        <v>149.670965200518</v>
      </c>
      <c r="AV49" s="15">
        <v>49.768690887802606</v>
      </c>
      <c r="AW49" s="15">
        <v>49.768690887802606</v>
      </c>
      <c r="AX49" s="15">
        <v>0</v>
      </c>
      <c r="AY49" s="15">
        <v>0</v>
      </c>
      <c r="AZ49" s="15">
        <v>28.684613532272149</v>
      </c>
      <c r="BA49" s="15">
        <v>0</v>
      </c>
      <c r="BB49" s="15">
        <v>11.951922305113396</v>
      </c>
      <c r="BC49" s="15">
        <v>16.732691227158753</v>
      </c>
      <c r="BD49" s="15">
        <v>0</v>
      </c>
      <c r="BE49" s="15">
        <v>71.217660780443239</v>
      </c>
      <c r="BF49" s="15">
        <v>24.988652905418679</v>
      </c>
      <c r="BG49" s="15">
        <v>0</v>
      </c>
      <c r="BH49" s="15">
        <v>46.229007875024557</v>
      </c>
      <c r="BI49" s="15">
        <v>0</v>
      </c>
      <c r="BJ49" s="15">
        <v>149.670965200518</v>
      </c>
      <c r="BK49" s="15">
        <v>251.13066197567045</v>
      </c>
      <c r="BL49" s="15">
        <v>-128.33734832376891</v>
      </c>
      <c r="BM49" s="15">
        <v>1.1428595321498087</v>
      </c>
    </row>
    <row r="50" spans="1:65" x14ac:dyDescent="0.4">
      <c r="A50" s="15" t="s">
        <v>10682</v>
      </c>
      <c r="B50" s="15" t="s">
        <v>10548</v>
      </c>
      <c r="C50" s="15" t="s">
        <v>10615</v>
      </c>
      <c r="D50" s="15" t="s">
        <v>10306</v>
      </c>
      <c r="E50" s="15" t="s">
        <v>10733</v>
      </c>
      <c r="F50" s="15">
        <v>1017342</v>
      </c>
      <c r="G50" s="15">
        <v>0.89712497377331613</v>
      </c>
      <c r="H50" s="15">
        <v>200</v>
      </c>
      <c r="I50" s="119">
        <v>394.56344933242389</v>
      </c>
      <c r="J50" s="120">
        <v>1.1740564934978017</v>
      </c>
      <c r="K50" s="15">
        <v>30</v>
      </c>
      <c r="L50" s="15">
        <v>606.38423433613639</v>
      </c>
      <c r="M50" s="15">
        <v>82.064136588005496</v>
      </c>
      <c r="N50" s="15">
        <v>4258503.7402804708</v>
      </c>
      <c r="O50" s="15">
        <v>976102.28856903745</v>
      </c>
      <c r="P50" s="15">
        <v>1434264.0597264629</v>
      </c>
      <c r="Q50" s="15">
        <v>1848137.391984971</v>
      </c>
      <c r="R50" s="15">
        <v>339615.67328736756</v>
      </c>
      <c r="S50" s="15">
        <v>0</v>
      </c>
      <c r="T50" s="15">
        <v>1508521.7186976038</v>
      </c>
      <c r="U50" s="15">
        <v>0</v>
      </c>
      <c r="V50" s="15">
        <v>0</v>
      </c>
      <c r="W50" s="15">
        <v>0</v>
      </c>
      <c r="X50" s="15">
        <v>0</v>
      </c>
      <c r="Y50" s="15">
        <v>496.02220209076347</v>
      </c>
      <c r="Z50" s="15">
        <v>0</v>
      </c>
      <c r="AA50" s="15">
        <v>499.74099999999999</v>
      </c>
      <c r="AB50" s="15">
        <v>0</v>
      </c>
      <c r="AC50" s="15">
        <v>-3.718797909236518</v>
      </c>
      <c r="AD50" s="15">
        <v>101.45875275833959</v>
      </c>
      <c r="AE50" s="15">
        <v>-2.0159916604389609E-3</v>
      </c>
      <c r="AF50" s="15">
        <v>0</v>
      </c>
      <c r="AG50" s="15">
        <v>0</v>
      </c>
      <c r="AH50" s="15">
        <v>0</v>
      </c>
      <c r="AI50" s="15">
        <v>101.46076874999999</v>
      </c>
      <c r="AJ50" s="15">
        <v>0</v>
      </c>
      <c r="AK50" s="15">
        <v>0</v>
      </c>
      <c r="AL50" s="15">
        <v>0</v>
      </c>
      <c r="AM50" s="15">
        <v>0</v>
      </c>
      <c r="AN50" s="15">
        <v>-27.282674464870134</v>
      </c>
      <c r="AO50" s="15">
        <v>394.56344933242389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161.78102702728356</v>
      </c>
      <c r="AV50" s="15">
        <v>57.341757162848914</v>
      </c>
      <c r="AW50" s="15">
        <v>57.341757162848914</v>
      </c>
      <c r="AX50" s="15">
        <v>0</v>
      </c>
      <c r="AY50" s="15">
        <v>0</v>
      </c>
      <c r="AZ50" s="15">
        <v>33.219871510517386</v>
      </c>
      <c r="BA50" s="15">
        <v>0</v>
      </c>
      <c r="BB50" s="15">
        <v>13.841613129382246</v>
      </c>
      <c r="BC50" s="15">
        <v>19.37825838113514</v>
      </c>
      <c r="BD50" s="15">
        <v>0</v>
      </c>
      <c r="BE50" s="15">
        <v>71.219398353917256</v>
      </c>
      <c r="BF50" s="15">
        <v>24.989262580321842</v>
      </c>
      <c r="BG50" s="15">
        <v>0</v>
      </c>
      <c r="BH50" s="15">
        <v>46.230135773595407</v>
      </c>
      <c r="BI50" s="15">
        <v>0</v>
      </c>
      <c r="BJ50" s="15">
        <v>161.78102702728356</v>
      </c>
      <c r="BK50" s="15">
        <v>263.23977978562311</v>
      </c>
      <c r="BL50" s="15">
        <v>-125.56707546141647</v>
      </c>
      <c r="BM50" s="15">
        <v>1.1740564934978017</v>
      </c>
    </row>
    <row r="51" spans="1:65" x14ac:dyDescent="0.4">
      <c r="A51" s="15" t="s">
        <v>10682</v>
      </c>
      <c r="B51" s="15" t="s">
        <v>10548</v>
      </c>
      <c r="C51" s="15" t="s">
        <v>10615</v>
      </c>
      <c r="D51" s="15" t="s">
        <v>10307</v>
      </c>
      <c r="E51" s="15" t="s">
        <v>10734</v>
      </c>
      <c r="F51" s="15">
        <v>1017342</v>
      </c>
      <c r="G51" s="15">
        <v>0.89712497377331613</v>
      </c>
      <c r="H51" s="15">
        <v>200</v>
      </c>
      <c r="I51" s="118">
        <v>118.07037026676066</v>
      </c>
      <c r="J51" s="120">
        <v>6.6082195778308721</v>
      </c>
      <c r="K51" s="15">
        <v>30</v>
      </c>
      <c r="L51" s="15">
        <v>1248.9511740386047</v>
      </c>
      <c r="M51" s="15">
        <v>129.21529836264907</v>
      </c>
      <c r="N51" s="15">
        <v>4258503.7402804708</v>
      </c>
      <c r="O51" s="15">
        <v>3112113.484722082</v>
      </c>
      <c r="P51" s="15">
        <v>783777.61339862074</v>
      </c>
      <c r="Q51" s="15">
        <v>362612.64215976791</v>
      </c>
      <c r="R51" s="15">
        <v>362612.64215976791</v>
      </c>
      <c r="S51" s="15">
        <v>0</v>
      </c>
      <c r="T51" s="15">
        <v>0</v>
      </c>
      <c r="U51" s="15">
        <v>2775498835.0995851</v>
      </c>
      <c r="V51" s="15">
        <v>0</v>
      </c>
      <c r="W51" s="15">
        <v>0</v>
      </c>
      <c r="X51" s="15">
        <v>0</v>
      </c>
      <c r="Y51" s="15">
        <v>495.24885646160789</v>
      </c>
      <c r="Z51" s="15">
        <v>0</v>
      </c>
      <c r="AA51" s="15">
        <v>499.74099999999999</v>
      </c>
      <c r="AB51" s="15">
        <v>0</v>
      </c>
      <c r="AC51" s="15">
        <v>-4.4921435383921056</v>
      </c>
      <c r="AD51" s="15">
        <v>377.17848619484721</v>
      </c>
      <c r="AE51" s="15">
        <v>4.4680301557144062E-3</v>
      </c>
      <c r="AF51" s="15">
        <v>0</v>
      </c>
      <c r="AG51" s="15">
        <v>0</v>
      </c>
      <c r="AH51" s="15">
        <v>3.7066414044473138E-3</v>
      </c>
      <c r="AI51" s="15">
        <v>123.00035822944251</v>
      </c>
      <c r="AJ51" s="15">
        <v>254.16995329384457</v>
      </c>
      <c r="AK51" s="15">
        <v>0</v>
      </c>
      <c r="AL51" s="15">
        <v>0</v>
      </c>
      <c r="AM51" s="15">
        <v>0</v>
      </c>
      <c r="AN51" s="15">
        <v>-83.964032531750419</v>
      </c>
      <c r="AO51" s="15">
        <v>118.07037026676066</v>
      </c>
      <c r="AP51" s="15">
        <v>8.1746715601617205E-3</v>
      </c>
      <c r="AQ51" s="15">
        <v>4.4680301557144062E-3</v>
      </c>
      <c r="AR51" s="15">
        <v>0</v>
      </c>
      <c r="AS51" s="15">
        <v>0</v>
      </c>
      <c r="AT51" s="15">
        <v>3.7066414044473138E-3</v>
      </c>
      <c r="AU51" s="15">
        <v>203.04827149214054</v>
      </c>
      <c r="AV51" s="15">
        <v>85.621101725383383</v>
      </c>
      <c r="AW51" s="15">
        <v>85.621101725383383</v>
      </c>
      <c r="AX51" s="15">
        <v>0</v>
      </c>
      <c r="AY51" s="15">
        <v>0</v>
      </c>
      <c r="AZ51" s="15">
        <v>46.204886457271883</v>
      </c>
      <c r="BA51" s="15">
        <v>0</v>
      </c>
      <c r="BB51" s="15">
        <v>19.252036023863287</v>
      </c>
      <c r="BC51" s="15">
        <v>26.952850433408599</v>
      </c>
      <c r="BD51" s="15">
        <v>0</v>
      </c>
      <c r="BE51" s="15">
        <v>71.222283309485263</v>
      </c>
      <c r="BF51" s="15">
        <v>24.990274845433426</v>
      </c>
      <c r="BG51" s="15">
        <v>0</v>
      </c>
      <c r="BH51" s="15">
        <v>46.232008464051837</v>
      </c>
      <c r="BI51" s="15">
        <v>0</v>
      </c>
      <c r="BJ51" s="15">
        <v>203.05644616370071</v>
      </c>
      <c r="BK51" s="15">
        <v>580.23493235854789</v>
      </c>
      <c r="BL51" s="15">
        <v>-174.68878035402696</v>
      </c>
      <c r="BM51" s="15">
        <v>6.6082195778308721</v>
      </c>
    </row>
    <row r="52" spans="1:65" x14ac:dyDescent="0.4">
      <c r="A52" s="15" t="s">
        <v>10682</v>
      </c>
      <c r="B52" s="15" t="s">
        <v>10548</v>
      </c>
      <c r="C52" s="15" t="s">
        <v>10615</v>
      </c>
      <c r="D52" s="15" t="s">
        <v>10308</v>
      </c>
      <c r="E52" s="15" t="s">
        <v>10735</v>
      </c>
      <c r="F52" s="15">
        <v>1017342</v>
      </c>
      <c r="G52" s="15">
        <v>0.89712497377331613</v>
      </c>
      <c r="H52" s="15">
        <v>200</v>
      </c>
      <c r="I52" s="118">
        <v>118.07037026676066</v>
      </c>
      <c r="J52" s="120">
        <v>6.6082195778308721</v>
      </c>
      <c r="K52" s="15">
        <v>30</v>
      </c>
      <c r="L52" s="15">
        <v>1248.9511740386047</v>
      </c>
      <c r="M52" s="15">
        <v>129.21529836264907</v>
      </c>
      <c r="N52" s="15">
        <v>4258503.7402804708</v>
      </c>
      <c r="O52" s="15">
        <v>3112113.484722082</v>
      </c>
      <c r="P52" s="15">
        <v>783777.61339862074</v>
      </c>
      <c r="Q52" s="15">
        <v>362612.64215976791</v>
      </c>
      <c r="R52" s="15">
        <v>362612.64215976791</v>
      </c>
      <c r="S52" s="15">
        <v>0</v>
      </c>
      <c r="T52" s="15">
        <v>0</v>
      </c>
      <c r="U52" s="15">
        <v>2775498835.0995851</v>
      </c>
      <c r="V52" s="15">
        <v>0</v>
      </c>
      <c r="W52" s="15">
        <v>0</v>
      </c>
      <c r="X52" s="15">
        <v>0</v>
      </c>
      <c r="Y52" s="15">
        <v>495.24885646160789</v>
      </c>
      <c r="Z52" s="15">
        <v>0</v>
      </c>
      <c r="AA52" s="15">
        <v>499.74099999999999</v>
      </c>
      <c r="AB52" s="15">
        <v>0</v>
      </c>
      <c r="AC52" s="15">
        <v>-4.4921435383921056</v>
      </c>
      <c r="AD52" s="15">
        <v>377.17848619484721</v>
      </c>
      <c r="AE52" s="15">
        <v>4.4680301557144062E-3</v>
      </c>
      <c r="AF52" s="15">
        <v>0</v>
      </c>
      <c r="AG52" s="15">
        <v>0</v>
      </c>
      <c r="AH52" s="15">
        <v>3.7066414044473138E-3</v>
      </c>
      <c r="AI52" s="15">
        <v>123.00035822944251</v>
      </c>
      <c r="AJ52" s="15">
        <v>254.16995329384457</v>
      </c>
      <c r="AK52" s="15">
        <v>0</v>
      </c>
      <c r="AL52" s="15">
        <v>0</v>
      </c>
      <c r="AM52" s="15">
        <v>0</v>
      </c>
      <c r="AN52" s="15">
        <v>-83.964032531750419</v>
      </c>
      <c r="AO52" s="15">
        <v>118.07037026676066</v>
      </c>
      <c r="AP52" s="15">
        <v>8.1746715601617205E-3</v>
      </c>
      <c r="AQ52" s="15">
        <v>4.4680301557144062E-3</v>
      </c>
      <c r="AR52" s="15">
        <v>0</v>
      </c>
      <c r="AS52" s="15">
        <v>0</v>
      </c>
      <c r="AT52" s="15">
        <v>3.7066414044473138E-3</v>
      </c>
      <c r="AU52" s="15">
        <v>203.04827149214054</v>
      </c>
      <c r="AV52" s="15">
        <v>85.621101725383383</v>
      </c>
      <c r="AW52" s="15">
        <v>85.621101725383383</v>
      </c>
      <c r="AX52" s="15">
        <v>0</v>
      </c>
      <c r="AY52" s="15">
        <v>0</v>
      </c>
      <c r="AZ52" s="15">
        <v>46.204886457271883</v>
      </c>
      <c r="BA52" s="15">
        <v>0</v>
      </c>
      <c r="BB52" s="15">
        <v>19.252036023863287</v>
      </c>
      <c r="BC52" s="15">
        <v>26.952850433408599</v>
      </c>
      <c r="BD52" s="15">
        <v>0</v>
      </c>
      <c r="BE52" s="15">
        <v>71.222283309485263</v>
      </c>
      <c r="BF52" s="15">
        <v>24.990274845433426</v>
      </c>
      <c r="BG52" s="15">
        <v>0</v>
      </c>
      <c r="BH52" s="15">
        <v>46.232008464051837</v>
      </c>
      <c r="BI52" s="15">
        <v>0</v>
      </c>
      <c r="BJ52" s="15">
        <v>203.05644616370071</v>
      </c>
      <c r="BK52" s="15">
        <v>580.23493235854789</v>
      </c>
      <c r="BL52" s="15">
        <v>-174.68878035402696</v>
      </c>
      <c r="BM52" s="15">
        <v>6.6082195778308721</v>
      </c>
    </row>
    <row r="53" spans="1:65" s="56" customFormat="1" x14ac:dyDescent="0.4">
      <c r="A53" s="55" t="s">
        <v>10682</v>
      </c>
      <c r="B53" s="55" t="s">
        <v>10548</v>
      </c>
      <c r="C53" s="55" t="s">
        <v>10736</v>
      </c>
      <c r="D53" s="55" t="s">
        <v>10307</v>
      </c>
      <c r="E53" s="55" t="s">
        <v>10737</v>
      </c>
      <c r="F53" s="55">
        <v>1017342</v>
      </c>
      <c r="G53" s="55">
        <v>0.89712497377331613</v>
      </c>
      <c r="H53" s="55">
        <v>200</v>
      </c>
      <c r="I53" s="55">
        <v>118.07037026676066</v>
      </c>
      <c r="J53" s="92">
        <v>6.6082195778308721</v>
      </c>
      <c r="K53" s="55">
        <v>30</v>
      </c>
      <c r="L53" s="55">
        <v>1248.9511740386047</v>
      </c>
      <c r="M53" s="55">
        <v>129.21529836264907</v>
      </c>
      <c r="N53" s="55">
        <v>4258503.7402804708</v>
      </c>
      <c r="O53" s="55">
        <v>3112113.484722082</v>
      </c>
      <c r="P53" s="55">
        <v>783777.61339862074</v>
      </c>
      <c r="Q53" s="55">
        <v>362612.64215976791</v>
      </c>
      <c r="R53" s="55">
        <v>362612.64215976791</v>
      </c>
      <c r="S53" s="55">
        <v>0</v>
      </c>
      <c r="T53" s="55">
        <v>0</v>
      </c>
      <c r="U53" s="55">
        <v>2775498835.0995851</v>
      </c>
      <c r="V53" s="55">
        <v>0</v>
      </c>
      <c r="W53" s="55">
        <v>0</v>
      </c>
      <c r="X53" s="55">
        <v>0</v>
      </c>
      <c r="Y53" s="55">
        <v>495.24885646160789</v>
      </c>
      <c r="Z53" s="55">
        <v>0</v>
      </c>
      <c r="AA53" s="55">
        <v>499.74099999999999</v>
      </c>
      <c r="AB53" s="55">
        <v>0</v>
      </c>
      <c r="AC53" s="55">
        <v>-4.4921435383921056</v>
      </c>
      <c r="AD53" s="55">
        <v>377.17848619484721</v>
      </c>
      <c r="AE53" s="55">
        <v>4.4680301557144062E-3</v>
      </c>
      <c r="AF53" s="55">
        <v>0</v>
      </c>
      <c r="AG53" s="55">
        <v>0</v>
      </c>
      <c r="AH53" s="55">
        <v>3.7066414044473138E-3</v>
      </c>
      <c r="AI53" s="55">
        <v>123.00035822944251</v>
      </c>
      <c r="AJ53" s="55">
        <v>254.16995329384457</v>
      </c>
      <c r="AK53" s="55">
        <v>0</v>
      </c>
      <c r="AL53" s="55">
        <v>0</v>
      </c>
      <c r="AM53" s="55">
        <v>0</v>
      </c>
      <c r="AN53" s="55">
        <v>-83.964032531750419</v>
      </c>
      <c r="AO53" s="55">
        <v>118.07037026676066</v>
      </c>
      <c r="AP53" s="55">
        <v>8.1746715601617205E-3</v>
      </c>
      <c r="AQ53" s="55">
        <v>4.4680301557144062E-3</v>
      </c>
      <c r="AR53" s="55">
        <v>0</v>
      </c>
      <c r="AS53" s="55">
        <v>0</v>
      </c>
      <c r="AT53" s="55">
        <v>3.7066414044473138E-3</v>
      </c>
      <c r="AU53" s="55">
        <v>203.04827149214054</v>
      </c>
      <c r="AV53" s="55">
        <v>85.621101725383383</v>
      </c>
      <c r="AW53" s="55">
        <v>85.621101725383383</v>
      </c>
      <c r="AX53" s="55">
        <v>0</v>
      </c>
      <c r="AY53" s="55">
        <v>0</v>
      </c>
      <c r="AZ53" s="55">
        <v>46.204886457271883</v>
      </c>
      <c r="BA53" s="55">
        <v>0</v>
      </c>
      <c r="BB53" s="55">
        <v>19.252036023863287</v>
      </c>
      <c r="BC53" s="55">
        <v>26.952850433408599</v>
      </c>
      <c r="BD53" s="55">
        <v>0</v>
      </c>
      <c r="BE53" s="55">
        <v>71.222283309485263</v>
      </c>
      <c r="BF53" s="55">
        <v>24.990274845433426</v>
      </c>
      <c r="BG53" s="55">
        <v>0</v>
      </c>
      <c r="BH53" s="55">
        <v>46.232008464051837</v>
      </c>
      <c r="BI53" s="55">
        <v>0</v>
      </c>
      <c r="BJ53" s="55">
        <v>203.05644616370071</v>
      </c>
      <c r="BK53" s="55">
        <v>580.23493235854789</v>
      </c>
      <c r="BL53" s="55">
        <v>-174.68878035402696</v>
      </c>
      <c r="BM53" s="55">
        <v>6.6082195778308721</v>
      </c>
    </row>
    <row r="54" spans="1:65" s="52" customFormat="1" x14ac:dyDescent="0.4">
      <c r="A54" s="51" t="s">
        <v>10682</v>
      </c>
      <c r="B54" s="51" t="s">
        <v>10738</v>
      </c>
      <c r="C54" s="51" t="s">
        <v>9780</v>
      </c>
      <c r="D54" s="51" t="s">
        <v>9780</v>
      </c>
      <c r="E54" s="51" t="s">
        <v>10552</v>
      </c>
      <c r="F54" s="51">
        <f>F37+F45+F53</f>
        <v>3317141</v>
      </c>
      <c r="G54" s="51">
        <f>G37</f>
        <v>0.89712450607071414</v>
      </c>
      <c r="H54" s="51">
        <f>(H37*N37+H45*N45+H53*N53)/(N37+N45+N53)</f>
        <v>200</v>
      </c>
      <c r="I54" s="51">
        <f>(I37*N37+I45*N45+I53*N53)/(N37+N45+N53)</f>
        <v>569.77773752865039</v>
      </c>
      <c r="J54" s="93">
        <f>(H54+AD54+AE54+AF54+AG54+AH54+AU54)/(I54)</f>
        <v>1.4772630112932856</v>
      </c>
      <c r="K54" s="51">
        <f>K37</f>
        <v>30</v>
      </c>
      <c r="L54" s="51">
        <f t="shared" ref="L54:W54" si="3">L37+L45+L53</f>
        <v>4264.6323429267832</v>
      </c>
      <c r="M54" s="51">
        <f t="shared" si="3"/>
        <v>587.87744538993547</v>
      </c>
      <c r="N54" s="51">
        <f t="shared" si="3"/>
        <v>13885255.944849033</v>
      </c>
      <c r="O54" s="51">
        <f t="shared" si="3"/>
        <v>10147341.625191599</v>
      </c>
      <c r="P54" s="51">
        <f t="shared" si="3"/>
        <v>2555581.3566494645</v>
      </c>
      <c r="Q54" s="51">
        <f t="shared" si="3"/>
        <v>1182332.96300797</v>
      </c>
      <c r="R54" s="51">
        <f t="shared" si="3"/>
        <v>1182332.96300797</v>
      </c>
      <c r="S54" s="51">
        <f t="shared" si="3"/>
        <v>0</v>
      </c>
      <c r="T54" s="51">
        <f t="shared" si="3"/>
        <v>0</v>
      </c>
      <c r="U54" s="51">
        <f t="shared" si="3"/>
        <v>9049777586.3054371</v>
      </c>
      <c r="V54" s="51">
        <f t="shared" si="3"/>
        <v>0</v>
      </c>
      <c r="W54" s="51">
        <f t="shared" si="3"/>
        <v>0</v>
      </c>
      <c r="X54" s="51">
        <f>(X37*N37+X45*N45+X53*N53)/(N37+N45+N53)</f>
        <v>0</v>
      </c>
      <c r="Y54" s="51">
        <f>(Y37*N37+Y45*N45+Y53*N53)/(N37+N45+N53)</f>
        <v>946.95363838756032</v>
      </c>
      <c r="Z54" s="51">
        <f>(Z37*N37+Z45*N45+Z53*N53)/(N37+N45+N53)</f>
        <v>0</v>
      </c>
      <c r="AA54" s="51">
        <f>(AA37*N37+AA45*N45+AA53*N53)/(N37+N45+N53)</f>
        <v>173.07329870808047</v>
      </c>
      <c r="AB54" s="51">
        <f>(AB37*N37+AB45*N45+AB53*N53)/(N37+N45+N53)</f>
        <v>778.26708407572926</v>
      </c>
      <c r="AC54" s="51">
        <f>(AC37*N37+AC45*N45+AC53*N53)/(N37+N45+N53)</f>
        <v>-4.3867443962493828</v>
      </c>
      <c r="AD54" s="51">
        <f>(AD37*N37+AD45*N45+AD53*N53)/(N37+N45+N53)</f>
        <v>377.17590085890998</v>
      </c>
      <c r="AE54" s="51">
        <f>(AE37*N37+AE45*N45+AE53*N53)/(N37+N45+N53)</f>
        <v>4.3776885406827965E-3</v>
      </c>
      <c r="AF54" s="51">
        <f>(AF37*N37+AF45*N45+AF53*N53)/(N37+N45+N53)</f>
        <v>0</v>
      </c>
      <c r="AG54" s="51">
        <f>(AG37*N37+AG45*N45+AG53*N53)/(N37+N45+N53)</f>
        <v>0</v>
      </c>
      <c r="AH54" s="51">
        <f>(AH37*N37+AH45*N45+AH53*N53)/(N37+N45+N53)</f>
        <v>3.4103606542780721E-3</v>
      </c>
      <c r="AI54" s="51">
        <f>(AI37*N37+AI45*N45+AI53*N53)/(N37+N45+N53)</f>
        <v>123.0003582294425</v>
      </c>
      <c r="AJ54" s="51">
        <f>(AJ37*N37+AJ45*N45+AJ53*N53)/(N37+N45+N53)</f>
        <v>254.16775458027249</v>
      </c>
      <c r="AK54" s="51">
        <f>(AK37*N37+AK45*N45+AK53*N53)/(N37+N45+N53)</f>
        <v>0</v>
      </c>
      <c r="AL54" s="51">
        <f>(AL37*N37+AL45*N45+AL53*N53)/(N37+N45+N53)</f>
        <v>0</v>
      </c>
      <c r="AM54" s="51">
        <f>(AM37*N37+AM45*N45+AM53*N53)/(N37+N45+N53)</f>
        <v>0</v>
      </c>
      <c r="AN54" s="51">
        <f>(AN37*N37+AN45*N45+AN53*N53)/(N37+N45+N53)</f>
        <v>-150.48188740459574</v>
      </c>
      <c r="AO54" s="51">
        <f>(AO37*N37+AO45*N45+AO53*N53)/(N37+N45+N53)</f>
        <v>569.77773752865039</v>
      </c>
      <c r="AP54" s="51">
        <f>(AP37*N37+AP45*N45+AP53*N53)/(N37+N45+N53)</f>
        <v>7.7880491949608678E-3</v>
      </c>
      <c r="AQ54" s="51">
        <f>(AQ37*N37+AQ45*N45+AQ53*N53)/(N37+N45+N53)</f>
        <v>4.3776885406827965E-3</v>
      </c>
      <c r="AR54" s="51">
        <f>(AR37*N37+AR45*N45+AR53*N53)/(N37+N45+N53)</f>
        <v>0</v>
      </c>
      <c r="AS54" s="51">
        <f>(AS37*N37+AS45*N45+AS53*N53)/(N37+N45+N53)</f>
        <v>0</v>
      </c>
      <c r="AT54" s="51">
        <f>(AT37*N37+AT45*N45+AT53*N53)/(N37+N45+N53)</f>
        <v>3.4103606542780721E-3</v>
      </c>
      <c r="AU54" s="51">
        <f>(AU37*N37+AU45*N45+AU53*N53)/(N37+N45+N53)</f>
        <v>264.52788740134451</v>
      </c>
      <c r="AV54" s="51">
        <f>(AV37*N37+AV45*N45+AV53*N53)/(N37+N45+N53)</f>
        <v>79.356285111023126</v>
      </c>
      <c r="AW54" s="51">
        <f>(AW37*N37+AW45*N45+AW53*N53)/(N37+N45+N53)</f>
        <v>79.356285111023126</v>
      </c>
      <c r="AX54" s="51">
        <f>(AX37*N37+AX45*N45+AX53*N53)/(N37+N45+N53)</f>
        <v>0</v>
      </c>
      <c r="AY54" s="51">
        <f>(AY37*N37+AY45*N45+AY53*N53)/(N37+N45+N53)</f>
        <v>0</v>
      </c>
      <c r="AZ54" s="51">
        <f>(AZ37*N37+AZ45*N45+AZ53*N53)/(N37+N45+N53)</f>
        <v>49.593527826229447</v>
      </c>
      <c r="BA54" s="51">
        <f>(BA37*N37+BA45*N45+BA53*N53)/(N37+N45+N53)</f>
        <v>0</v>
      </c>
      <c r="BB54" s="51">
        <f>(BB37*N37+BB45*N45+BB53*N53)/(N37+N45+N53)</f>
        <v>20.663969927595605</v>
      </c>
      <c r="BC54" s="51">
        <f>(BC37*N37+BC45*N45+BC53*N53)/(N37+N45+N53)</f>
        <v>28.929557898633842</v>
      </c>
      <c r="BD54" s="51">
        <f>(BD37*N37+BD45*N45+BD53*N53)/(N37+N45+N53)</f>
        <v>0</v>
      </c>
      <c r="BE54" s="51">
        <f>(BE37*N37+BE45*N45+BE53*N53)/(N37+N45+N53)</f>
        <v>135.57807446409194</v>
      </c>
      <c r="BF54" s="51">
        <f>(BF37*N37+BF45*N45+BF53*N53)/(N37+N45+N53)</f>
        <v>47.571254197926997</v>
      </c>
      <c r="BG54" s="51">
        <f>(BG37*N37+BG45*N45+BG53*N53)/(N37+N45+N53)</f>
        <v>0</v>
      </c>
      <c r="BH54" s="51">
        <f>(BH37*N37+BH45*N45+BH53*N53)/(N37+N45+N53)</f>
        <v>88.006820266164937</v>
      </c>
      <c r="BI54" s="51">
        <f>(BI37*N37+BI45*N45+BI53*N53)/(N37+N45+N53)</f>
        <v>0</v>
      </c>
      <c r="BJ54" s="51">
        <f>(BJ37*N37+BJ45*N45+BJ53*N53)/(N37+N45+N53)</f>
        <v>264.53567545053949</v>
      </c>
      <c r="BK54" s="51">
        <f>(BK37*N37+BK45*N45+BK53*N53)/(N37+N45+N53)</f>
        <v>641.71157630944947</v>
      </c>
      <c r="BL54" s="51">
        <f>(BL37*N37+BL45*N45+BL53*N53)/(N37+N45+N53)</f>
        <v>-334.82546963948198</v>
      </c>
      <c r="BM54" s="51">
        <f>(BM37*N37+BM45*N45+BM53*N53)/(N37+N45+N53)</f>
        <v>2.8162502584909213</v>
      </c>
    </row>
    <row r="55" spans="1:65" s="56" customFormat="1" x14ac:dyDescent="0.4">
      <c r="A55" s="15" t="s">
        <v>10693</v>
      </c>
      <c r="B55" s="15" t="s">
        <v>10548</v>
      </c>
      <c r="C55" s="15" t="s">
        <v>10600</v>
      </c>
      <c r="D55" s="15" t="s">
        <v>10302</v>
      </c>
      <c r="E55" s="15" t="s">
        <v>10739</v>
      </c>
      <c r="F55" s="15">
        <v>1963726</v>
      </c>
      <c r="G55" s="15">
        <v>0.89712450607071414</v>
      </c>
      <c r="H55" s="15">
        <v>200</v>
      </c>
      <c r="I55" s="119">
        <v>935.87262617286206</v>
      </c>
      <c r="J55" s="120">
        <v>0.64312115125456593</v>
      </c>
      <c r="K55" s="15">
        <v>30</v>
      </c>
      <c r="L55" s="15">
        <v>848.511130751113</v>
      </c>
      <c r="M55" s="15">
        <v>379.2429506136171</v>
      </c>
      <c r="N55" s="15">
        <v>8219979.275606934</v>
      </c>
      <c r="O55" s="15">
        <v>1535981.2174502737</v>
      </c>
      <c r="P55" s="15">
        <v>3106258.2434331989</v>
      </c>
      <c r="Q55" s="15">
        <v>3577739.8147234609</v>
      </c>
      <c r="R55" s="15">
        <v>655543.34722965304</v>
      </c>
      <c r="S55" s="15">
        <v>1373675.671658596</v>
      </c>
      <c r="T55" s="15">
        <v>1548520.7958352126</v>
      </c>
      <c r="U55" s="15">
        <v>0</v>
      </c>
      <c r="V55" s="15">
        <v>998198115.32089341</v>
      </c>
      <c r="W55" s="15">
        <v>0</v>
      </c>
      <c r="X55" s="15">
        <v>0</v>
      </c>
      <c r="Y55" s="15">
        <v>1102.0474068788569</v>
      </c>
      <c r="Z55" s="15">
        <v>0</v>
      </c>
      <c r="AA55" s="15">
        <v>30.82</v>
      </c>
      <c r="AB55" s="15">
        <v>1072.7070000000001</v>
      </c>
      <c r="AC55" s="15">
        <v>-1.4795931211431432</v>
      </c>
      <c r="AD55" s="15">
        <v>166.17478070599486</v>
      </c>
      <c r="AE55" s="15">
        <v>1.1097715531791384E-3</v>
      </c>
      <c r="AF55" s="15">
        <v>0</v>
      </c>
      <c r="AG55" s="15">
        <v>0</v>
      </c>
      <c r="AH55" s="15">
        <v>1.2417978804473253E-3</v>
      </c>
      <c r="AI55" s="15">
        <v>101.46076874999997</v>
      </c>
      <c r="AJ55" s="15">
        <v>44.401685151561146</v>
      </c>
      <c r="AK55" s="15">
        <v>0</v>
      </c>
      <c r="AL55" s="15">
        <v>0</v>
      </c>
      <c r="AM55" s="15">
        <v>20.309975235000003</v>
      </c>
      <c r="AN55" s="15">
        <v>-112.31113360246441</v>
      </c>
      <c r="AO55" s="15">
        <v>935.87262617286206</v>
      </c>
      <c r="AP55" s="15">
        <v>2.3515694336264637E-3</v>
      </c>
      <c r="AQ55" s="15">
        <v>1.1097715531791384E-3</v>
      </c>
      <c r="AR55" s="15">
        <v>0</v>
      </c>
      <c r="AS55" s="15">
        <v>0</v>
      </c>
      <c r="AT55" s="15">
        <v>1.2417978804473253E-3</v>
      </c>
      <c r="AU55" s="15">
        <v>235.7023484964966</v>
      </c>
      <c r="AV55" s="15">
        <v>43.099875438362425</v>
      </c>
      <c r="AW55" s="15">
        <v>43.099875438362425</v>
      </c>
      <c r="AX55" s="15">
        <v>0</v>
      </c>
      <c r="AY55" s="15">
        <v>0</v>
      </c>
      <c r="AZ55" s="15">
        <v>35.338639284902207</v>
      </c>
      <c r="BA55" s="15">
        <v>0</v>
      </c>
      <c r="BB55" s="15">
        <v>14.72443303537592</v>
      </c>
      <c r="BC55" s="15">
        <v>20.614206249526287</v>
      </c>
      <c r="BD55" s="15">
        <v>0</v>
      </c>
      <c r="BE55" s="15">
        <v>157.26383377323197</v>
      </c>
      <c r="BF55" s="15">
        <v>55.180292552011217</v>
      </c>
      <c r="BG55" s="15">
        <v>0</v>
      </c>
      <c r="BH55" s="15">
        <v>102.08354122122074</v>
      </c>
      <c r="BI55" s="15">
        <v>0</v>
      </c>
      <c r="BJ55" s="15">
        <v>235.70470006593021</v>
      </c>
      <c r="BK55" s="55">
        <v>401.87948077192505</v>
      </c>
      <c r="BL55" s="55">
        <v>-407.78715801740753</v>
      </c>
      <c r="BM55" s="55">
        <v>0.64312115125456593</v>
      </c>
    </row>
    <row r="56" spans="1:65" s="52" customFormat="1" x14ac:dyDescent="0.4">
      <c r="A56" s="15" t="s">
        <v>10693</v>
      </c>
      <c r="B56" s="15" t="s">
        <v>10548</v>
      </c>
      <c r="C56" s="15" t="s">
        <v>10600</v>
      </c>
      <c r="D56" s="15" t="s">
        <v>10303</v>
      </c>
      <c r="E56" s="15" t="s">
        <v>10740</v>
      </c>
      <c r="F56" s="15">
        <v>1963726</v>
      </c>
      <c r="G56" s="15">
        <v>0.89712450607071414</v>
      </c>
      <c r="H56" s="15">
        <v>200</v>
      </c>
      <c r="I56" s="119">
        <v>980.27612895167158</v>
      </c>
      <c r="J56" s="120">
        <v>0.56869089386635707</v>
      </c>
      <c r="K56" s="15">
        <v>30</v>
      </c>
      <c r="L56" s="15">
        <v>848.511130751113</v>
      </c>
      <c r="M56" s="15">
        <v>379.2429506136171</v>
      </c>
      <c r="N56" s="15">
        <v>8219979.275606934</v>
      </c>
      <c r="O56" s="15">
        <v>1535981.2174502737</v>
      </c>
      <c r="P56" s="15">
        <v>3106258.2434331989</v>
      </c>
      <c r="Q56" s="15">
        <v>3577739.8147234609</v>
      </c>
      <c r="R56" s="15">
        <v>655543.34722965304</v>
      </c>
      <c r="S56" s="15">
        <v>1373675.671658596</v>
      </c>
      <c r="T56" s="15">
        <v>1548520.7958352126</v>
      </c>
      <c r="U56" s="15">
        <v>0</v>
      </c>
      <c r="V56" s="15">
        <v>0</v>
      </c>
      <c r="W56" s="15">
        <v>249549528.83022335</v>
      </c>
      <c r="X56" s="15">
        <v>0</v>
      </c>
      <c r="Y56" s="15">
        <v>1102.0474068788569</v>
      </c>
      <c r="Z56" s="15">
        <v>0</v>
      </c>
      <c r="AA56" s="15">
        <v>30.82</v>
      </c>
      <c r="AB56" s="15">
        <v>1072.7070000000001</v>
      </c>
      <c r="AC56" s="15">
        <v>-1.4795931211431432</v>
      </c>
      <c r="AD56" s="15">
        <v>121.77127792718534</v>
      </c>
      <c r="AE56" s="15">
        <v>-1.2610408003686973E-3</v>
      </c>
      <c r="AF56" s="15">
        <v>7.3778108307827128E-5</v>
      </c>
      <c r="AG56" s="15">
        <v>1.5928337859368868E-4</v>
      </c>
      <c r="AH56" s="15">
        <v>0</v>
      </c>
      <c r="AI56" s="15">
        <v>101.46076874999997</v>
      </c>
      <c r="AJ56" s="15">
        <v>0</v>
      </c>
      <c r="AK56" s="15">
        <v>1.561921498631685E-3</v>
      </c>
      <c r="AL56" s="15">
        <v>0</v>
      </c>
      <c r="AM56" s="15">
        <v>20.309975235000003</v>
      </c>
      <c r="AN56" s="15">
        <v>-82.300516396767279</v>
      </c>
      <c r="AO56" s="15">
        <v>980.27612895167158</v>
      </c>
      <c r="AP56" s="15">
        <v>0</v>
      </c>
      <c r="AQ56" s="15">
        <v>0</v>
      </c>
      <c r="AR56" s="15">
        <v>0</v>
      </c>
      <c r="AS56" s="15">
        <v>0</v>
      </c>
      <c r="AT56" s="15">
        <v>0</v>
      </c>
      <c r="AU56" s="15">
        <v>235.70283008219303</v>
      </c>
      <c r="AV56" s="15">
        <v>43.099875438362425</v>
      </c>
      <c r="AW56" s="15">
        <v>43.099875438362425</v>
      </c>
      <c r="AX56" s="15">
        <v>0</v>
      </c>
      <c r="AY56" s="15">
        <v>0</v>
      </c>
      <c r="AZ56" s="15">
        <v>35.338639284902207</v>
      </c>
      <c r="BA56" s="15">
        <v>0</v>
      </c>
      <c r="BB56" s="15">
        <v>14.72443303537592</v>
      </c>
      <c r="BC56" s="15">
        <v>20.614206249526287</v>
      </c>
      <c r="BD56" s="15">
        <v>0</v>
      </c>
      <c r="BE56" s="15">
        <v>157.2643153589284</v>
      </c>
      <c r="BF56" s="15">
        <v>55.180461529448564</v>
      </c>
      <c r="BG56" s="15">
        <v>0</v>
      </c>
      <c r="BH56" s="15">
        <v>102.08385382947985</v>
      </c>
      <c r="BI56" s="15">
        <v>0</v>
      </c>
      <c r="BJ56" s="15">
        <v>235.70283008219303</v>
      </c>
      <c r="BK56" s="51">
        <v>357.47410800937837</v>
      </c>
      <c r="BL56" s="51">
        <v>-377.77527696173001</v>
      </c>
      <c r="BM56" s="51">
        <v>0.56869089386635707</v>
      </c>
    </row>
    <row r="57" spans="1:65" x14ac:dyDescent="0.4">
      <c r="A57" s="15" t="s">
        <v>10693</v>
      </c>
      <c r="B57" s="15" t="s">
        <v>10548</v>
      </c>
      <c r="C57" s="15" t="s">
        <v>10600</v>
      </c>
      <c r="D57" s="15" t="s">
        <v>10304</v>
      </c>
      <c r="E57" s="15" t="s">
        <v>10741</v>
      </c>
      <c r="F57" s="15">
        <v>1963726</v>
      </c>
      <c r="G57" s="15">
        <v>0.89712450607071414</v>
      </c>
      <c r="H57" s="15">
        <v>200</v>
      </c>
      <c r="I57" s="119">
        <v>980.27636201315863</v>
      </c>
      <c r="J57" s="120">
        <v>0.5686905547883343</v>
      </c>
      <c r="K57" s="15">
        <v>30</v>
      </c>
      <c r="L57" s="15">
        <v>848.511130751113</v>
      </c>
      <c r="M57" s="15">
        <v>379.2429506136171</v>
      </c>
      <c r="N57" s="15">
        <v>8219979.275606934</v>
      </c>
      <c r="O57" s="15">
        <v>1535981.2174502737</v>
      </c>
      <c r="P57" s="15">
        <v>3106258.2434331989</v>
      </c>
      <c r="Q57" s="15">
        <v>3577739.8147234609</v>
      </c>
      <c r="R57" s="15">
        <v>655543.34722965304</v>
      </c>
      <c r="S57" s="15">
        <v>1373675.671658596</v>
      </c>
      <c r="T57" s="15">
        <v>1548520.7958352126</v>
      </c>
      <c r="U57" s="15">
        <v>0</v>
      </c>
      <c r="V57" s="15">
        <v>0</v>
      </c>
      <c r="W57" s="15">
        <v>0</v>
      </c>
      <c r="X57" s="15">
        <v>249549528830.22336</v>
      </c>
      <c r="Y57" s="15">
        <v>1102.0474068788569</v>
      </c>
      <c r="Z57" s="15">
        <v>0</v>
      </c>
      <c r="AA57" s="15">
        <v>30.82</v>
      </c>
      <c r="AB57" s="15">
        <v>1072.7070000000001</v>
      </c>
      <c r="AC57" s="15">
        <v>-1.4795931211431432</v>
      </c>
      <c r="AD57" s="15">
        <v>121.77104486569829</v>
      </c>
      <c r="AE57" s="15">
        <v>-1.2610408003686973E-3</v>
      </c>
      <c r="AF57" s="15">
        <v>0</v>
      </c>
      <c r="AG57" s="15">
        <v>0</v>
      </c>
      <c r="AH57" s="15">
        <v>0</v>
      </c>
      <c r="AI57" s="15">
        <v>101.46076874999997</v>
      </c>
      <c r="AJ57" s="15">
        <v>0</v>
      </c>
      <c r="AK57" s="15">
        <v>1.561921498631685E-3</v>
      </c>
      <c r="AL57" s="15">
        <v>0</v>
      </c>
      <c r="AM57" s="15">
        <v>20.309975235000003</v>
      </c>
      <c r="AN57" s="15">
        <v>-82.300358879485188</v>
      </c>
      <c r="AO57" s="15">
        <v>980.27636201315863</v>
      </c>
      <c r="AP57" s="15">
        <v>0</v>
      </c>
      <c r="AQ57" s="15">
        <v>0</v>
      </c>
      <c r="AR57" s="15">
        <v>0</v>
      </c>
      <c r="AS57" s="15">
        <v>0</v>
      </c>
      <c r="AT57" s="15">
        <v>0</v>
      </c>
      <c r="AU57" s="15">
        <v>235.70286329345493</v>
      </c>
      <c r="AV57" s="15">
        <v>43.099875438362425</v>
      </c>
      <c r="AW57" s="15">
        <v>43.099875438362425</v>
      </c>
      <c r="AX57" s="15">
        <v>0</v>
      </c>
      <c r="AY57" s="15">
        <v>0</v>
      </c>
      <c r="AZ57" s="15">
        <v>35.338639284902207</v>
      </c>
      <c r="BA57" s="15">
        <v>0</v>
      </c>
      <c r="BB57" s="15">
        <v>14.72443303537592</v>
      </c>
      <c r="BC57" s="15">
        <v>20.614206249526287</v>
      </c>
      <c r="BD57" s="15">
        <v>0</v>
      </c>
      <c r="BE57" s="15">
        <v>157.26434857019029</v>
      </c>
      <c r="BF57" s="15">
        <v>55.180473182522917</v>
      </c>
      <c r="BG57" s="15">
        <v>0</v>
      </c>
      <c r="BH57" s="15">
        <v>102.08387538766739</v>
      </c>
      <c r="BI57" s="15">
        <v>0</v>
      </c>
      <c r="BJ57" s="15">
        <v>235.70286329345493</v>
      </c>
      <c r="BK57" s="15">
        <v>357.47390815915321</v>
      </c>
      <c r="BL57" s="15">
        <v>-377.77514189066062</v>
      </c>
      <c r="BM57" s="15">
        <v>0.5686905547883343</v>
      </c>
    </row>
    <row r="58" spans="1:65" x14ac:dyDescent="0.4">
      <c r="A58" s="15" t="s">
        <v>10693</v>
      </c>
      <c r="B58" s="15" t="s">
        <v>10548</v>
      </c>
      <c r="C58" s="15" t="s">
        <v>10600</v>
      </c>
      <c r="D58" s="15" t="s">
        <v>10305</v>
      </c>
      <c r="E58" s="15" t="s">
        <v>10742</v>
      </c>
      <c r="F58" s="15">
        <v>1963726</v>
      </c>
      <c r="G58" s="15">
        <v>0.89712450607071414</v>
      </c>
      <c r="H58" s="15">
        <v>200</v>
      </c>
      <c r="I58" s="119">
        <v>980.29868791219224</v>
      </c>
      <c r="J58" s="120">
        <v>0.55870088140843133</v>
      </c>
      <c r="K58" s="15">
        <v>30</v>
      </c>
      <c r="L58" s="15">
        <v>549.78166614592033</v>
      </c>
      <c r="M58" s="15">
        <v>367.66818982306808</v>
      </c>
      <c r="N58" s="15">
        <v>8219979.275606934</v>
      </c>
      <c r="O58" s="15">
        <v>1158893.7781714434</v>
      </c>
      <c r="P58" s="15">
        <v>3240932.3288899241</v>
      </c>
      <c r="Q58" s="15">
        <v>3820153.1685455665</v>
      </c>
      <c r="R58" s="15">
        <v>655543.34722965304</v>
      </c>
      <c r="S58" s="15">
        <v>1616089.0254807011</v>
      </c>
      <c r="T58" s="15">
        <v>1548520.7958352126</v>
      </c>
      <c r="U58" s="15">
        <v>0</v>
      </c>
      <c r="V58" s="15">
        <v>0</v>
      </c>
      <c r="W58" s="15">
        <v>0</v>
      </c>
      <c r="X58" s="15">
        <v>0</v>
      </c>
      <c r="Y58" s="15">
        <v>1102.0684596238702</v>
      </c>
      <c r="Z58" s="15">
        <v>0</v>
      </c>
      <c r="AA58" s="15">
        <v>30.82</v>
      </c>
      <c r="AB58" s="15">
        <v>1072.7070000000001</v>
      </c>
      <c r="AC58" s="15">
        <v>-1.4585403761298126</v>
      </c>
      <c r="AD58" s="15">
        <v>121.769771711678</v>
      </c>
      <c r="AE58" s="15">
        <v>-9.7227332189778464E-4</v>
      </c>
      <c r="AF58" s="15">
        <v>0</v>
      </c>
      <c r="AG58" s="15">
        <v>0</v>
      </c>
      <c r="AH58" s="15">
        <v>0</v>
      </c>
      <c r="AI58" s="15">
        <v>101.46076874999997</v>
      </c>
      <c r="AJ58" s="15">
        <v>0</v>
      </c>
      <c r="AK58" s="15">
        <v>0</v>
      </c>
      <c r="AL58" s="15">
        <v>0</v>
      </c>
      <c r="AM58" s="15">
        <v>20.309975235000003</v>
      </c>
      <c r="AN58" s="15">
        <v>-83.487419138022062</v>
      </c>
      <c r="AO58" s="15">
        <v>980.29868791219224</v>
      </c>
      <c r="AP58" s="15">
        <v>0</v>
      </c>
      <c r="AQ58" s="15">
        <v>0</v>
      </c>
      <c r="AR58" s="15">
        <v>0</v>
      </c>
      <c r="AS58" s="15">
        <v>0</v>
      </c>
      <c r="AT58" s="15">
        <v>0</v>
      </c>
      <c r="AU58" s="15">
        <v>225.92396926839251</v>
      </c>
      <c r="AV58" s="15">
        <v>41.261868351815657</v>
      </c>
      <c r="AW58" s="15">
        <v>41.261868351815657</v>
      </c>
      <c r="AX58" s="15">
        <v>0</v>
      </c>
      <c r="AY58" s="15">
        <v>0</v>
      </c>
      <c r="AZ58" s="15">
        <v>27.398511535685699</v>
      </c>
      <c r="BA58" s="15">
        <v>0</v>
      </c>
      <c r="BB58" s="15">
        <v>11.416046473202377</v>
      </c>
      <c r="BC58" s="15">
        <v>15.982465062483325</v>
      </c>
      <c r="BD58" s="15">
        <v>0</v>
      </c>
      <c r="BE58" s="15">
        <v>157.26358938089115</v>
      </c>
      <c r="BF58" s="15">
        <v>55.180206800312682</v>
      </c>
      <c r="BG58" s="15">
        <v>0</v>
      </c>
      <c r="BH58" s="15">
        <v>102.08338258057846</v>
      </c>
      <c r="BI58" s="15">
        <v>0</v>
      </c>
      <c r="BJ58" s="15">
        <v>225.92396926839251</v>
      </c>
      <c r="BK58" s="15">
        <v>347.69374098007052</v>
      </c>
      <c r="BL58" s="15">
        <v>-376.50811067250487</v>
      </c>
      <c r="BM58" s="15">
        <v>0.55870088140843133</v>
      </c>
    </row>
    <row r="59" spans="1:65" x14ac:dyDescent="0.4">
      <c r="A59" s="15" t="s">
        <v>10693</v>
      </c>
      <c r="B59" s="15" t="s">
        <v>10548</v>
      </c>
      <c r="C59" s="15" t="s">
        <v>10600</v>
      </c>
      <c r="D59" s="15" t="s">
        <v>10306</v>
      </c>
      <c r="E59" s="15" t="s">
        <v>10743</v>
      </c>
      <c r="F59" s="15">
        <v>1963726</v>
      </c>
      <c r="G59" s="15">
        <v>0.89712450607071414</v>
      </c>
      <c r="H59" s="15">
        <v>200</v>
      </c>
      <c r="I59" s="119">
        <v>962.34781630596467</v>
      </c>
      <c r="J59" s="120">
        <v>0.59823330498720928</v>
      </c>
      <c r="K59" s="15">
        <v>30</v>
      </c>
      <c r="L59" s="15">
        <v>1117.8797163063678</v>
      </c>
      <c r="M59" s="15">
        <v>377.63778963738309</v>
      </c>
      <c r="N59" s="15">
        <v>8219979.275606934</v>
      </c>
      <c r="O59" s="15">
        <v>1884121.9997100541</v>
      </c>
      <c r="P59" s="15">
        <v>2768489.020024416</v>
      </c>
      <c r="Q59" s="15">
        <v>3567368.2558724657</v>
      </c>
      <c r="R59" s="15">
        <v>655543.34722965304</v>
      </c>
      <c r="S59" s="15">
        <v>0</v>
      </c>
      <c r="T59" s="15">
        <v>2911824.9086428126</v>
      </c>
      <c r="U59" s="15">
        <v>0</v>
      </c>
      <c r="V59" s="15">
        <v>0</v>
      </c>
      <c r="W59" s="15">
        <v>0</v>
      </c>
      <c r="X59" s="15">
        <v>0</v>
      </c>
      <c r="Y59" s="15">
        <v>1101.9972681768038</v>
      </c>
      <c r="Z59" s="15">
        <v>0</v>
      </c>
      <c r="AA59" s="15">
        <v>30.82</v>
      </c>
      <c r="AB59" s="15">
        <v>1072.7070000000001</v>
      </c>
      <c r="AC59" s="15">
        <v>-1.5297318231961337</v>
      </c>
      <c r="AD59" s="15">
        <v>139.64945187083913</v>
      </c>
      <c r="AE59" s="15">
        <v>-2.01599166043896E-3</v>
      </c>
      <c r="AF59" s="15">
        <v>0</v>
      </c>
      <c r="AG59" s="15">
        <v>0</v>
      </c>
      <c r="AH59" s="15">
        <v>0</v>
      </c>
      <c r="AI59" s="15">
        <v>101.46076874999997</v>
      </c>
      <c r="AJ59" s="15">
        <v>0</v>
      </c>
      <c r="AK59" s="15">
        <v>0</v>
      </c>
      <c r="AL59" s="15">
        <v>0</v>
      </c>
      <c r="AM59" s="15">
        <v>38.19069911250002</v>
      </c>
      <c r="AN59" s="15">
        <v>-91.290152792313364</v>
      </c>
      <c r="AO59" s="15">
        <v>962.34781630596467</v>
      </c>
      <c r="AP59" s="15">
        <v>0</v>
      </c>
      <c r="AQ59" s="15">
        <v>0</v>
      </c>
      <c r="AR59" s="15">
        <v>0</v>
      </c>
      <c r="AS59" s="15">
        <v>0</v>
      </c>
      <c r="AT59" s="15">
        <v>0</v>
      </c>
      <c r="AU59" s="15">
        <v>236.05906282510196</v>
      </c>
      <c r="AV59" s="15">
        <v>47.502535960107764</v>
      </c>
      <c r="AW59" s="15">
        <v>47.502535960107764</v>
      </c>
      <c r="AX59" s="15">
        <v>0</v>
      </c>
      <c r="AY59" s="15">
        <v>0</v>
      </c>
      <c r="AZ59" s="15">
        <v>31.291684065292522</v>
      </c>
      <c r="BA59" s="15">
        <v>0</v>
      </c>
      <c r="BB59" s="15">
        <v>13.038201693871885</v>
      </c>
      <c r="BC59" s="15">
        <v>18.253482371420638</v>
      </c>
      <c r="BD59" s="15">
        <v>0</v>
      </c>
      <c r="BE59" s="15">
        <v>157.26484279970168</v>
      </c>
      <c r="BF59" s="15">
        <v>55.180646596386559</v>
      </c>
      <c r="BG59" s="15">
        <v>0</v>
      </c>
      <c r="BH59" s="15">
        <v>102.08419620331513</v>
      </c>
      <c r="BI59" s="15">
        <v>0</v>
      </c>
      <c r="BJ59" s="15">
        <v>236.05906282510196</v>
      </c>
      <c r="BK59" s="15">
        <v>375.70851469594106</v>
      </c>
      <c r="BL59" s="15">
        <v>-377.34604050603383</v>
      </c>
      <c r="BM59" s="15">
        <v>0.59823330498720928</v>
      </c>
    </row>
    <row r="60" spans="1:65" x14ac:dyDescent="0.4">
      <c r="A60" s="15" t="s">
        <v>10693</v>
      </c>
      <c r="B60" s="15" t="s">
        <v>10548</v>
      </c>
      <c r="C60" s="15" t="s">
        <v>10600</v>
      </c>
      <c r="D60" s="15" t="s">
        <v>10307</v>
      </c>
      <c r="E60" s="15" t="s">
        <v>10744</v>
      </c>
      <c r="F60" s="15">
        <v>1963726</v>
      </c>
      <c r="G60" s="15">
        <v>0.89712450607071414</v>
      </c>
      <c r="H60" s="15">
        <v>200</v>
      </c>
      <c r="I60" s="119">
        <v>620.64475204594328</v>
      </c>
      <c r="J60" s="120">
        <v>1.5302324507461009</v>
      </c>
      <c r="K60" s="15">
        <v>30</v>
      </c>
      <c r="L60" s="15">
        <v>2457.089869561456</v>
      </c>
      <c r="M60" s="15">
        <v>363.94354948608418</v>
      </c>
      <c r="N60" s="15">
        <v>8219979.275606934</v>
      </c>
      <c r="O60" s="15">
        <v>6007158.8304082518</v>
      </c>
      <c r="P60" s="15">
        <v>1512887.1856754562</v>
      </c>
      <c r="Q60" s="15">
        <v>699933.25952322735</v>
      </c>
      <c r="R60" s="15">
        <v>699933.25952322735</v>
      </c>
      <c r="S60" s="15">
        <v>0</v>
      </c>
      <c r="T60" s="15">
        <v>0</v>
      </c>
      <c r="U60" s="15">
        <v>5357408210.8208227</v>
      </c>
      <c r="V60" s="15">
        <v>0</v>
      </c>
      <c r="W60" s="15">
        <v>0</v>
      </c>
      <c r="X60" s="15">
        <v>0</v>
      </c>
      <c r="Y60" s="15">
        <v>1101.7076328038154</v>
      </c>
      <c r="Z60" s="15">
        <v>0</v>
      </c>
      <c r="AA60" s="15">
        <v>30.82</v>
      </c>
      <c r="AB60" s="15">
        <v>1072.7070000000001</v>
      </c>
      <c r="AC60" s="15">
        <v>-1.819367196184664</v>
      </c>
      <c r="AD60" s="15">
        <v>481.06288075787211</v>
      </c>
      <c r="AE60" s="15">
        <v>4.3029576056816191E-3</v>
      </c>
      <c r="AF60" s="15">
        <v>0</v>
      </c>
      <c r="AG60" s="15">
        <v>0</v>
      </c>
      <c r="AH60" s="15">
        <v>1.9202742758901272E-3</v>
      </c>
      <c r="AI60" s="15">
        <v>123.0003582294425</v>
      </c>
      <c r="AJ60" s="15">
        <v>358.05629929654816</v>
      </c>
      <c r="AK60" s="15">
        <v>0</v>
      </c>
      <c r="AL60" s="15">
        <v>0</v>
      </c>
      <c r="AM60" s="15">
        <v>0</v>
      </c>
      <c r="AN60" s="15">
        <v>-264.41219879455531</v>
      </c>
      <c r="AO60" s="15">
        <v>620.64475204594328</v>
      </c>
      <c r="AP60" s="15">
        <v>6.2232318815717462E-3</v>
      </c>
      <c r="AQ60" s="15">
        <v>4.3029576056816191E-3</v>
      </c>
      <c r="AR60" s="15">
        <v>0</v>
      </c>
      <c r="AS60" s="15">
        <v>0</v>
      </c>
      <c r="AT60" s="15">
        <v>1.9202742758901272E-3</v>
      </c>
      <c r="AU60" s="15">
        <v>268.66163597621619</v>
      </c>
      <c r="AV60" s="15">
        <v>69.313041684627791</v>
      </c>
      <c r="AW60" s="15">
        <v>69.313041684627791</v>
      </c>
      <c r="AX60" s="15">
        <v>0</v>
      </c>
      <c r="AY60" s="15">
        <v>0</v>
      </c>
      <c r="AZ60" s="15">
        <v>42.083357430895489</v>
      </c>
      <c r="BA60" s="15">
        <v>0</v>
      </c>
      <c r="BB60" s="15">
        <v>17.534732262873121</v>
      </c>
      <c r="BC60" s="15">
        <v>24.548625168022365</v>
      </c>
      <c r="BD60" s="15">
        <v>0</v>
      </c>
      <c r="BE60" s="15">
        <v>157.26523686069294</v>
      </c>
      <c r="BF60" s="15">
        <v>55.18078486340103</v>
      </c>
      <c r="BG60" s="15">
        <v>0</v>
      </c>
      <c r="BH60" s="15">
        <v>102.08445199729189</v>
      </c>
      <c r="BI60" s="15">
        <v>0</v>
      </c>
      <c r="BJ60" s="15">
        <v>268.66785920809775</v>
      </c>
      <c r="BK60" s="15">
        <v>749.73073996596986</v>
      </c>
      <c r="BL60" s="15">
        <v>-523.01157740868325</v>
      </c>
      <c r="BM60" s="15">
        <v>1.5302324507461009</v>
      </c>
    </row>
    <row r="61" spans="1:65" x14ac:dyDescent="0.4">
      <c r="A61" s="15" t="s">
        <v>10693</v>
      </c>
      <c r="B61" s="15" t="s">
        <v>10548</v>
      </c>
      <c r="C61" s="15" t="s">
        <v>10600</v>
      </c>
      <c r="D61" s="15" t="s">
        <v>10308</v>
      </c>
      <c r="E61" s="15" t="s">
        <v>10745</v>
      </c>
      <c r="F61" s="15">
        <v>1963726</v>
      </c>
      <c r="G61" s="15">
        <v>0.89712450607071414</v>
      </c>
      <c r="H61" s="15">
        <v>200</v>
      </c>
      <c r="I61" s="119">
        <v>620.64475204594328</v>
      </c>
      <c r="J61" s="120">
        <v>1.5302324507461009</v>
      </c>
      <c r="K61" s="15">
        <v>30</v>
      </c>
      <c r="L61" s="15">
        <v>2457.089869561456</v>
      </c>
      <c r="M61" s="15">
        <v>363.94354948608418</v>
      </c>
      <c r="N61" s="15">
        <v>8219979.275606934</v>
      </c>
      <c r="O61" s="15">
        <v>6007158.8304082518</v>
      </c>
      <c r="P61" s="15">
        <v>1512887.1856754562</v>
      </c>
      <c r="Q61" s="15">
        <v>699933.25952322735</v>
      </c>
      <c r="R61" s="15">
        <v>699933.25952322735</v>
      </c>
      <c r="S61" s="15">
        <v>0</v>
      </c>
      <c r="T61" s="15">
        <v>0</v>
      </c>
      <c r="U61" s="15">
        <v>5357408210.8208227</v>
      </c>
      <c r="V61" s="15">
        <v>0</v>
      </c>
      <c r="W61" s="15">
        <v>0</v>
      </c>
      <c r="X61" s="15">
        <v>0</v>
      </c>
      <c r="Y61" s="15">
        <v>1101.7076328038154</v>
      </c>
      <c r="Z61" s="15">
        <v>0</v>
      </c>
      <c r="AA61" s="15">
        <v>30.82</v>
      </c>
      <c r="AB61" s="15">
        <v>1072.7070000000001</v>
      </c>
      <c r="AC61" s="15">
        <v>-1.819367196184664</v>
      </c>
      <c r="AD61" s="15">
        <v>481.06288075787211</v>
      </c>
      <c r="AE61" s="15">
        <v>4.3029576056816191E-3</v>
      </c>
      <c r="AF61" s="15">
        <v>0</v>
      </c>
      <c r="AG61" s="15">
        <v>0</v>
      </c>
      <c r="AH61" s="15">
        <v>1.9202742758901272E-3</v>
      </c>
      <c r="AI61" s="15">
        <v>123.0003582294425</v>
      </c>
      <c r="AJ61" s="15">
        <v>358.05629929654816</v>
      </c>
      <c r="AK61" s="15">
        <v>0</v>
      </c>
      <c r="AL61" s="15">
        <v>0</v>
      </c>
      <c r="AM61" s="15">
        <v>0</v>
      </c>
      <c r="AN61" s="15">
        <v>-264.41219879455531</v>
      </c>
      <c r="AO61" s="15">
        <v>620.64475204594328</v>
      </c>
      <c r="AP61" s="15">
        <v>6.2232318815717462E-3</v>
      </c>
      <c r="AQ61" s="15">
        <v>4.3029576056816191E-3</v>
      </c>
      <c r="AR61" s="15">
        <v>0</v>
      </c>
      <c r="AS61" s="15">
        <v>0</v>
      </c>
      <c r="AT61" s="15">
        <v>1.9202742758901272E-3</v>
      </c>
      <c r="AU61" s="15">
        <v>268.66163597621619</v>
      </c>
      <c r="AV61" s="15">
        <v>69.313041684627791</v>
      </c>
      <c r="AW61" s="15">
        <v>69.313041684627791</v>
      </c>
      <c r="AX61" s="15">
        <v>0</v>
      </c>
      <c r="AY61" s="15">
        <v>0</v>
      </c>
      <c r="AZ61" s="15">
        <v>42.083357430895489</v>
      </c>
      <c r="BA61" s="15">
        <v>0</v>
      </c>
      <c r="BB61" s="15">
        <v>17.534732262873121</v>
      </c>
      <c r="BC61" s="15">
        <v>24.548625168022365</v>
      </c>
      <c r="BD61" s="15">
        <v>0</v>
      </c>
      <c r="BE61" s="15">
        <v>157.26523686069294</v>
      </c>
      <c r="BF61" s="15">
        <v>55.18078486340103</v>
      </c>
      <c r="BG61" s="15">
        <v>0</v>
      </c>
      <c r="BH61" s="15">
        <v>102.08445199729189</v>
      </c>
      <c r="BI61" s="15">
        <v>0</v>
      </c>
      <c r="BJ61" s="15">
        <v>268.66785920809775</v>
      </c>
      <c r="BK61" s="15">
        <v>749.73073996596986</v>
      </c>
      <c r="BL61" s="15">
        <v>-523.01157740868325</v>
      </c>
      <c r="BM61" s="15">
        <v>1.5302324507461009</v>
      </c>
    </row>
    <row r="62" spans="1:65" s="56" customFormat="1" x14ac:dyDescent="0.4">
      <c r="A62" s="55" t="s">
        <v>10693</v>
      </c>
      <c r="B62" s="55" t="s">
        <v>10548</v>
      </c>
      <c r="C62" s="55" t="s">
        <v>10718</v>
      </c>
      <c r="D62" s="55" t="s">
        <v>10307</v>
      </c>
      <c r="E62" s="55" t="s">
        <v>10746</v>
      </c>
      <c r="F62" s="55">
        <v>1963726</v>
      </c>
      <c r="G62" s="55">
        <v>0.89712450607071414</v>
      </c>
      <c r="H62" s="55">
        <v>200</v>
      </c>
      <c r="I62" s="55">
        <v>620.64475204594328</v>
      </c>
      <c r="J62" s="92">
        <v>1.5302324507461009</v>
      </c>
      <c r="K62" s="55">
        <v>30</v>
      </c>
      <c r="L62" s="55">
        <v>2457.089869561456</v>
      </c>
      <c r="M62" s="55">
        <v>363.94354948608418</v>
      </c>
      <c r="N62" s="55">
        <v>8219979.275606934</v>
      </c>
      <c r="O62" s="55">
        <v>6007158.8304082518</v>
      </c>
      <c r="P62" s="55">
        <v>1512887.1856754562</v>
      </c>
      <c r="Q62" s="55">
        <v>699933.25952322735</v>
      </c>
      <c r="R62" s="55">
        <v>699933.25952322735</v>
      </c>
      <c r="S62" s="55">
        <v>0</v>
      </c>
      <c r="T62" s="55">
        <v>0</v>
      </c>
      <c r="U62" s="55">
        <v>5357408210.8208227</v>
      </c>
      <c r="V62" s="55">
        <v>0</v>
      </c>
      <c r="W62" s="55">
        <v>0</v>
      </c>
      <c r="X62" s="55">
        <v>0</v>
      </c>
      <c r="Y62" s="55">
        <v>1101.7076328038154</v>
      </c>
      <c r="Z62" s="55">
        <v>0</v>
      </c>
      <c r="AA62" s="55">
        <v>30.82</v>
      </c>
      <c r="AB62" s="55">
        <v>1072.7070000000001</v>
      </c>
      <c r="AC62" s="55">
        <v>-1.819367196184664</v>
      </c>
      <c r="AD62" s="55">
        <v>481.06288075787211</v>
      </c>
      <c r="AE62" s="55">
        <v>4.3029576056816191E-3</v>
      </c>
      <c r="AF62" s="55">
        <v>0</v>
      </c>
      <c r="AG62" s="55">
        <v>0</v>
      </c>
      <c r="AH62" s="55">
        <v>1.9202742758901272E-3</v>
      </c>
      <c r="AI62" s="55">
        <v>123.0003582294425</v>
      </c>
      <c r="AJ62" s="55">
        <v>358.05629929654816</v>
      </c>
      <c r="AK62" s="55">
        <v>0</v>
      </c>
      <c r="AL62" s="55">
        <v>0</v>
      </c>
      <c r="AM62" s="55">
        <v>0</v>
      </c>
      <c r="AN62" s="55">
        <v>-264.41219879455531</v>
      </c>
      <c r="AO62" s="55">
        <v>620.64475204594328</v>
      </c>
      <c r="AP62" s="55">
        <v>6.2232318815717462E-3</v>
      </c>
      <c r="AQ62" s="55">
        <v>4.3029576056816191E-3</v>
      </c>
      <c r="AR62" s="55">
        <v>0</v>
      </c>
      <c r="AS62" s="55">
        <v>0</v>
      </c>
      <c r="AT62" s="55">
        <v>1.9202742758901272E-3</v>
      </c>
      <c r="AU62" s="55">
        <v>268.66163597621619</v>
      </c>
      <c r="AV62" s="55">
        <v>69.313041684627791</v>
      </c>
      <c r="AW62" s="55">
        <v>69.313041684627791</v>
      </c>
      <c r="AX62" s="55">
        <v>0</v>
      </c>
      <c r="AY62" s="55">
        <v>0</v>
      </c>
      <c r="AZ62" s="55">
        <v>42.083357430895489</v>
      </c>
      <c r="BA62" s="55">
        <v>0</v>
      </c>
      <c r="BB62" s="55">
        <v>17.534732262873121</v>
      </c>
      <c r="BC62" s="55">
        <v>24.548625168022365</v>
      </c>
      <c r="BD62" s="55">
        <v>0</v>
      </c>
      <c r="BE62" s="55">
        <v>157.26523686069294</v>
      </c>
      <c r="BF62" s="55">
        <v>55.18078486340103</v>
      </c>
      <c r="BG62" s="55">
        <v>0</v>
      </c>
      <c r="BH62" s="55">
        <v>102.08445199729189</v>
      </c>
      <c r="BI62" s="55">
        <v>0</v>
      </c>
      <c r="BJ62" s="55">
        <v>268.66785920809775</v>
      </c>
      <c r="BK62" s="55">
        <v>749.73073996596986</v>
      </c>
      <c r="BL62" s="55">
        <v>-523.01157740868325</v>
      </c>
      <c r="BM62" s="55">
        <v>1.5302324507461009</v>
      </c>
    </row>
    <row r="63" spans="1:65" s="52" customFormat="1" x14ac:dyDescent="0.4">
      <c r="A63" s="15" t="s">
        <v>10693</v>
      </c>
      <c r="B63" s="15" t="s">
        <v>10548</v>
      </c>
      <c r="C63" s="15" t="s">
        <v>10612</v>
      </c>
      <c r="D63" s="15" t="s">
        <v>10302</v>
      </c>
      <c r="E63" s="15" t="s">
        <v>10747</v>
      </c>
      <c r="F63" s="15">
        <v>336073</v>
      </c>
      <c r="G63" s="15">
        <v>0.89712563672056078</v>
      </c>
      <c r="H63" s="15">
        <v>200</v>
      </c>
      <c r="I63" s="119">
        <v>1247.6552780728962</v>
      </c>
      <c r="J63" s="120">
        <v>0.5875311450876689</v>
      </c>
      <c r="K63" s="15">
        <v>30</v>
      </c>
      <c r="L63" s="15">
        <v>241.81890965591629</v>
      </c>
      <c r="M63" s="15">
        <v>100.13909403230926</v>
      </c>
      <c r="N63" s="15">
        <v>1406772.9289616272</v>
      </c>
      <c r="O63" s="15">
        <v>262868.88611930504</v>
      </c>
      <c r="P63" s="15">
        <v>531607.18059147056</v>
      </c>
      <c r="Q63" s="15">
        <v>612296.86225085158</v>
      </c>
      <c r="R63" s="15">
        <v>112190.14108468981</v>
      </c>
      <c r="S63" s="15">
        <v>235091.8029437256</v>
      </c>
      <c r="T63" s="15">
        <v>265014.91822243616</v>
      </c>
      <c r="U63" s="15">
        <v>0</v>
      </c>
      <c r="V63" s="15">
        <v>170832314.69221255</v>
      </c>
      <c r="W63" s="15">
        <v>0</v>
      </c>
      <c r="X63" s="15">
        <v>0</v>
      </c>
      <c r="Y63" s="15">
        <v>1413.8294757665435</v>
      </c>
      <c r="Z63" s="15">
        <v>0</v>
      </c>
      <c r="AA63" s="15">
        <v>15.41</v>
      </c>
      <c r="AB63" s="15">
        <v>1413.7380000000001</v>
      </c>
      <c r="AC63" s="15">
        <v>-15.318524233456575</v>
      </c>
      <c r="AD63" s="15">
        <v>166.17419769364733</v>
      </c>
      <c r="AE63" s="15">
        <v>1.4758301920094103E-3</v>
      </c>
      <c r="AF63" s="15">
        <v>0</v>
      </c>
      <c r="AG63" s="15">
        <v>0</v>
      </c>
      <c r="AH63" s="15">
        <v>7.2560060203206121E-3</v>
      </c>
      <c r="AI63" s="15">
        <v>101.46076875000001</v>
      </c>
      <c r="AJ63" s="15">
        <v>44.394721872435227</v>
      </c>
      <c r="AK63" s="15">
        <v>0</v>
      </c>
      <c r="AL63" s="15">
        <v>0</v>
      </c>
      <c r="AM63" s="15">
        <v>20.309975235000003</v>
      </c>
      <c r="AN63" s="15">
        <v>-10.847924719191482</v>
      </c>
      <c r="AO63" s="15">
        <v>1247.6552780728962</v>
      </c>
      <c r="AP63" s="15">
        <v>8.7318362123300231E-3</v>
      </c>
      <c r="AQ63" s="15">
        <v>1.4758301920094103E-3</v>
      </c>
      <c r="AR63" s="15">
        <v>0</v>
      </c>
      <c r="AS63" s="15">
        <v>0</v>
      </c>
      <c r="AT63" s="15">
        <v>7.2560060203206121E-3</v>
      </c>
      <c r="AU63" s="15">
        <v>366.85340467098308</v>
      </c>
      <c r="AV63" s="15">
        <v>72.976507873363232</v>
      </c>
      <c r="AW63" s="15">
        <v>72.976507873363232</v>
      </c>
      <c r="AX63" s="15">
        <v>0</v>
      </c>
      <c r="AY63" s="15">
        <v>0</v>
      </c>
      <c r="AZ63" s="15">
        <v>90.20661842754069</v>
      </c>
      <c r="BA63" s="15">
        <v>0</v>
      </c>
      <c r="BB63" s="15">
        <v>37.58609101147529</v>
      </c>
      <c r="BC63" s="15">
        <v>52.620527416065407</v>
      </c>
      <c r="BD63" s="15">
        <v>0</v>
      </c>
      <c r="BE63" s="15">
        <v>203.67027837007913</v>
      </c>
      <c r="BF63" s="15">
        <v>71.463255568448815</v>
      </c>
      <c r="BG63" s="15">
        <v>0</v>
      </c>
      <c r="BH63" s="15">
        <v>132.2070228016303</v>
      </c>
      <c r="BI63" s="15">
        <v>0</v>
      </c>
      <c r="BJ63" s="15">
        <v>366.86213650719543</v>
      </c>
      <c r="BK63" s="51">
        <v>533.0363342008427</v>
      </c>
      <c r="BL63" s="51">
        <v>-48.852934331614492</v>
      </c>
      <c r="BM63" s="51">
        <v>0.5875311450876689</v>
      </c>
    </row>
    <row r="64" spans="1:65" s="56" customFormat="1" x14ac:dyDescent="0.4">
      <c r="A64" s="15" t="s">
        <v>10693</v>
      </c>
      <c r="B64" s="15" t="s">
        <v>10548</v>
      </c>
      <c r="C64" s="15" t="s">
        <v>10612</v>
      </c>
      <c r="D64" s="15" t="s">
        <v>10303</v>
      </c>
      <c r="E64" s="15" t="s">
        <v>10748</v>
      </c>
      <c r="F64" s="15">
        <v>336073</v>
      </c>
      <c r="G64" s="15">
        <v>0.89712563672056078</v>
      </c>
      <c r="H64" s="15">
        <v>200</v>
      </c>
      <c r="I64" s="119">
        <v>1292.0499204299892</v>
      </c>
      <c r="J64" s="120">
        <v>0.53297805163647338</v>
      </c>
      <c r="K64" s="15">
        <v>30</v>
      </c>
      <c r="L64" s="15">
        <v>241.81890965591629</v>
      </c>
      <c r="M64" s="15">
        <v>100.13909403230926</v>
      </c>
      <c r="N64" s="15">
        <v>1406772.9289616272</v>
      </c>
      <c r="O64" s="15">
        <v>262868.88611930504</v>
      </c>
      <c r="P64" s="15">
        <v>531607.18059147056</v>
      </c>
      <c r="Q64" s="15">
        <v>612296.86225085158</v>
      </c>
      <c r="R64" s="15">
        <v>112190.14108468981</v>
      </c>
      <c r="S64" s="15">
        <v>235091.8029437256</v>
      </c>
      <c r="T64" s="15">
        <v>265014.91822243616</v>
      </c>
      <c r="U64" s="15">
        <v>0</v>
      </c>
      <c r="V64" s="15">
        <v>0</v>
      </c>
      <c r="W64" s="15">
        <v>42708078.673053138</v>
      </c>
      <c r="X64" s="15">
        <v>0</v>
      </c>
      <c r="Y64" s="15">
        <v>1413.8294757665435</v>
      </c>
      <c r="Z64" s="15">
        <v>0</v>
      </c>
      <c r="AA64" s="15">
        <v>15.41</v>
      </c>
      <c r="AB64" s="15">
        <v>1413.7380000000001</v>
      </c>
      <c r="AC64" s="15">
        <v>-15.318524233456575</v>
      </c>
      <c r="AD64" s="15">
        <v>121.77955533655427</v>
      </c>
      <c r="AE64" s="15">
        <v>-1.6769956674492455E-3</v>
      </c>
      <c r="AF64" s="15">
        <v>4.3109624076393153E-4</v>
      </c>
      <c r="AG64" s="15">
        <v>9.3071599832049933E-4</v>
      </c>
      <c r="AH64" s="15">
        <v>0</v>
      </c>
      <c r="AI64" s="15">
        <v>101.46076875000001</v>
      </c>
      <c r="AJ64" s="15">
        <v>0</v>
      </c>
      <c r="AK64" s="15">
        <v>9.1265349826955503E-3</v>
      </c>
      <c r="AL64" s="15">
        <v>0</v>
      </c>
      <c r="AM64" s="15">
        <v>20.309975235000003</v>
      </c>
      <c r="AN64" s="15">
        <v>-7.9498229385948562</v>
      </c>
      <c r="AO64" s="15">
        <v>1292.0499204299892</v>
      </c>
      <c r="AP64" s="15">
        <v>0</v>
      </c>
      <c r="AQ64" s="15">
        <v>0</v>
      </c>
      <c r="AR64" s="15">
        <v>0</v>
      </c>
      <c r="AS64" s="15">
        <v>0</v>
      </c>
      <c r="AT64" s="15">
        <v>0</v>
      </c>
      <c r="AU64" s="15">
        <v>366.85469387128182</v>
      </c>
      <c r="AV64" s="15">
        <v>72.976507873363232</v>
      </c>
      <c r="AW64" s="15">
        <v>72.976507873363232</v>
      </c>
      <c r="AX64" s="15">
        <v>0</v>
      </c>
      <c r="AY64" s="15">
        <v>0</v>
      </c>
      <c r="AZ64" s="15">
        <v>90.20661842754069</v>
      </c>
      <c r="BA64" s="15">
        <v>0</v>
      </c>
      <c r="BB64" s="15">
        <v>37.58609101147529</v>
      </c>
      <c r="BC64" s="15">
        <v>52.620527416065407</v>
      </c>
      <c r="BD64" s="15">
        <v>0</v>
      </c>
      <c r="BE64" s="15">
        <v>203.6715675703779</v>
      </c>
      <c r="BF64" s="15">
        <v>71.463707919430846</v>
      </c>
      <c r="BG64" s="15">
        <v>0</v>
      </c>
      <c r="BH64" s="15">
        <v>132.20785965094706</v>
      </c>
      <c r="BI64" s="15">
        <v>0</v>
      </c>
      <c r="BJ64" s="15">
        <v>366.85469387128182</v>
      </c>
      <c r="BK64" s="55">
        <v>488.63424920783609</v>
      </c>
      <c r="BL64" s="55">
        <v>-45.954346692471695</v>
      </c>
      <c r="BM64" s="55">
        <v>0.53297805163647338</v>
      </c>
    </row>
    <row r="65" spans="1:65" x14ac:dyDescent="0.4">
      <c r="A65" s="15" t="s">
        <v>10693</v>
      </c>
      <c r="B65" s="15" t="s">
        <v>10548</v>
      </c>
      <c r="C65" s="15" t="s">
        <v>10612</v>
      </c>
      <c r="D65" s="15" t="s">
        <v>10304</v>
      </c>
      <c r="E65" s="15" t="s">
        <v>10749</v>
      </c>
      <c r="F65" s="15">
        <v>336073</v>
      </c>
      <c r="G65" s="15">
        <v>0.89712563672056078</v>
      </c>
      <c r="H65" s="15">
        <v>200</v>
      </c>
      <c r="I65" s="119">
        <v>1292.0512822422284</v>
      </c>
      <c r="J65" s="120">
        <v>0.53297658608316678</v>
      </c>
      <c r="K65" s="15">
        <v>30</v>
      </c>
      <c r="L65" s="15">
        <v>241.81890965591629</v>
      </c>
      <c r="M65" s="15">
        <v>100.13909403230926</v>
      </c>
      <c r="N65" s="15">
        <v>1406772.9289616272</v>
      </c>
      <c r="O65" s="15">
        <v>262868.88611930504</v>
      </c>
      <c r="P65" s="15">
        <v>531607.18059147056</v>
      </c>
      <c r="Q65" s="15">
        <v>612296.86225085158</v>
      </c>
      <c r="R65" s="15">
        <v>112190.14108468981</v>
      </c>
      <c r="S65" s="15">
        <v>235091.8029437256</v>
      </c>
      <c r="T65" s="15">
        <v>265014.91822243616</v>
      </c>
      <c r="U65" s="15">
        <v>0</v>
      </c>
      <c r="V65" s="15">
        <v>0</v>
      </c>
      <c r="W65" s="15">
        <v>0</v>
      </c>
      <c r="X65" s="15">
        <v>42708078673.053139</v>
      </c>
      <c r="Y65" s="15">
        <v>1413.8294757665435</v>
      </c>
      <c r="Z65" s="15">
        <v>0</v>
      </c>
      <c r="AA65" s="15">
        <v>15.41</v>
      </c>
      <c r="AB65" s="15">
        <v>1413.7380000000001</v>
      </c>
      <c r="AC65" s="15">
        <v>-15.318524233456575</v>
      </c>
      <c r="AD65" s="15">
        <v>121.77819352431516</v>
      </c>
      <c r="AE65" s="15">
        <v>-1.6769956674492455E-3</v>
      </c>
      <c r="AF65" s="15">
        <v>0</v>
      </c>
      <c r="AG65" s="15">
        <v>0</v>
      </c>
      <c r="AH65" s="15">
        <v>0</v>
      </c>
      <c r="AI65" s="15">
        <v>101.46076875000001</v>
      </c>
      <c r="AJ65" s="15">
        <v>0</v>
      </c>
      <c r="AK65" s="15">
        <v>9.1265349826955503E-3</v>
      </c>
      <c r="AL65" s="15">
        <v>0</v>
      </c>
      <c r="AM65" s="15">
        <v>20.309975235000003</v>
      </c>
      <c r="AN65" s="15">
        <v>-7.9497340388928777</v>
      </c>
      <c r="AO65" s="15">
        <v>1292.0512822422284</v>
      </c>
      <c r="AP65" s="15">
        <v>0</v>
      </c>
      <c r="AQ65" s="15">
        <v>0</v>
      </c>
      <c r="AR65" s="15">
        <v>0</v>
      </c>
      <c r="AS65" s="15">
        <v>0</v>
      </c>
      <c r="AT65" s="15">
        <v>0</v>
      </c>
      <c r="AU65" s="15">
        <v>366.85488792952583</v>
      </c>
      <c r="AV65" s="15">
        <v>72.976507873363232</v>
      </c>
      <c r="AW65" s="15">
        <v>72.976507873363232</v>
      </c>
      <c r="AX65" s="15">
        <v>0</v>
      </c>
      <c r="AY65" s="15">
        <v>0</v>
      </c>
      <c r="AZ65" s="15">
        <v>90.20661842754069</v>
      </c>
      <c r="BA65" s="15">
        <v>0</v>
      </c>
      <c r="BB65" s="15">
        <v>37.58609101147529</v>
      </c>
      <c r="BC65" s="15">
        <v>52.620527416065407</v>
      </c>
      <c r="BD65" s="15">
        <v>0</v>
      </c>
      <c r="BE65" s="15">
        <v>203.67176162862194</v>
      </c>
      <c r="BF65" s="15">
        <v>71.463776010042793</v>
      </c>
      <c r="BG65" s="15">
        <v>0</v>
      </c>
      <c r="BH65" s="15">
        <v>132.20798561857916</v>
      </c>
      <c r="BI65" s="15">
        <v>0</v>
      </c>
      <c r="BJ65" s="15">
        <v>366.85488792952583</v>
      </c>
      <c r="BK65" s="15">
        <v>488.63308145384099</v>
      </c>
      <c r="BL65" s="15">
        <v>-45.954270460977249</v>
      </c>
      <c r="BM65" s="15">
        <v>0.53297658608316678</v>
      </c>
    </row>
    <row r="66" spans="1:65" x14ac:dyDescent="0.4">
      <c r="A66" s="15" t="s">
        <v>10693</v>
      </c>
      <c r="B66" s="15" t="s">
        <v>10548</v>
      </c>
      <c r="C66" s="15" t="s">
        <v>10612</v>
      </c>
      <c r="D66" s="15" t="s">
        <v>10305</v>
      </c>
      <c r="E66" s="15" t="s">
        <v>10750</v>
      </c>
      <c r="F66" s="15">
        <v>336073</v>
      </c>
      <c r="G66" s="15">
        <v>0.89712563672056078</v>
      </c>
      <c r="H66" s="15">
        <v>200</v>
      </c>
      <c r="I66" s="119">
        <v>1292.2456455120125</v>
      </c>
      <c r="J66" s="120">
        <v>0.50912376857847408</v>
      </c>
      <c r="K66" s="15">
        <v>30</v>
      </c>
      <c r="L66" s="15">
        <v>175.76194088349837</v>
      </c>
      <c r="M66" s="15">
        <v>95.988278994690546</v>
      </c>
      <c r="N66" s="15">
        <v>1406772.9289616272</v>
      </c>
      <c r="O66" s="15">
        <v>198333.88138965491</v>
      </c>
      <c r="P66" s="15">
        <v>554655.39656634571</v>
      </c>
      <c r="Q66" s="15">
        <v>653783.65100562677</v>
      </c>
      <c r="R66" s="15">
        <v>112190.14108468981</v>
      </c>
      <c r="S66" s="15">
        <v>276578.59169850074</v>
      </c>
      <c r="T66" s="15">
        <v>265014.91822243616</v>
      </c>
      <c r="U66" s="15">
        <v>0</v>
      </c>
      <c r="V66" s="15">
        <v>0</v>
      </c>
      <c r="W66" s="15">
        <v>0</v>
      </c>
      <c r="X66" s="15">
        <v>0</v>
      </c>
      <c r="Y66" s="15">
        <v>1414.0149681815044</v>
      </c>
      <c r="Z66" s="15">
        <v>0</v>
      </c>
      <c r="AA66" s="15">
        <v>15.41</v>
      </c>
      <c r="AB66" s="15">
        <v>1413.7380000000001</v>
      </c>
      <c r="AC66" s="15">
        <v>-15.133031818495642</v>
      </c>
      <c r="AD66" s="15">
        <v>121.76932266949188</v>
      </c>
      <c r="AE66" s="15">
        <v>-1.421315507950649E-3</v>
      </c>
      <c r="AF66" s="15">
        <v>0</v>
      </c>
      <c r="AG66" s="15">
        <v>0</v>
      </c>
      <c r="AH66" s="15">
        <v>0</v>
      </c>
      <c r="AI66" s="15">
        <v>101.46076875000001</v>
      </c>
      <c r="AJ66" s="15">
        <v>0</v>
      </c>
      <c r="AK66" s="15">
        <v>0</v>
      </c>
      <c r="AL66" s="15">
        <v>0</v>
      </c>
      <c r="AM66" s="15">
        <v>20.309975235000003</v>
      </c>
      <c r="AN66" s="15">
        <v>-8.0465913327866669</v>
      </c>
      <c r="AO66" s="15">
        <v>1292.2456455120125</v>
      </c>
      <c r="AP66" s="15">
        <v>0</v>
      </c>
      <c r="AQ66" s="15">
        <v>0</v>
      </c>
      <c r="AR66" s="15">
        <v>0</v>
      </c>
      <c r="AS66" s="15">
        <v>0</v>
      </c>
      <c r="AT66" s="15">
        <v>0</v>
      </c>
      <c r="AU66" s="15">
        <v>336.14365030270687</v>
      </c>
      <c r="AV66" s="15">
        <v>70.162177255310866</v>
      </c>
      <c r="AW66" s="15">
        <v>70.162177255310866</v>
      </c>
      <c r="AX66" s="15">
        <v>0</v>
      </c>
      <c r="AY66" s="15">
        <v>0</v>
      </c>
      <c r="AZ66" s="15">
        <v>62.310910916861658</v>
      </c>
      <c r="BA66" s="15">
        <v>0</v>
      </c>
      <c r="BB66" s="15">
        <v>25.962879548692356</v>
      </c>
      <c r="BC66" s="15">
        <v>36.348031368169302</v>
      </c>
      <c r="BD66" s="15">
        <v>0</v>
      </c>
      <c r="BE66" s="15">
        <v>203.67056213053434</v>
      </c>
      <c r="BF66" s="15">
        <v>71.463355133520821</v>
      </c>
      <c r="BG66" s="15">
        <v>0</v>
      </c>
      <c r="BH66" s="15">
        <v>132.20720699701351</v>
      </c>
      <c r="BI66" s="15">
        <v>0</v>
      </c>
      <c r="BJ66" s="15">
        <v>336.14365030270687</v>
      </c>
      <c r="BK66" s="15">
        <v>457.91297297219876</v>
      </c>
      <c r="BL66" s="15">
        <v>-44.475291723638307</v>
      </c>
      <c r="BM66" s="15">
        <v>0.50912376857847408</v>
      </c>
    </row>
    <row r="67" spans="1:65" x14ac:dyDescent="0.4">
      <c r="A67" s="15" t="s">
        <v>10693</v>
      </c>
      <c r="B67" s="15" t="s">
        <v>10548</v>
      </c>
      <c r="C67" s="15" t="s">
        <v>10612</v>
      </c>
      <c r="D67" s="15" t="s">
        <v>10306</v>
      </c>
      <c r="E67" s="15" t="s">
        <v>10751</v>
      </c>
      <c r="F67" s="15">
        <v>336073</v>
      </c>
      <c r="G67" s="15">
        <v>0.89712563672056078</v>
      </c>
      <c r="H67" s="15">
        <v>200</v>
      </c>
      <c r="I67" s="119">
        <v>1273.6293513649712</v>
      </c>
      <c r="J67" s="120">
        <v>0.53935046360269667</v>
      </c>
      <c r="K67" s="15">
        <v>30</v>
      </c>
      <c r="L67" s="15">
        <v>277.80955156673008</v>
      </c>
      <c r="M67" s="15">
        <v>93.329564078668085</v>
      </c>
      <c r="N67" s="15">
        <v>1406772.9289616272</v>
      </c>
      <c r="O67" s="15">
        <v>322449.93997961684</v>
      </c>
      <c r="P67" s="15">
        <v>473801.12247427611</v>
      </c>
      <c r="Q67" s="15">
        <v>610521.86650773417</v>
      </c>
      <c r="R67" s="15">
        <v>112190.14108468981</v>
      </c>
      <c r="S67" s="15">
        <v>0</v>
      </c>
      <c r="T67" s="15">
        <v>498331.72542304435</v>
      </c>
      <c r="U67" s="15">
        <v>0</v>
      </c>
      <c r="V67" s="15">
        <v>0</v>
      </c>
      <c r="W67" s="15">
        <v>0</v>
      </c>
      <c r="X67" s="15">
        <v>0</v>
      </c>
      <c r="Y67" s="15">
        <v>1413.2794660872453</v>
      </c>
      <c r="Z67" s="15">
        <v>0</v>
      </c>
      <c r="AA67" s="15">
        <v>15.41</v>
      </c>
      <c r="AB67" s="15">
        <v>1413.7380000000001</v>
      </c>
      <c r="AC67" s="15">
        <v>-15.868533912754899</v>
      </c>
      <c r="AD67" s="15">
        <v>139.65011472227411</v>
      </c>
      <c r="AE67" s="15">
        <v>-1.3531402260730946E-3</v>
      </c>
      <c r="AF67" s="15">
        <v>0</v>
      </c>
      <c r="AG67" s="15">
        <v>0</v>
      </c>
      <c r="AH67" s="15">
        <v>0</v>
      </c>
      <c r="AI67" s="15">
        <v>101.46076875000001</v>
      </c>
      <c r="AJ67" s="15">
        <v>0</v>
      </c>
      <c r="AK67" s="15">
        <v>0</v>
      </c>
      <c r="AL67" s="15">
        <v>0</v>
      </c>
      <c r="AM67" s="15">
        <v>38.190699112499985</v>
      </c>
      <c r="AN67" s="15">
        <v>-8.8004421511192898</v>
      </c>
      <c r="AO67" s="15">
        <v>1273.6293513649712</v>
      </c>
      <c r="AP67" s="15">
        <v>0</v>
      </c>
      <c r="AQ67" s="15">
        <v>0</v>
      </c>
      <c r="AR67" s="15">
        <v>0</v>
      </c>
      <c r="AS67" s="15">
        <v>0</v>
      </c>
      <c r="AT67" s="15">
        <v>0</v>
      </c>
      <c r="AU67" s="15">
        <v>347.28246639442494</v>
      </c>
      <c r="AV67" s="15">
        <v>80.540823390340975</v>
      </c>
      <c r="AW67" s="15">
        <v>80.540823390340975</v>
      </c>
      <c r="AX67" s="15">
        <v>0</v>
      </c>
      <c r="AY67" s="15">
        <v>0</v>
      </c>
      <c r="AZ67" s="15">
        <v>63.070804662582631</v>
      </c>
      <c r="BA67" s="15">
        <v>0</v>
      </c>
      <c r="BB67" s="15">
        <v>26.279501942742765</v>
      </c>
      <c r="BC67" s="15">
        <v>36.791302719839869</v>
      </c>
      <c r="BD67" s="15">
        <v>0</v>
      </c>
      <c r="BE67" s="15">
        <v>203.67083834150134</v>
      </c>
      <c r="BF67" s="15">
        <v>71.463452049649604</v>
      </c>
      <c r="BG67" s="15">
        <v>0</v>
      </c>
      <c r="BH67" s="15">
        <v>132.20738629185175</v>
      </c>
      <c r="BI67" s="15">
        <v>0</v>
      </c>
      <c r="BJ67" s="15">
        <v>347.28246639442494</v>
      </c>
      <c r="BK67" s="15">
        <v>486.93258111669905</v>
      </c>
      <c r="BL67" s="15">
        <v>-44.288975836926724</v>
      </c>
      <c r="BM67" s="15">
        <v>0.53935046360269667</v>
      </c>
    </row>
    <row r="68" spans="1:65" x14ac:dyDescent="0.4">
      <c r="A68" s="15" t="s">
        <v>10693</v>
      </c>
      <c r="B68" s="15" t="s">
        <v>10548</v>
      </c>
      <c r="C68" s="15" t="s">
        <v>10612</v>
      </c>
      <c r="D68" s="15" t="s">
        <v>10307</v>
      </c>
      <c r="E68" s="15" t="s">
        <v>10752</v>
      </c>
      <c r="F68" s="15">
        <v>336073</v>
      </c>
      <c r="G68" s="15">
        <v>0.89712563672056078</v>
      </c>
      <c r="H68" s="15">
        <v>200</v>
      </c>
      <c r="I68" s="119">
        <v>929.02168869535899</v>
      </c>
      <c r="J68" s="120">
        <v>1.1921726495488063</v>
      </c>
      <c r="K68" s="15">
        <v>30</v>
      </c>
      <c r="L68" s="15">
        <v>558.59129932672226</v>
      </c>
      <c r="M68" s="15">
        <v>94.718597541202243</v>
      </c>
      <c r="N68" s="15">
        <v>1406772.9289616272</v>
      </c>
      <c r="O68" s="15">
        <v>1028069.310061265</v>
      </c>
      <c r="P68" s="15">
        <v>258916.55757538744</v>
      </c>
      <c r="Q68" s="15">
        <v>119787.0613249748</v>
      </c>
      <c r="R68" s="15">
        <v>119787.0613249748</v>
      </c>
      <c r="S68" s="15">
        <v>0</v>
      </c>
      <c r="T68" s="15">
        <v>0</v>
      </c>
      <c r="U68" s="15">
        <v>916870540.38503015</v>
      </c>
      <c r="V68" s="15">
        <v>0</v>
      </c>
      <c r="W68" s="15">
        <v>0</v>
      </c>
      <c r="X68" s="15">
        <v>0</v>
      </c>
      <c r="Y68" s="15">
        <v>1410.0787547459852</v>
      </c>
      <c r="Z68" s="15">
        <v>0</v>
      </c>
      <c r="AA68" s="15">
        <v>15.41</v>
      </c>
      <c r="AB68" s="15">
        <v>1413.7380000000001</v>
      </c>
      <c r="AC68" s="15">
        <v>-19.069245254015044</v>
      </c>
      <c r="AD68" s="15">
        <v>481.05706605062619</v>
      </c>
      <c r="AE68" s="15">
        <v>4.5408752403378458E-3</v>
      </c>
      <c r="AF68" s="15">
        <v>0</v>
      </c>
      <c r="AG68" s="15">
        <v>0</v>
      </c>
      <c r="AH68" s="15">
        <v>1.1220268166895532E-2</v>
      </c>
      <c r="AI68" s="15">
        <v>123.00035822944254</v>
      </c>
      <c r="AJ68" s="15">
        <v>358.04094667777611</v>
      </c>
      <c r="AK68" s="15">
        <v>0</v>
      </c>
      <c r="AL68" s="15">
        <v>0</v>
      </c>
      <c r="AM68" s="15">
        <v>0</v>
      </c>
      <c r="AN68" s="15">
        <v>-25.226854007205098</v>
      </c>
      <c r="AO68" s="15">
        <v>929.02168869535899</v>
      </c>
      <c r="AP68" s="15">
        <v>1.5761143407233377E-2</v>
      </c>
      <c r="AQ68" s="15">
        <v>4.5408752403378458E-3</v>
      </c>
      <c r="AR68" s="15">
        <v>0</v>
      </c>
      <c r="AS68" s="15">
        <v>0</v>
      </c>
      <c r="AT68" s="15">
        <v>1.1220268166895532E-2</v>
      </c>
      <c r="AU68" s="15">
        <v>426.48142090621889</v>
      </c>
      <c r="AV68" s="15">
        <v>119.07592051918013</v>
      </c>
      <c r="AW68" s="15">
        <v>119.07592051918013</v>
      </c>
      <c r="AX68" s="15">
        <v>0</v>
      </c>
      <c r="AY68" s="15">
        <v>0</v>
      </c>
      <c r="AZ68" s="15">
        <v>103.73445233656622</v>
      </c>
      <c r="BA68" s="15">
        <v>0</v>
      </c>
      <c r="BB68" s="15">
        <v>43.222688473569264</v>
      </c>
      <c r="BC68" s="15">
        <v>60.511763862996965</v>
      </c>
      <c r="BD68" s="15">
        <v>0</v>
      </c>
      <c r="BE68" s="15">
        <v>203.67104805047251</v>
      </c>
      <c r="BF68" s="15">
        <v>71.46352563174473</v>
      </c>
      <c r="BG68" s="15">
        <v>0</v>
      </c>
      <c r="BH68" s="15">
        <v>132.20752241872776</v>
      </c>
      <c r="BI68" s="15">
        <v>0</v>
      </c>
      <c r="BJ68" s="15">
        <v>426.49718204962613</v>
      </c>
      <c r="BK68" s="15">
        <v>907.55424810025238</v>
      </c>
      <c r="BL68" s="15">
        <v>-59.08065465344287</v>
      </c>
      <c r="BM68" s="15">
        <v>1.1921726495488063</v>
      </c>
    </row>
    <row r="69" spans="1:65" x14ac:dyDescent="0.4">
      <c r="A69" s="15" t="s">
        <v>10693</v>
      </c>
      <c r="B69" s="15" t="s">
        <v>10548</v>
      </c>
      <c r="C69" s="15" t="s">
        <v>10612</v>
      </c>
      <c r="D69" s="15" t="s">
        <v>10308</v>
      </c>
      <c r="E69" s="15" t="s">
        <v>10753</v>
      </c>
      <c r="F69" s="15">
        <v>336073</v>
      </c>
      <c r="G69" s="15">
        <v>0.89712563672056078</v>
      </c>
      <c r="H69" s="15">
        <v>200</v>
      </c>
      <c r="I69" s="119">
        <v>929.02168869535899</v>
      </c>
      <c r="J69" s="120">
        <v>1.1921726495488063</v>
      </c>
      <c r="K69" s="15">
        <v>30</v>
      </c>
      <c r="L69" s="15">
        <v>558.59129932672226</v>
      </c>
      <c r="M69" s="15">
        <v>94.718597541202243</v>
      </c>
      <c r="N69" s="15">
        <v>1406772.9289616272</v>
      </c>
      <c r="O69" s="15">
        <v>1028069.310061265</v>
      </c>
      <c r="P69" s="15">
        <v>258916.55757538744</v>
      </c>
      <c r="Q69" s="15">
        <v>119787.0613249748</v>
      </c>
      <c r="R69" s="15">
        <v>119787.0613249748</v>
      </c>
      <c r="S69" s="15">
        <v>0</v>
      </c>
      <c r="T69" s="15">
        <v>0</v>
      </c>
      <c r="U69" s="15">
        <v>916870540.38503015</v>
      </c>
      <c r="V69" s="15">
        <v>0</v>
      </c>
      <c r="W69" s="15">
        <v>0</v>
      </c>
      <c r="X69" s="15">
        <v>0</v>
      </c>
      <c r="Y69" s="15">
        <v>1410.0787547459852</v>
      </c>
      <c r="Z69" s="15">
        <v>0</v>
      </c>
      <c r="AA69" s="15">
        <v>15.41</v>
      </c>
      <c r="AB69" s="15">
        <v>1413.7380000000001</v>
      </c>
      <c r="AC69" s="15">
        <v>-19.069245254015044</v>
      </c>
      <c r="AD69" s="15">
        <v>481.05706605062619</v>
      </c>
      <c r="AE69" s="15">
        <v>4.5408752403378458E-3</v>
      </c>
      <c r="AF69" s="15">
        <v>0</v>
      </c>
      <c r="AG69" s="15">
        <v>0</v>
      </c>
      <c r="AH69" s="15">
        <v>1.1220268166895532E-2</v>
      </c>
      <c r="AI69" s="15">
        <v>123.00035822944254</v>
      </c>
      <c r="AJ69" s="15">
        <v>358.04094667777611</v>
      </c>
      <c r="AK69" s="15">
        <v>0</v>
      </c>
      <c r="AL69" s="15">
        <v>0</v>
      </c>
      <c r="AM69" s="15">
        <v>0</v>
      </c>
      <c r="AN69" s="15">
        <v>-25.226854007205098</v>
      </c>
      <c r="AO69" s="15">
        <v>929.02168869535899</v>
      </c>
      <c r="AP69" s="15">
        <v>1.5761143407233377E-2</v>
      </c>
      <c r="AQ69" s="15">
        <v>4.5408752403378458E-3</v>
      </c>
      <c r="AR69" s="15">
        <v>0</v>
      </c>
      <c r="AS69" s="15">
        <v>0</v>
      </c>
      <c r="AT69" s="15">
        <v>1.1220268166895532E-2</v>
      </c>
      <c r="AU69" s="15">
        <v>426.48142090621889</v>
      </c>
      <c r="AV69" s="15">
        <v>119.07592051918013</v>
      </c>
      <c r="AW69" s="15">
        <v>119.07592051918013</v>
      </c>
      <c r="AX69" s="15">
        <v>0</v>
      </c>
      <c r="AY69" s="15">
        <v>0</v>
      </c>
      <c r="AZ69" s="15">
        <v>103.73445233656622</v>
      </c>
      <c r="BA69" s="15">
        <v>0</v>
      </c>
      <c r="BB69" s="15">
        <v>43.222688473569264</v>
      </c>
      <c r="BC69" s="15">
        <v>60.511763862996965</v>
      </c>
      <c r="BD69" s="15">
        <v>0</v>
      </c>
      <c r="BE69" s="15">
        <v>203.67104805047251</v>
      </c>
      <c r="BF69" s="15">
        <v>71.46352563174473</v>
      </c>
      <c r="BG69" s="15">
        <v>0</v>
      </c>
      <c r="BH69" s="15">
        <v>132.20752241872776</v>
      </c>
      <c r="BI69" s="15">
        <v>0</v>
      </c>
      <c r="BJ69" s="15">
        <v>426.49718204962613</v>
      </c>
      <c r="BK69" s="15">
        <v>907.55424810025238</v>
      </c>
      <c r="BL69" s="15">
        <v>-59.08065465344287</v>
      </c>
      <c r="BM69" s="15">
        <v>1.1921726495488063</v>
      </c>
    </row>
    <row r="70" spans="1:65" s="56" customFormat="1" x14ac:dyDescent="0.4">
      <c r="A70" s="55" t="s">
        <v>10693</v>
      </c>
      <c r="B70" s="55" t="s">
        <v>10548</v>
      </c>
      <c r="C70" s="55" t="s">
        <v>10727</v>
      </c>
      <c r="D70" s="55" t="s">
        <v>10307</v>
      </c>
      <c r="E70" s="55" t="s">
        <v>10754</v>
      </c>
      <c r="F70" s="55">
        <v>336073</v>
      </c>
      <c r="G70" s="55">
        <v>0.89712563672056078</v>
      </c>
      <c r="H70" s="55">
        <v>200</v>
      </c>
      <c r="I70" s="55">
        <v>929.02168869535899</v>
      </c>
      <c r="J70" s="92">
        <v>1.1921726495488063</v>
      </c>
      <c r="K70" s="55">
        <v>30</v>
      </c>
      <c r="L70" s="55">
        <v>558.59129932672226</v>
      </c>
      <c r="M70" s="55">
        <v>94.718597541202243</v>
      </c>
      <c r="N70" s="55">
        <v>1406772.9289616272</v>
      </c>
      <c r="O70" s="55">
        <v>1028069.310061265</v>
      </c>
      <c r="P70" s="55">
        <v>258916.55757538744</v>
      </c>
      <c r="Q70" s="55">
        <v>119787.0613249748</v>
      </c>
      <c r="R70" s="55">
        <v>119787.0613249748</v>
      </c>
      <c r="S70" s="55">
        <v>0</v>
      </c>
      <c r="T70" s="55">
        <v>0</v>
      </c>
      <c r="U70" s="55">
        <v>916870540.38503015</v>
      </c>
      <c r="V70" s="55">
        <v>0</v>
      </c>
      <c r="W70" s="55">
        <v>0</v>
      </c>
      <c r="X70" s="55">
        <v>0</v>
      </c>
      <c r="Y70" s="55">
        <v>1410.0787547459852</v>
      </c>
      <c r="Z70" s="55">
        <v>0</v>
      </c>
      <c r="AA70" s="55">
        <v>15.41</v>
      </c>
      <c r="AB70" s="55">
        <v>1413.7380000000001</v>
      </c>
      <c r="AC70" s="55">
        <v>-19.069245254015044</v>
      </c>
      <c r="AD70" s="55">
        <v>481.05706605062619</v>
      </c>
      <c r="AE70" s="55">
        <v>4.5408752403378458E-3</v>
      </c>
      <c r="AF70" s="55">
        <v>0</v>
      </c>
      <c r="AG70" s="55">
        <v>0</v>
      </c>
      <c r="AH70" s="55">
        <v>1.1220268166895532E-2</v>
      </c>
      <c r="AI70" s="55">
        <v>123.00035822944254</v>
      </c>
      <c r="AJ70" s="55">
        <v>358.04094667777611</v>
      </c>
      <c r="AK70" s="55">
        <v>0</v>
      </c>
      <c r="AL70" s="55">
        <v>0</v>
      </c>
      <c r="AM70" s="55">
        <v>0</v>
      </c>
      <c r="AN70" s="55">
        <v>-25.226854007205098</v>
      </c>
      <c r="AO70" s="55">
        <v>929.02168869535899</v>
      </c>
      <c r="AP70" s="55">
        <v>1.5761143407233377E-2</v>
      </c>
      <c r="AQ70" s="55">
        <v>4.5408752403378458E-3</v>
      </c>
      <c r="AR70" s="55">
        <v>0</v>
      </c>
      <c r="AS70" s="55">
        <v>0</v>
      </c>
      <c r="AT70" s="55">
        <v>1.1220268166895532E-2</v>
      </c>
      <c r="AU70" s="55">
        <v>426.48142090621889</v>
      </c>
      <c r="AV70" s="55">
        <v>119.07592051918013</v>
      </c>
      <c r="AW70" s="55">
        <v>119.07592051918013</v>
      </c>
      <c r="AX70" s="55">
        <v>0</v>
      </c>
      <c r="AY70" s="55">
        <v>0</v>
      </c>
      <c r="AZ70" s="55">
        <v>103.73445233656622</v>
      </c>
      <c r="BA70" s="55">
        <v>0</v>
      </c>
      <c r="BB70" s="55">
        <v>43.222688473569264</v>
      </c>
      <c r="BC70" s="55">
        <v>60.511763862996965</v>
      </c>
      <c r="BD70" s="55">
        <v>0</v>
      </c>
      <c r="BE70" s="55">
        <v>203.67104805047251</v>
      </c>
      <c r="BF70" s="55">
        <v>71.46352563174473</v>
      </c>
      <c r="BG70" s="55">
        <v>0</v>
      </c>
      <c r="BH70" s="55">
        <v>132.20752241872776</v>
      </c>
      <c r="BI70" s="55">
        <v>0</v>
      </c>
      <c r="BJ70" s="55">
        <v>426.49718204962613</v>
      </c>
      <c r="BK70" s="55">
        <v>907.55424810025238</v>
      </c>
      <c r="BL70" s="55">
        <v>-59.08065465344287</v>
      </c>
      <c r="BM70" s="55">
        <v>1.1921726495488063</v>
      </c>
    </row>
    <row r="71" spans="1:65" s="56" customFormat="1" x14ac:dyDescent="0.4">
      <c r="A71" s="15" t="s">
        <v>10693</v>
      </c>
      <c r="B71" s="15" t="s">
        <v>10548</v>
      </c>
      <c r="C71" s="15" t="s">
        <v>10615</v>
      </c>
      <c r="D71" s="15" t="s">
        <v>10302</v>
      </c>
      <c r="E71" s="15" t="s">
        <v>10755</v>
      </c>
      <c r="F71" s="15">
        <v>1017342</v>
      </c>
      <c r="G71" s="15">
        <v>0.89712497377331613</v>
      </c>
      <c r="H71" s="15">
        <v>200</v>
      </c>
      <c r="I71" s="119">
        <v>329.98355941062761</v>
      </c>
      <c r="J71" s="120">
        <v>1.6038228081696739</v>
      </c>
      <c r="K71" s="15">
        <v>30</v>
      </c>
      <c r="L71" s="15">
        <v>575.30505887012919</v>
      </c>
      <c r="M71" s="15">
        <v>77.088579791646495</v>
      </c>
      <c r="N71" s="15">
        <v>4258503.7402804708</v>
      </c>
      <c r="O71" s="15">
        <v>795741.87965693872</v>
      </c>
      <c r="P71" s="15">
        <v>1609251.3015442628</v>
      </c>
      <c r="Q71" s="15">
        <v>1853510.5590792694</v>
      </c>
      <c r="R71" s="15">
        <v>339615.67328736756</v>
      </c>
      <c r="S71" s="15">
        <v>711656.65867916553</v>
      </c>
      <c r="T71" s="15">
        <v>802238.22711273644</v>
      </c>
      <c r="U71" s="15">
        <v>0</v>
      </c>
      <c r="V71" s="15">
        <v>517133956.80320305</v>
      </c>
      <c r="W71" s="15">
        <v>0</v>
      </c>
      <c r="X71" s="15">
        <v>0</v>
      </c>
      <c r="Y71" s="15">
        <v>496.15822642129802</v>
      </c>
      <c r="Z71" s="15">
        <v>0</v>
      </c>
      <c r="AA71" s="15">
        <v>499.74099999999999</v>
      </c>
      <c r="AB71" s="15">
        <v>0</v>
      </c>
      <c r="AC71" s="15">
        <v>-3.5827735787019614</v>
      </c>
      <c r="AD71" s="15">
        <v>166.17466701067042</v>
      </c>
      <c r="AE71" s="15">
        <v>1.1910481145169878E-3</v>
      </c>
      <c r="AF71" s="15">
        <v>0</v>
      </c>
      <c r="AG71" s="15">
        <v>0</v>
      </c>
      <c r="AH71" s="15">
        <v>2.3969810676031829E-3</v>
      </c>
      <c r="AI71" s="15">
        <v>101.46076874999999</v>
      </c>
      <c r="AJ71" s="15">
        <v>44.400334996488333</v>
      </c>
      <c r="AK71" s="15">
        <v>0</v>
      </c>
      <c r="AL71" s="15">
        <v>0</v>
      </c>
      <c r="AM71" s="15">
        <v>20.309975235</v>
      </c>
      <c r="AN71" s="15">
        <v>-46.381570970185471</v>
      </c>
      <c r="AO71" s="15">
        <v>329.98355941062761</v>
      </c>
      <c r="AP71" s="15">
        <v>3.5880291821201709E-3</v>
      </c>
      <c r="AQ71" s="15">
        <v>1.1910481145169878E-3</v>
      </c>
      <c r="AR71" s="15">
        <v>0</v>
      </c>
      <c r="AS71" s="15">
        <v>0</v>
      </c>
      <c r="AT71" s="15">
        <v>2.3969810676031829E-3</v>
      </c>
      <c r="AU71" s="15">
        <v>163.05690386392473</v>
      </c>
      <c r="AV71" s="15">
        <v>51.803443033998526</v>
      </c>
      <c r="AW71" s="15">
        <v>51.803443033998526</v>
      </c>
      <c r="AX71" s="15">
        <v>0</v>
      </c>
      <c r="AY71" s="15">
        <v>0</v>
      </c>
      <c r="AZ71" s="15">
        <v>40.035289340496689</v>
      </c>
      <c r="BA71" s="15">
        <v>0</v>
      </c>
      <c r="BB71" s="15">
        <v>16.681370558540287</v>
      </c>
      <c r="BC71" s="15">
        <v>23.353918781956402</v>
      </c>
      <c r="BD71" s="15">
        <v>0</v>
      </c>
      <c r="BE71" s="15">
        <v>71.218171489429523</v>
      </c>
      <c r="BF71" s="15">
        <v>24.988832101554216</v>
      </c>
      <c r="BG71" s="15">
        <v>0</v>
      </c>
      <c r="BH71" s="15">
        <v>46.229339387875299</v>
      </c>
      <c r="BI71" s="15">
        <v>0</v>
      </c>
      <c r="BJ71" s="15">
        <v>163.06049189310684</v>
      </c>
      <c r="BK71" s="55">
        <v>329.23515890377723</v>
      </c>
      <c r="BL71" s="55">
        <v>-148.71660761647101</v>
      </c>
      <c r="BM71" s="55">
        <v>1.6038228081696739</v>
      </c>
    </row>
    <row r="72" spans="1:65" s="56" customFormat="1" x14ac:dyDescent="0.4">
      <c r="A72" s="15" t="s">
        <v>10693</v>
      </c>
      <c r="B72" s="15" t="s">
        <v>10548</v>
      </c>
      <c r="C72" s="15" t="s">
        <v>10615</v>
      </c>
      <c r="D72" s="15" t="s">
        <v>10303</v>
      </c>
      <c r="E72" s="15" t="s">
        <v>10756</v>
      </c>
      <c r="F72" s="15">
        <v>1017342</v>
      </c>
      <c r="G72" s="15">
        <v>0.89712497377331613</v>
      </c>
      <c r="H72" s="15">
        <v>200</v>
      </c>
      <c r="I72" s="119">
        <v>374.38537106526331</v>
      </c>
      <c r="J72" s="120">
        <v>1.2950035891826015</v>
      </c>
      <c r="K72" s="15">
        <v>30</v>
      </c>
      <c r="L72" s="15">
        <v>575.30505887012919</v>
      </c>
      <c r="M72" s="15">
        <v>77.088579791646495</v>
      </c>
      <c r="N72" s="15">
        <v>4258503.7402804708</v>
      </c>
      <c r="O72" s="15">
        <v>795741.87965693872</v>
      </c>
      <c r="P72" s="15">
        <v>1609251.3015442628</v>
      </c>
      <c r="Q72" s="15">
        <v>1853510.5590792694</v>
      </c>
      <c r="R72" s="15">
        <v>339615.67328736756</v>
      </c>
      <c r="S72" s="15">
        <v>711656.65867916553</v>
      </c>
      <c r="T72" s="15">
        <v>802238.22711273644</v>
      </c>
      <c r="U72" s="15">
        <v>0</v>
      </c>
      <c r="V72" s="15">
        <v>0</v>
      </c>
      <c r="W72" s="15">
        <v>129283489.20080076</v>
      </c>
      <c r="X72" s="15">
        <v>0</v>
      </c>
      <c r="Y72" s="15">
        <v>496.15822642129802</v>
      </c>
      <c r="Z72" s="15">
        <v>0</v>
      </c>
      <c r="AA72" s="15">
        <v>499.74099999999999</v>
      </c>
      <c r="AB72" s="15">
        <v>0</v>
      </c>
      <c r="AC72" s="15">
        <v>-3.5827735787019614</v>
      </c>
      <c r="AD72" s="15">
        <v>121.77285535603471</v>
      </c>
      <c r="AE72" s="15">
        <v>-1.3533958978363583E-3</v>
      </c>
      <c r="AF72" s="15">
        <v>1.4241023567678748E-4</v>
      </c>
      <c r="AG72" s="15">
        <v>3.0745683245602626E-4</v>
      </c>
      <c r="AH72" s="15">
        <v>0</v>
      </c>
      <c r="AI72" s="15">
        <v>101.46076874999999</v>
      </c>
      <c r="AJ72" s="15">
        <v>0</v>
      </c>
      <c r="AK72" s="15">
        <v>3.0148998643433817E-3</v>
      </c>
      <c r="AL72" s="15">
        <v>0</v>
      </c>
      <c r="AM72" s="15">
        <v>20.309975235</v>
      </c>
      <c r="AN72" s="15">
        <v>-33.98843177808434</v>
      </c>
      <c r="AO72" s="15">
        <v>374.38537106526331</v>
      </c>
      <c r="AP72" s="15">
        <v>0</v>
      </c>
      <c r="AQ72" s="15">
        <v>0</v>
      </c>
      <c r="AR72" s="15">
        <v>0</v>
      </c>
      <c r="AS72" s="15">
        <v>0</v>
      </c>
      <c r="AT72" s="15">
        <v>0</v>
      </c>
      <c r="AU72" s="15">
        <v>163.0575439109414</v>
      </c>
      <c r="AV72" s="15">
        <v>51.803443033998526</v>
      </c>
      <c r="AW72" s="15">
        <v>51.803443033998526</v>
      </c>
      <c r="AX72" s="15">
        <v>0</v>
      </c>
      <c r="AY72" s="15">
        <v>0</v>
      </c>
      <c r="AZ72" s="15">
        <v>40.035289340496689</v>
      </c>
      <c r="BA72" s="15">
        <v>0</v>
      </c>
      <c r="BB72" s="15">
        <v>16.681370558540287</v>
      </c>
      <c r="BC72" s="15">
        <v>23.353918781956402</v>
      </c>
      <c r="BD72" s="15">
        <v>0</v>
      </c>
      <c r="BE72" s="15">
        <v>71.218811536446196</v>
      </c>
      <c r="BF72" s="15">
        <v>24.989056679454805</v>
      </c>
      <c r="BG72" s="15">
        <v>0</v>
      </c>
      <c r="BH72" s="15">
        <v>46.229754856991384</v>
      </c>
      <c r="BI72" s="15">
        <v>0</v>
      </c>
      <c r="BJ72" s="15">
        <v>163.0575439109414</v>
      </c>
      <c r="BK72" s="55">
        <v>284.83039926697609</v>
      </c>
      <c r="BL72" s="55">
        <v>-136.32264560313914</v>
      </c>
      <c r="BM72" s="55">
        <v>1.2950035891826015</v>
      </c>
    </row>
    <row r="73" spans="1:65" s="52" customFormat="1" x14ac:dyDescent="0.4">
      <c r="A73" s="15" t="s">
        <v>10693</v>
      </c>
      <c r="B73" s="15" t="s">
        <v>10548</v>
      </c>
      <c r="C73" s="15" t="s">
        <v>10615</v>
      </c>
      <c r="D73" s="15" t="s">
        <v>10304</v>
      </c>
      <c r="E73" s="15" t="s">
        <v>10757</v>
      </c>
      <c r="F73" s="15">
        <v>1017342</v>
      </c>
      <c r="G73" s="15">
        <v>0.89712497377331613</v>
      </c>
      <c r="H73" s="15">
        <v>200</v>
      </c>
      <c r="I73" s="119">
        <v>374.38582093233146</v>
      </c>
      <c r="J73" s="120">
        <v>1.2950010027051639</v>
      </c>
      <c r="K73" s="15">
        <v>30</v>
      </c>
      <c r="L73" s="15">
        <v>575.30505887012919</v>
      </c>
      <c r="M73" s="15">
        <v>77.088579791646495</v>
      </c>
      <c r="N73" s="15">
        <v>4258503.7402804708</v>
      </c>
      <c r="O73" s="15">
        <v>795741.87965693872</v>
      </c>
      <c r="P73" s="15">
        <v>1609251.3015442628</v>
      </c>
      <c r="Q73" s="15">
        <v>1853510.5590792694</v>
      </c>
      <c r="R73" s="15">
        <v>339615.67328736756</v>
      </c>
      <c r="S73" s="15">
        <v>711656.65867916553</v>
      </c>
      <c r="T73" s="15">
        <v>802238.22711273644</v>
      </c>
      <c r="U73" s="15">
        <v>0</v>
      </c>
      <c r="V73" s="15">
        <v>0</v>
      </c>
      <c r="W73" s="15">
        <v>0</v>
      </c>
      <c r="X73" s="15">
        <v>129283489200.80077</v>
      </c>
      <c r="Y73" s="15">
        <v>496.15822642129802</v>
      </c>
      <c r="Z73" s="15">
        <v>0</v>
      </c>
      <c r="AA73" s="15">
        <v>499.74099999999999</v>
      </c>
      <c r="AB73" s="15">
        <v>0</v>
      </c>
      <c r="AC73" s="15">
        <v>-3.5827735787019614</v>
      </c>
      <c r="AD73" s="15">
        <v>121.77240548896657</v>
      </c>
      <c r="AE73" s="15">
        <v>-1.3533958978363583E-3</v>
      </c>
      <c r="AF73" s="15">
        <v>0</v>
      </c>
      <c r="AG73" s="15">
        <v>0</v>
      </c>
      <c r="AH73" s="15">
        <v>0</v>
      </c>
      <c r="AI73" s="15">
        <v>101.46076874999999</v>
      </c>
      <c r="AJ73" s="15">
        <v>0</v>
      </c>
      <c r="AK73" s="15">
        <v>3.0148998643433817E-3</v>
      </c>
      <c r="AL73" s="15">
        <v>0</v>
      </c>
      <c r="AM73" s="15">
        <v>20.309975235</v>
      </c>
      <c r="AN73" s="15">
        <v>-33.988306214171843</v>
      </c>
      <c r="AO73" s="15">
        <v>374.38582093233146</v>
      </c>
      <c r="AP73" s="15">
        <v>0</v>
      </c>
      <c r="AQ73" s="15">
        <v>0</v>
      </c>
      <c r="AR73" s="15">
        <v>0</v>
      </c>
      <c r="AS73" s="15">
        <v>0</v>
      </c>
      <c r="AT73" s="15">
        <v>0</v>
      </c>
      <c r="AU73" s="15">
        <v>163.05760801699861</v>
      </c>
      <c r="AV73" s="15">
        <v>51.803443033998526</v>
      </c>
      <c r="AW73" s="15">
        <v>51.803443033998526</v>
      </c>
      <c r="AX73" s="15">
        <v>0</v>
      </c>
      <c r="AY73" s="15">
        <v>0</v>
      </c>
      <c r="AZ73" s="15">
        <v>40.035289340496689</v>
      </c>
      <c r="BA73" s="15">
        <v>0</v>
      </c>
      <c r="BB73" s="15">
        <v>16.681370558540287</v>
      </c>
      <c r="BC73" s="15">
        <v>23.353918781956402</v>
      </c>
      <c r="BD73" s="15">
        <v>0</v>
      </c>
      <c r="BE73" s="15">
        <v>71.218875642503406</v>
      </c>
      <c r="BF73" s="15">
        <v>24.989079172808211</v>
      </c>
      <c r="BG73" s="15">
        <v>0</v>
      </c>
      <c r="BH73" s="15">
        <v>46.229796469695188</v>
      </c>
      <c r="BI73" s="15">
        <v>0</v>
      </c>
      <c r="BJ73" s="15">
        <v>163.05760801699861</v>
      </c>
      <c r="BK73" s="51">
        <v>284.83001350596521</v>
      </c>
      <c r="BL73" s="51">
        <v>-136.3225379320842</v>
      </c>
      <c r="BM73" s="51">
        <v>1.2950010027051639</v>
      </c>
    </row>
    <row r="74" spans="1:65" x14ac:dyDescent="0.4">
      <c r="A74" s="15" t="s">
        <v>10693</v>
      </c>
      <c r="B74" s="15" t="s">
        <v>10548</v>
      </c>
      <c r="C74" s="15" t="s">
        <v>10615</v>
      </c>
      <c r="D74" s="15" t="s">
        <v>10305</v>
      </c>
      <c r="E74" s="15" t="s">
        <v>10758</v>
      </c>
      <c r="F74" s="15">
        <v>1017342</v>
      </c>
      <c r="G74" s="15">
        <v>0.89712497377331613</v>
      </c>
      <c r="H74" s="15">
        <v>200</v>
      </c>
      <c r="I74" s="119">
        <v>374.42852874112572</v>
      </c>
      <c r="J74" s="120">
        <v>1.2590937950046468</v>
      </c>
      <c r="K74" s="15">
        <v>30</v>
      </c>
      <c r="L74" s="15">
        <v>393.20109993209212</v>
      </c>
      <c r="M74" s="15">
        <v>63.637641728157469</v>
      </c>
      <c r="N74" s="15">
        <v>4258503.7402804708</v>
      </c>
      <c r="O74" s="15">
        <v>600385.1498234421</v>
      </c>
      <c r="P74" s="15">
        <v>1679021.5621990829</v>
      </c>
      <c r="Q74" s="15">
        <v>1979097.028257946</v>
      </c>
      <c r="R74" s="15">
        <v>339615.67328736756</v>
      </c>
      <c r="S74" s="15">
        <v>837243.12785784213</v>
      </c>
      <c r="T74" s="15">
        <v>802238.22711273644</v>
      </c>
      <c r="U74" s="15">
        <v>0</v>
      </c>
      <c r="V74" s="15">
        <v>0</v>
      </c>
      <c r="W74" s="15">
        <v>0</v>
      </c>
      <c r="X74" s="15">
        <v>0</v>
      </c>
      <c r="Y74" s="15">
        <v>496.19820075127819</v>
      </c>
      <c r="Z74" s="15">
        <v>0</v>
      </c>
      <c r="AA74" s="15">
        <v>499.74099999999999</v>
      </c>
      <c r="AB74" s="15">
        <v>0</v>
      </c>
      <c r="AC74" s="15">
        <v>-3.5427992487217672</v>
      </c>
      <c r="AD74" s="15">
        <v>121.76967201015248</v>
      </c>
      <c r="AE74" s="15">
        <v>-1.0719748475731003E-3</v>
      </c>
      <c r="AF74" s="15">
        <v>0</v>
      </c>
      <c r="AG74" s="15">
        <v>0</v>
      </c>
      <c r="AH74" s="15">
        <v>0</v>
      </c>
      <c r="AI74" s="15">
        <v>101.46076874999999</v>
      </c>
      <c r="AJ74" s="15">
        <v>0</v>
      </c>
      <c r="AK74" s="15">
        <v>0</v>
      </c>
      <c r="AL74" s="15">
        <v>0</v>
      </c>
      <c r="AM74" s="15">
        <v>20.309975235</v>
      </c>
      <c r="AN74" s="15">
        <v>-34.371033598385985</v>
      </c>
      <c r="AO74" s="15">
        <v>374.42852874112572</v>
      </c>
      <c r="AP74" s="15">
        <v>0</v>
      </c>
      <c r="AQ74" s="15">
        <v>0</v>
      </c>
      <c r="AR74" s="15">
        <v>0</v>
      </c>
      <c r="AS74" s="15">
        <v>0</v>
      </c>
      <c r="AT74" s="15">
        <v>0</v>
      </c>
      <c r="AU74" s="15">
        <v>149.67096520051797</v>
      </c>
      <c r="AV74" s="15">
        <v>49.768690887802606</v>
      </c>
      <c r="AW74" s="15">
        <v>49.768690887802606</v>
      </c>
      <c r="AX74" s="15">
        <v>0</v>
      </c>
      <c r="AY74" s="15">
        <v>0</v>
      </c>
      <c r="AZ74" s="15">
        <v>28.684613532272149</v>
      </c>
      <c r="BA74" s="15">
        <v>0</v>
      </c>
      <c r="BB74" s="15">
        <v>11.951922305113396</v>
      </c>
      <c r="BC74" s="15">
        <v>16.732691227158753</v>
      </c>
      <c r="BD74" s="15">
        <v>0</v>
      </c>
      <c r="BE74" s="15">
        <v>71.217660780443225</v>
      </c>
      <c r="BF74" s="15">
        <v>24.988652905418675</v>
      </c>
      <c r="BG74" s="15">
        <v>0</v>
      </c>
      <c r="BH74" s="15">
        <v>46.22900787502455</v>
      </c>
      <c r="BI74" s="15">
        <v>0</v>
      </c>
      <c r="BJ74" s="15">
        <v>149.67096520051797</v>
      </c>
      <c r="BK74" s="15">
        <v>271.44063721067045</v>
      </c>
      <c r="BL74" s="15">
        <v>-134.07009630330171</v>
      </c>
      <c r="BM74" s="15">
        <v>1.2590937950046468</v>
      </c>
    </row>
    <row r="75" spans="1:65" x14ac:dyDescent="0.4">
      <c r="A75" s="15" t="s">
        <v>10693</v>
      </c>
      <c r="B75" s="15" t="s">
        <v>10548</v>
      </c>
      <c r="C75" s="15" t="s">
        <v>10615</v>
      </c>
      <c r="D75" s="15" t="s">
        <v>10306</v>
      </c>
      <c r="E75" s="15" t="s">
        <v>10759</v>
      </c>
      <c r="F75" s="15">
        <v>1017342</v>
      </c>
      <c r="G75" s="15">
        <v>0.89712497377331613</v>
      </c>
      <c r="H75" s="15">
        <v>200</v>
      </c>
      <c r="I75" s="119">
        <v>356.37275021992389</v>
      </c>
      <c r="J75" s="120">
        <v>1.4070393389749403</v>
      </c>
      <c r="K75" s="15">
        <v>30</v>
      </c>
      <c r="L75" s="15">
        <v>606.38423433613639</v>
      </c>
      <c r="M75" s="15">
        <v>82.064136588005496</v>
      </c>
      <c r="N75" s="15">
        <v>4258503.7402804708</v>
      </c>
      <c r="O75" s="15">
        <v>976102.28856903745</v>
      </c>
      <c r="P75" s="15">
        <v>1434264.0597264629</v>
      </c>
      <c r="Q75" s="15">
        <v>1848137.391984971</v>
      </c>
      <c r="R75" s="15">
        <v>339615.67328736756</v>
      </c>
      <c r="S75" s="15">
        <v>0</v>
      </c>
      <c r="T75" s="15">
        <v>1508521.7186976038</v>
      </c>
      <c r="U75" s="15">
        <v>0</v>
      </c>
      <c r="V75" s="15">
        <v>0</v>
      </c>
      <c r="W75" s="15">
        <v>0</v>
      </c>
      <c r="X75" s="15">
        <v>0</v>
      </c>
      <c r="Y75" s="15">
        <v>496.02220209076347</v>
      </c>
      <c r="Z75" s="15">
        <v>0</v>
      </c>
      <c r="AA75" s="15">
        <v>499.74099999999999</v>
      </c>
      <c r="AB75" s="15">
        <v>0</v>
      </c>
      <c r="AC75" s="15">
        <v>-3.718797909236518</v>
      </c>
      <c r="AD75" s="15">
        <v>139.64945187083958</v>
      </c>
      <c r="AE75" s="15">
        <v>-2.0159916604389609E-3</v>
      </c>
      <c r="AF75" s="15">
        <v>0</v>
      </c>
      <c r="AG75" s="15">
        <v>0</v>
      </c>
      <c r="AH75" s="15">
        <v>0</v>
      </c>
      <c r="AI75" s="15">
        <v>101.46076874999999</v>
      </c>
      <c r="AJ75" s="15">
        <v>0</v>
      </c>
      <c r="AK75" s="15">
        <v>0</v>
      </c>
      <c r="AL75" s="15">
        <v>0</v>
      </c>
      <c r="AM75" s="15">
        <v>38.19069911250002</v>
      </c>
      <c r="AN75" s="15">
        <v>-37.552309988124655</v>
      </c>
      <c r="AO75" s="15">
        <v>356.37275021992389</v>
      </c>
      <c r="AP75" s="15">
        <v>0</v>
      </c>
      <c r="AQ75" s="15">
        <v>0</v>
      </c>
      <c r="AR75" s="15">
        <v>0</v>
      </c>
      <c r="AS75" s="15">
        <v>0</v>
      </c>
      <c r="AT75" s="15">
        <v>0</v>
      </c>
      <c r="AU75" s="15">
        <v>161.78102702728356</v>
      </c>
      <c r="AV75" s="15">
        <v>57.341757162848914</v>
      </c>
      <c r="AW75" s="15">
        <v>57.341757162848914</v>
      </c>
      <c r="AX75" s="15">
        <v>0</v>
      </c>
      <c r="AY75" s="15">
        <v>0</v>
      </c>
      <c r="AZ75" s="15">
        <v>33.219871510517386</v>
      </c>
      <c r="BA75" s="15">
        <v>0</v>
      </c>
      <c r="BB75" s="15">
        <v>13.841613129382246</v>
      </c>
      <c r="BC75" s="15">
        <v>19.37825838113514</v>
      </c>
      <c r="BD75" s="15">
        <v>0</v>
      </c>
      <c r="BE75" s="15">
        <v>71.219398353917256</v>
      </c>
      <c r="BF75" s="15">
        <v>24.989262580321842</v>
      </c>
      <c r="BG75" s="15">
        <v>0</v>
      </c>
      <c r="BH75" s="15">
        <v>46.230135773595407</v>
      </c>
      <c r="BI75" s="15">
        <v>0</v>
      </c>
      <c r="BJ75" s="15">
        <v>161.78102702728356</v>
      </c>
      <c r="BK75" s="15">
        <v>301.43047889812317</v>
      </c>
      <c r="BL75" s="15">
        <v>-135.83671098467102</v>
      </c>
      <c r="BM75" s="15">
        <v>1.4070393389749403</v>
      </c>
    </row>
    <row r="76" spans="1:65" x14ac:dyDescent="0.4">
      <c r="A76" s="15" t="s">
        <v>10693</v>
      </c>
      <c r="B76" s="15" t="s">
        <v>10548</v>
      </c>
      <c r="C76" s="15" t="s">
        <v>10615</v>
      </c>
      <c r="D76" s="15" t="s">
        <v>10307</v>
      </c>
      <c r="E76" s="15" t="s">
        <v>10760</v>
      </c>
      <c r="F76" s="15">
        <v>1017342</v>
      </c>
      <c r="G76" s="15">
        <v>0.89712497377331613</v>
      </c>
      <c r="H76" s="15">
        <v>200</v>
      </c>
      <c r="I76" s="118">
        <v>14.183268938742387</v>
      </c>
      <c r="J76" s="120">
        <v>62.335561534163517</v>
      </c>
      <c r="K76" s="15">
        <v>30</v>
      </c>
      <c r="L76" s="15">
        <v>1248.9511740386047</v>
      </c>
      <c r="M76" s="15">
        <v>129.21529836264907</v>
      </c>
      <c r="N76" s="15">
        <v>4258503.7402804708</v>
      </c>
      <c r="O76" s="15">
        <v>3112113.484722082</v>
      </c>
      <c r="P76" s="15">
        <v>783777.61339862074</v>
      </c>
      <c r="Q76" s="15">
        <v>362612.64215976791</v>
      </c>
      <c r="R76" s="15">
        <v>362612.64215976791</v>
      </c>
      <c r="S76" s="15">
        <v>0</v>
      </c>
      <c r="T76" s="15">
        <v>0</v>
      </c>
      <c r="U76" s="15">
        <v>2775498835.0995851</v>
      </c>
      <c r="V76" s="15">
        <v>0</v>
      </c>
      <c r="W76" s="15">
        <v>0</v>
      </c>
      <c r="X76" s="15">
        <v>0</v>
      </c>
      <c r="Y76" s="15">
        <v>495.24885646160789</v>
      </c>
      <c r="Z76" s="15">
        <v>0</v>
      </c>
      <c r="AA76" s="15">
        <v>499.74099999999999</v>
      </c>
      <c r="AB76" s="15">
        <v>0</v>
      </c>
      <c r="AC76" s="15">
        <v>-4.4921435383921056</v>
      </c>
      <c r="AD76" s="15">
        <v>481.06558752286548</v>
      </c>
      <c r="AE76" s="15">
        <v>4.4680301557144062E-3</v>
      </c>
      <c r="AF76" s="15">
        <v>0</v>
      </c>
      <c r="AG76" s="15">
        <v>0</v>
      </c>
      <c r="AH76" s="15">
        <v>3.7066414044473138E-3</v>
      </c>
      <c r="AI76" s="15">
        <v>123.00035822944251</v>
      </c>
      <c r="AJ76" s="15">
        <v>358.05705462186285</v>
      </c>
      <c r="AK76" s="15">
        <v>0</v>
      </c>
      <c r="AL76" s="15">
        <v>0</v>
      </c>
      <c r="AM76" s="15">
        <v>0</v>
      </c>
      <c r="AN76" s="15">
        <v>-107.09043097386322</v>
      </c>
      <c r="AO76" s="15">
        <v>14.183268938742387</v>
      </c>
      <c r="AP76" s="15">
        <v>8.1746715601617205E-3</v>
      </c>
      <c r="AQ76" s="15">
        <v>4.4680301557144062E-3</v>
      </c>
      <c r="AR76" s="15">
        <v>0</v>
      </c>
      <c r="AS76" s="15">
        <v>0</v>
      </c>
      <c r="AT76" s="15">
        <v>3.7066414044473138E-3</v>
      </c>
      <c r="AU76" s="15">
        <v>203.04827149214054</v>
      </c>
      <c r="AV76" s="15">
        <v>85.621101725383383</v>
      </c>
      <c r="AW76" s="15">
        <v>85.621101725383383</v>
      </c>
      <c r="AX76" s="15">
        <v>0</v>
      </c>
      <c r="AY76" s="15">
        <v>0</v>
      </c>
      <c r="AZ76" s="15">
        <v>46.204886457271883</v>
      </c>
      <c r="BA76" s="15">
        <v>0</v>
      </c>
      <c r="BB76" s="15">
        <v>19.252036023863287</v>
      </c>
      <c r="BC76" s="15">
        <v>26.952850433408599</v>
      </c>
      <c r="BD76" s="15">
        <v>0</v>
      </c>
      <c r="BE76" s="15">
        <v>71.222283309485263</v>
      </c>
      <c r="BF76" s="15">
        <v>24.990274845433426</v>
      </c>
      <c r="BG76" s="15">
        <v>0</v>
      </c>
      <c r="BH76" s="15">
        <v>46.232008464051837</v>
      </c>
      <c r="BI76" s="15">
        <v>0</v>
      </c>
      <c r="BJ76" s="15">
        <v>203.05644616370071</v>
      </c>
      <c r="BK76" s="15">
        <v>684.12203368656617</v>
      </c>
      <c r="BL76" s="15">
        <v>-197.81517879613978</v>
      </c>
      <c r="BM76" s="15">
        <v>62.335561534163517</v>
      </c>
    </row>
    <row r="77" spans="1:65" x14ac:dyDescent="0.4">
      <c r="A77" s="15" t="s">
        <v>10693</v>
      </c>
      <c r="B77" s="15" t="s">
        <v>10548</v>
      </c>
      <c r="C77" s="15" t="s">
        <v>10615</v>
      </c>
      <c r="D77" s="15" t="s">
        <v>10308</v>
      </c>
      <c r="E77" s="15" t="s">
        <v>10761</v>
      </c>
      <c r="F77" s="15">
        <v>1017342</v>
      </c>
      <c r="G77" s="15">
        <v>0.89712497377331613</v>
      </c>
      <c r="H77" s="15">
        <v>200</v>
      </c>
      <c r="I77" s="118">
        <v>14.183268938742387</v>
      </c>
      <c r="J77" s="120">
        <v>62.335561534163517</v>
      </c>
      <c r="K77" s="15">
        <v>30</v>
      </c>
      <c r="L77" s="15">
        <v>1248.9511740386047</v>
      </c>
      <c r="M77" s="15">
        <v>129.21529836264907</v>
      </c>
      <c r="N77" s="15">
        <v>4258503.7402804708</v>
      </c>
      <c r="O77" s="15">
        <v>3112113.484722082</v>
      </c>
      <c r="P77" s="15">
        <v>783777.61339862074</v>
      </c>
      <c r="Q77" s="15">
        <v>362612.64215976791</v>
      </c>
      <c r="R77" s="15">
        <v>362612.64215976791</v>
      </c>
      <c r="S77" s="15">
        <v>0</v>
      </c>
      <c r="T77" s="15">
        <v>0</v>
      </c>
      <c r="U77" s="15">
        <v>2775498835.0995851</v>
      </c>
      <c r="V77" s="15">
        <v>0</v>
      </c>
      <c r="W77" s="15">
        <v>0</v>
      </c>
      <c r="X77" s="15">
        <v>0</v>
      </c>
      <c r="Y77" s="15">
        <v>495.24885646160789</v>
      </c>
      <c r="Z77" s="15">
        <v>0</v>
      </c>
      <c r="AA77" s="15">
        <v>499.74099999999999</v>
      </c>
      <c r="AB77" s="15">
        <v>0</v>
      </c>
      <c r="AC77" s="15">
        <v>-4.4921435383921056</v>
      </c>
      <c r="AD77" s="15">
        <v>481.06558752286548</v>
      </c>
      <c r="AE77" s="15">
        <v>4.4680301557144062E-3</v>
      </c>
      <c r="AF77" s="15">
        <v>0</v>
      </c>
      <c r="AG77" s="15">
        <v>0</v>
      </c>
      <c r="AH77" s="15">
        <v>3.7066414044473138E-3</v>
      </c>
      <c r="AI77" s="15">
        <v>123.00035822944251</v>
      </c>
      <c r="AJ77" s="15">
        <v>358.05705462186285</v>
      </c>
      <c r="AK77" s="15">
        <v>0</v>
      </c>
      <c r="AL77" s="15">
        <v>0</v>
      </c>
      <c r="AM77" s="15">
        <v>0</v>
      </c>
      <c r="AN77" s="15">
        <v>-107.09043097386322</v>
      </c>
      <c r="AO77" s="15">
        <v>14.183268938742387</v>
      </c>
      <c r="AP77" s="15">
        <v>8.1746715601617205E-3</v>
      </c>
      <c r="AQ77" s="15">
        <v>4.4680301557144062E-3</v>
      </c>
      <c r="AR77" s="15">
        <v>0</v>
      </c>
      <c r="AS77" s="15">
        <v>0</v>
      </c>
      <c r="AT77" s="15">
        <v>3.7066414044473138E-3</v>
      </c>
      <c r="AU77" s="15">
        <v>203.04827149214054</v>
      </c>
      <c r="AV77" s="15">
        <v>85.621101725383383</v>
      </c>
      <c r="AW77" s="15">
        <v>85.621101725383383</v>
      </c>
      <c r="AX77" s="15">
        <v>0</v>
      </c>
      <c r="AY77" s="15">
        <v>0</v>
      </c>
      <c r="AZ77" s="15">
        <v>46.204886457271883</v>
      </c>
      <c r="BA77" s="15">
        <v>0</v>
      </c>
      <c r="BB77" s="15">
        <v>19.252036023863287</v>
      </c>
      <c r="BC77" s="15">
        <v>26.952850433408599</v>
      </c>
      <c r="BD77" s="15">
        <v>0</v>
      </c>
      <c r="BE77" s="15">
        <v>71.222283309485263</v>
      </c>
      <c r="BF77" s="15">
        <v>24.990274845433426</v>
      </c>
      <c r="BG77" s="15">
        <v>0</v>
      </c>
      <c r="BH77" s="15">
        <v>46.232008464051837</v>
      </c>
      <c r="BI77" s="15">
        <v>0</v>
      </c>
      <c r="BJ77" s="15">
        <v>203.05644616370071</v>
      </c>
      <c r="BK77" s="15">
        <v>684.12203368656617</v>
      </c>
      <c r="BL77" s="15">
        <v>-197.81517879613978</v>
      </c>
      <c r="BM77" s="15">
        <v>62.335561534163517</v>
      </c>
    </row>
    <row r="78" spans="1:65" s="56" customFormat="1" x14ac:dyDescent="0.4">
      <c r="A78" s="55" t="s">
        <v>10693</v>
      </c>
      <c r="B78" s="55" t="s">
        <v>10548</v>
      </c>
      <c r="C78" s="55" t="s">
        <v>10736</v>
      </c>
      <c r="D78" s="55" t="s">
        <v>10307</v>
      </c>
      <c r="E78" s="55" t="s">
        <v>10762</v>
      </c>
      <c r="F78" s="55">
        <v>1017342</v>
      </c>
      <c r="G78" s="55">
        <v>0.89712497377331613</v>
      </c>
      <c r="H78" s="55">
        <v>200</v>
      </c>
      <c r="I78" s="55">
        <v>14.183268938742387</v>
      </c>
      <c r="J78" s="92">
        <v>62.335561534163517</v>
      </c>
      <c r="K78" s="55">
        <v>30</v>
      </c>
      <c r="L78" s="55">
        <v>1248.9511740386047</v>
      </c>
      <c r="M78" s="55">
        <v>129.21529836264907</v>
      </c>
      <c r="N78" s="55">
        <v>4258503.7402804708</v>
      </c>
      <c r="O78" s="55">
        <v>3112113.484722082</v>
      </c>
      <c r="P78" s="55">
        <v>783777.61339862074</v>
      </c>
      <c r="Q78" s="55">
        <v>362612.64215976791</v>
      </c>
      <c r="R78" s="55">
        <v>362612.64215976791</v>
      </c>
      <c r="S78" s="55">
        <v>0</v>
      </c>
      <c r="T78" s="55">
        <v>0</v>
      </c>
      <c r="U78" s="55">
        <v>2775498835.0995851</v>
      </c>
      <c r="V78" s="55">
        <v>0</v>
      </c>
      <c r="W78" s="55">
        <v>0</v>
      </c>
      <c r="X78" s="55">
        <v>0</v>
      </c>
      <c r="Y78" s="55">
        <v>495.24885646160789</v>
      </c>
      <c r="Z78" s="55">
        <v>0</v>
      </c>
      <c r="AA78" s="55">
        <v>499.74099999999999</v>
      </c>
      <c r="AB78" s="55">
        <v>0</v>
      </c>
      <c r="AC78" s="55">
        <v>-4.4921435383921056</v>
      </c>
      <c r="AD78" s="55">
        <v>481.06558752286548</v>
      </c>
      <c r="AE78" s="55">
        <v>4.4680301557144062E-3</v>
      </c>
      <c r="AF78" s="55">
        <v>0</v>
      </c>
      <c r="AG78" s="55">
        <v>0</v>
      </c>
      <c r="AH78" s="55">
        <v>3.7066414044473138E-3</v>
      </c>
      <c r="AI78" s="55">
        <v>123.00035822944251</v>
      </c>
      <c r="AJ78" s="55">
        <v>358.05705462186285</v>
      </c>
      <c r="AK78" s="55">
        <v>0</v>
      </c>
      <c r="AL78" s="55">
        <v>0</v>
      </c>
      <c r="AM78" s="55">
        <v>0</v>
      </c>
      <c r="AN78" s="55">
        <v>-107.09043097386322</v>
      </c>
      <c r="AO78" s="55">
        <v>14.183268938742387</v>
      </c>
      <c r="AP78" s="55">
        <v>8.1746715601617205E-3</v>
      </c>
      <c r="AQ78" s="55">
        <v>4.4680301557144062E-3</v>
      </c>
      <c r="AR78" s="55">
        <v>0</v>
      </c>
      <c r="AS78" s="55">
        <v>0</v>
      </c>
      <c r="AT78" s="55">
        <v>3.7066414044473138E-3</v>
      </c>
      <c r="AU78" s="55">
        <v>203.04827149214054</v>
      </c>
      <c r="AV78" s="55">
        <v>85.621101725383383</v>
      </c>
      <c r="AW78" s="55">
        <v>85.621101725383383</v>
      </c>
      <c r="AX78" s="55">
        <v>0</v>
      </c>
      <c r="AY78" s="55">
        <v>0</v>
      </c>
      <c r="AZ78" s="55">
        <v>46.204886457271883</v>
      </c>
      <c r="BA78" s="55">
        <v>0</v>
      </c>
      <c r="BB78" s="55">
        <v>19.252036023863287</v>
      </c>
      <c r="BC78" s="55">
        <v>26.952850433408599</v>
      </c>
      <c r="BD78" s="55">
        <v>0</v>
      </c>
      <c r="BE78" s="55">
        <v>71.222283309485263</v>
      </c>
      <c r="BF78" s="55">
        <v>24.990274845433426</v>
      </c>
      <c r="BG78" s="55">
        <v>0</v>
      </c>
      <c r="BH78" s="55">
        <v>46.232008464051837</v>
      </c>
      <c r="BI78" s="55">
        <v>0</v>
      </c>
      <c r="BJ78" s="55">
        <v>203.05644616370071</v>
      </c>
      <c r="BK78" s="55">
        <v>684.12203368656617</v>
      </c>
      <c r="BL78" s="55">
        <v>-197.81517879613978</v>
      </c>
      <c r="BM78" s="55">
        <v>62.335561534163517</v>
      </c>
    </row>
    <row r="79" spans="1:65" s="52" customFormat="1" x14ac:dyDescent="0.4">
      <c r="A79" s="51" t="s">
        <v>10693</v>
      </c>
      <c r="B79" s="51" t="s">
        <v>10738</v>
      </c>
      <c r="C79" s="51" t="s">
        <v>9780</v>
      </c>
      <c r="D79" s="51" t="s">
        <v>9780</v>
      </c>
      <c r="E79" s="51" t="s">
        <v>10553</v>
      </c>
      <c r="F79" s="51">
        <f>F62+F70+F78</f>
        <v>3317141</v>
      </c>
      <c r="G79" s="51">
        <f>G62</f>
        <v>0.89712450607071414</v>
      </c>
      <c r="H79" s="51">
        <f>(H62*N62+H70*N70+H78*N78)/(N62+N70+N78)</f>
        <v>200</v>
      </c>
      <c r="I79" s="51">
        <f>(I62*N62+I70*N70+I78*N78)/(N62+N70+N78)</f>
        <v>465.89051659732132</v>
      </c>
      <c r="J79" s="93">
        <f>(H79+AD79+AE79+AF79+AG79+AH79+AU79)/(I79)</f>
        <v>2.0296588223066983</v>
      </c>
      <c r="K79" s="51">
        <f>K62</f>
        <v>30</v>
      </c>
      <c r="L79" s="51">
        <f t="shared" ref="L79:W79" si="4">L62+L70+L78</f>
        <v>4264.6323429267832</v>
      </c>
      <c r="M79" s="51">
        <f t="shared" si="4"/>
        <v>587.87744538993547</v>
      </c>
      <c r="N79" s="51">
        <f t="shared" si="4"/>
        <v>13885255.944849033</v>
      </c>
      <c r="O79" s="51">
        <f t="shared" si="4"/>
        <v>10147341.625191599</v>
      </c>
      <c r="P79" s="51">
        <f t="shared" si="4"/>
        <v>2555581.3566494645</v>
      </c>
      <c r="Q79" s="51">
        <f t="shared" si="4"/>
        <v>1182332.96300797</v>
      </c>
      <c r="R79" s="51">
        <f t="shared" si="4"/>
        <v>1182332.96300797</v>
      </c>
      <c r="S79" s="51">
        <f t="shared" si="4"/>
        <v>0</v>
      </c>
      <c r="T79" s="51">
        <f t="shared" si="4"/>
        <v>0</v>
      </c>
      <c r="U79" s="51">
        <f t="shared" si="4"/>
        <v>9049777586.3054371</v>
      </c>
      <c r="V79" s="51">
        <f t="shared" si="4"/>
        <v>0</v>
      </c>
      <c r="W79" s="51">
        <f t="shared" si="4"/>
        <v>0</v>
      </c>
      <c r="X79" s="51">
        <f>(X62*N62+X70*N70+X78*N78)/(N62+N70+N78)</f>
        <v>0</v>
      </c>
      <c r="Y79" s="51">
        <f>(Y62*N62+Y70*N70+Y78*N78)/(N62+N70+N78)</f>
        <v>946.95363838756032</v>
      </c>
      <c r="Z79" s="51">
        <f>(Z62*N62+Z70*N70+Z78*N78)/(N62+N70+N78)</f>
        <v>0</v>
      </c>
      <c r="AA79" s="51">
        <f>(AA62*N62+AA70*N70+AA78*N78)/(N62+N70+N78)</f>
        <v>173.07329870808047</v>
      </c>
      <c r="AB79" s="51">
        <f>(AB62*N62+AB70*N70+AB78*N78)/(N62+N70+N78)</f>
        <v>778.26708407572926</v>
      </c>
      <c r="AC79" s="51">
        <f>(AC62*N62+AC70*N70+AC78*N78)/(N62+N70+N78)</f>
        <v>-4.3867443962493828</v>
      </c>
      <c r="AD79" s="51">
        <f>(AD62*N62+AD70*N70+AD78*N78)/(N62+N70+N78)</f>
        <v>481.06312179023888</v>
      </c>
      <c r="AE79" s="51">
        <f>(AE62*N62+AE70*N70+AE78*N78)/(N62+N70+N78)</f>
        <v>4.3776885406827965E-3</v>
      </c>
      <c r="AF79" s="51">
        <f>(AF62*N62+AF70*N70+AF78*N78)/(N62+N70+N78)</f>
        <v>0</v>
      </c>
      <c r="AG79" s="51">
        <f>(AG62*N62+AG70*N70+AG78*N78)/(N62+N70+N78)</f>
        <v>0</v>
      </c>
      <c r="AH79" s="51">
        <f>(AH62*N62+AH70*N70+AH78*N78)/(N62+N70+N78)</f>
        <v>3.4103606542780721E-3</v>
      </c>
      <c r="AI79" s="51">
        <f>(AI62*N62+AI70*N70+AI78*N78)/(N62+N70+N78)</f>
        <v>123.0003582294425</v>
      </c>
      <c r="AJ79" s="51">
        <f>(AJ62*N62+AJ70*N70+AJ78*N78)/(N62+N70+N78)</f>
        <v>358.05497551160158</v>
      </c>
      <c r="AK79" s="51">
        <f>(AK62*N62+AK70*N70+AK78*N78)/(N62+N70+N78)</f>
        <v>0</v>
      </c>
      <c r="AL79" s="51">
        <f>(AL62*N62+AL70*N70+AL78*N78)/(N62+N70+N78)</f>
        <v>0</v>
      </c>
      <c r="AM79" s="51">
        <f>(AM62*N62+AM70*N70+AM78*N78)/(N62+N70+N78)</f>
        <v>0</v>
      </c>
      <c r="AN79" s="51">
        <f>(AN62*N62+AN70*N70+AN78*N78)/(N62+N70+N78)</f>
        <v>-191.92993352406856</v>
      </c>
      <c r="AO79" s="51">
        <f>(AO62*N62+AO70*N70+AO78*N78)/(N62+N70+N78)</f>
        <v>465.89051659732132</v>
      </c>
      <c r="AP79" s="51">
        <f>(AP62*N62+AP70*N70+AP78*N78)/(N62+N70+N78)</f>
        <v>7.7880491949608678E-3</v>
      </c>
      <c r="AQ79" s="51">
        <f>(AQ62*N62+AQ70*N70+AQ78*N78)/(N62+N70+N78)</f>
        <v>4.3776885406827965E-3</v>
      </c>
      <c r="AR79" s="51">
        <f>(AR62*N62+AR70*N70+AR78*N78)/(N62+N70+N78)</f>
        <v>0</v>
      </c>
      <c r="AS79" s="51">
        <f>(AS62*N62+AS70*N70+AS78*N78)/(N62+N70+N78)</f>
        <v>0</v>
      </c>
      <c r="AT79" s="51">
        <f>(AT62*N62+AT70*N70+AT78*N78)/(N62+N70+N78)</f>
        <v>3.4103606542780721E-3</v>
      </c>
      <c r="AU79" s="51">
        <f>(AU62*N62+AU70*N70+AU78*N78)/(N62+N70+N78)</f>
        <v>264.52788740134451</v>
      </c>
      <c r="AV79" s="51">
        <f>(AV62*N62+AV70*N70+AV78*N78)/(N62+N70+N78)</f>
        <v>79.356285111023126</v>
      </c>
      <c r="AW79" s="51">
        <f>(AW62*N62+AW70*N70+AW78*N78)/(N62+N70+N78)</f>
        <v>79.356285111023126</v>
      </c>
      <c r="AX79" s="51">
        <f>(AX62*N62+AX70*N70+AX78*N78)/(N62+N70+N78)</f>
        <v>0</v>
      </c>
      <c r="AY79" s="51">
        <f>(AY62*N62+AY70*N70+AY78*N78)/(N62+N70+N78)</f>
        <v>0</v>
      </c>
      <c r="AZ79" s="51">
        <f>(AZ62*N62+AZ70*N70+AZ78*N78)/(N62+N70+N78)</f>
        <v>49.593527826229447</v>
      </c>
      <c r="BA79" s="51">
        <f>(BA62*N62+BA70*N70+BA78*N78)/(N62+N70+N78)</f>
        <v>0</v>
      </c>
      <c r="BB79" s="51">
        <f>(BB62*N62+BB70*N70+BB78*N78)/(N62+N70+N78)</f>
        <v>20.663969927595605</v>
      </c>
      <c r="BC79" s="51">
        <f>(BC62*N62+BC70*N70+BC78*N78)/(N62+N70+N78)</f>
        <v>28.929557898633842</v>
      </c>
      <c r="BD79" s="51">
        <f>(BD62*N62+BD70*N70+BD78*N78)/(N62+N70+N78)</f>
        <v>0</v>
      </c>
      <c r="BE79" s="51">
        <f>(BE62*N62+BE70*N70+BE78*N78)/(N62+N70+N78)</f>
        <v>135.57807446409194</v>
      </c>
      <c r="BF79" s="51">
        <f>(BF62*N62+BF70*N70+BF78*N78)/(N62+N70+N78)</f>
        <v>47.571254197926997</v>
      </c>
      <c r="BG79" s="51">
        <f>(BG62*N62+BG70*N70+BG78*N78)/(N62+N70+N78)</f>
        <v>0</v>
      </c>
      <c r="BH79" s="51">
        <f>(BH62*N62+BH70*N70+BH78*N78)/(N62+N70+N78)</f>
        <v>88.006820266164937</v>
      </c>
      <c r="BI79" s="51">
        <f>(BI62*N62+BI70*N70+BI78*N78)/(N62+N70+N78)</f>
        <v>0</v>
      </c>
      <c r="BJ79" s="51">
        <f>(BJ62*N62+BJ70*N70+BJ78*N78)/(N62+N70+N78)</f>
        <v>264.53567545053949</v>
      </c>
      <c r="BK79" s="51">
        <f>(BK62*N62+BK70*N70+BK78*N78)/(N62+N70+N78)</f>
        <v>745.59879724077837</v>
      </c>
      <c r="BL79" s="51">
        <f>(BL62*N62+BL70*N70+BL78*N78)/(N62+N70+N78)</f>
        <v>-376.27351575895477</v>
      </c>
      <c r="BM79" s="51">
        <f>(BM62*N62+BM70*N70+BM78*N78)/(N62+N70+N78)</f>
        <v>20.144520079337134</v>
      </c>
    </row>
    <row r="80" spans="1:65" s="52" customFormat="1" x14ac:dyDescent="0.4">
      <c r="A80" s="15" t="s">
        <v>10702</v>
      </c>
      <c r="B80" s="15" t="s">
        <v>10548</v>
      </c>
      <c r="C80" s="15" t="s">
        <v>10600</v>
      </c>
      <c r="D80" s="15" t="s">
        <v>10302</v>
      </c>
      <c r="E80" s="15" t="s">
        <v>10763</v>
      </c>
      <c r="F80" s="15">
        <v>1963726</v>
      </c>
      <c r="G80" s="15">
        <v>0.89712450607071414</v>
      </c>
      <c r="H80" s="15">
        <v>200</v>
      </c>
      <c r="I80" s="118">
        <v>-115.0139709661552</v>
      </c>
      <c r="J80" s="117">
        <v>-3.8384877932419585</v>
      </c>
      <c r="K80" s="15">
        <v>30</v>
      </c>
      <c r="L80" s="15">
        <v>723.77382232754928</v>
      </c>
      <c r="M80" s="15">
        <v>122.45427825453091</v>
      </c>
      <c r="N80" s="15">
        <v>8219979.275606934</v>
      </c>
      <c r="O80" s="15">
        <v>1535981.2174502737</v>
      </c>
      <c r="P80" s="15">
        <v>3106258.2434331989</v>
      </c>
      <c r="Q80" s="15">
        <v>3577739.8147234609</v>
      </c>
      <c r="R80" s="15">
        <v>655543.34722965304</v>
      </c>
      <c r="S80" s="15">
        <v>1373675.671658596</v>
      </c>
      <c r="T80" s="15">
        <v>1548520.7958352126</v>
      </c>
      <c r="U80" s="15">
        <v>0</v>
      </c>
      <c r="V80" s="15">
        <v>998198115.32089341</v>
      </c>
      <c r="W80" s="15">
        <v>0</v>
      </c>
      <c r="X80" s="15">
        <v>0</v>
      </c>
      <c r="Y80" s="15">
        <v>30.850834504839543</v>
      </c>
      <c r="Z80" s="15">
        <v>0</v>
      </c>
      <c r="AA80" s="15">
        <v>30.82</v>
      </c>
      <c r="AB80" s="15">
        <v>0</v>
      </c>
      <c r="AC80" s="15">
        <v>3.0834504839542965E-2</v>
      </c>
      <c r="AD80" s="15">
        <v>145.86480547099475</v>
      </c>
      <c r="AE80" s="15">
        <v>1.1097715531791384E-3</v>
      </c>
      <c r="AF80" s="15">
        <v>0</v>
      </c>
      <c r="AG80" s="15">
        <v>0</v>
      </c>
      <c r="AH80" s="15">
        <v>1.2417978804473253E-3</v>
      </c>
      <c r="AI80" s="15">
        <v>101.46076874999997</v>
      </c>
      <c r="AJ80" s="15">
        <v>44.401685151561146</v>
      </c>
      <c r="AK80" s="15">
        <v>0</v>
      </c>
      <c r="AL80" s="15">
        <v>0</v>
      </c>
      <c r="AM80" s="15">
        <v>0</v>
      </c>
      <c r="AN80" s="15">
        <v>4730.57071063888</v>
      </c>
      <c r="AO80" s="15">
        <v>-115.0139709661552</v>
      </c>
      <c r="AP80" s="15">
        <v>2.3515694336264637E-3</v>
      </c>
      <c r="AQ80" s="15">
        <v>1.1097715531791384E-3</v>
      </c>
      <c r="AR80" s="15">
        <v>0</v>
      </c>
      <c r="AS80" s="15">
        <v>0</v>
      </c>
      <c r="AT80" s="15">
        <v>1.2417978804473253E-3</v>
      </c>
      <c r="AU80" s="15">
        <v>95.612566565443359</v>
      </c>
      <c r="AV80" s="15">
        <v>62.210874999999987</v>
      </c>
      <c r="AW80" s="15">
        <v>62.210874999999987</v>
      </c>
      <c r="AX80" s="15">
        <v>0</v>
      </c>
      <c r="AY80" s="15">
        <v>0</v>
      </c>
      <c r="AZ80" s="15">
        <v>29.005782747148032</v>
      </c>
      <c r="BA80" s="15">
        <v>0</v>
      </c>
      <c r="BB80" s="15">
        <v>12.085742811311681</v>
      </c>
      <c r="BC80" s="15">
        <v>16.92003993583635</v>
      </c>
      <c r="BD80" s="15">
        <v>0</v>
      </c>
      <c r="BE80" s="15">
        <v>4.3959088182953421</v>
      </c>
      <c r="BF80" s="15">
        <v>1.5424241467702957</v>
      </c>
      <c r="BG80" s="15">
        <v>0</v>
      </c>
      <c r="BH80" s="15">
        <v>2.8534846715250466</v>
      </c>
      <c r="BI80" s="15">
        <v>0</v>
      </c>
      <c r="BJ80" s="15">
        <v>95.614918134876987</v>
      </c>
      <c r="BK80" s="51">
        <v>241.47972360587175</v>
      </c>
      <c r="BL80" s="51">
        <v>14316.717307388271</v>
      </c>
      <c r="BM80" s="51">
        <v>-3.8384877932419585</v>
      </c>
    </row>
    <row r="81" spans="1:65" s="56" customFormat="1" x14ac:dyDescent="0.4">
      <c r="A81" s="15" t="s">
        <v>10702</v>
      </c>
      <c r="B81" s="15" t="s">
        <v>10548</v>
      </c>
      <c r="C81" s="15" t="s">
        <v>10600</v>
      </c>
      <c r="D81" s="15" t="s">
        <v>10303</v>
      </c>
      <c r="E81" s="15" t="s">
        <v>10764</v>
      </c>
      <c r="F81" s="15">
        <v>1963726</v>
      </c>
      <c r="G81" s="15">
        <v>0.89712450607071414</v>
      </c>
      <c r="H81" s="15">
        <v>200</v>
      </c>
      <c r="I81" s="118">
        <v>-70.609593805579038</v>
      </c>
      <c r="J81" s="117">
        <v>-5.6235060288674914</v>
      </c>
      <c r="K81" s="15">
        <v>30</v>
      </c>
      <c r="L81" s="15">
        <v>723.77382232754928</v>
      </c>
      <c r="M81" s="15">
        <v>122.45427825453091</v>
      </c>
      <c r="N81" s="15">
        <v>8219979.275606934</v>
      </c>
      <c r="O81" s="15">
        <v>1535981.2174502737</v>
      </c>
      <c r="P81" s="15">
        <v>3106258.2434331989</v>
      </c>
      <c r="Q81" s="15">
        <v>3577739.8147234609</v>
      </c>
      <c r="R81" s="15">
        <v>655543.34722965304</v>
      </c>
      <c r="S81" s="15">
        <v>1373675.671658596</v>
      </c>
      <c r="T81" s="15">
        <v>1548520.7958352126</v>
      </c>
      <c r="U81" s="15">
        <v>0</v>
      </c>
      <c r="V81" s="15">
        <v>0</v>
      </c>
      <c r="W81" s="15">
        <v>249549528.83022335</v>
      </c>
      <c r="X81" s="15">
        <v>0</v>
      </c>
      <c r="Y81" s="15">
        <v>30.850834504839543</v>
      </c>
      <c r="Z81" s="15">
        <v>0</v>
      </c>
      <c r="AA81" s="15">
        <v>30.82</v>
      </c>
      <c r="AB81" s="15">
        <v>0</v>
      </c>
      <c r="AC81" s="15">
        <v>3.0834504839542965E-2</v>
      </c>
      <c r="AD81" s="15">
        <v>101.46042831041858</v>
      </c>
      <c r="AE81" s="15">
        <v>-1.2610408003686973E-3</v>
      </c>
      <c r="AF81" s="15">
        <v>7.3778108307827128E-5</v>
      </c>
      <c r="AG81" s="15">
        <v>1.5928337859368868E-4</v>
      </c>
      <c r="AH81" s="15">
        <v>0</v>
      </c>
      <c r="AI81" s="15">
        <v>101.46076874999997</v>
      </c>
      <c r="AJ81" s="15">
        <v>0</v>
      </c>
      <c r="AK81" s="15">
        <v>6.8753973208285043E-4</v>
      </c>
      <c r="AL81" s="15">
        <v>0</v>
      </c>
      <c r="AM81" s="15">
        <v>0</v>
      </c>
      <c r="AN81" s="15">
        <v>3290.4834644953698</v>
      </c>
      <c r="AO81" s="15">
        <v>-70.609593805579038</v>
      </c>
      <c r="AP81" s="15">
        <v>0</v>
      </c>
      <c r="AQ81" s="15">
        <v>0</v>
      </c>
      <c r="AR81" s="15">
        <v>0</v>
      </c>
      <c r="AS81" s="15">
        <v>0</v>
      </c>
      <c r="AT81" s="15">
        <v>0</v>
      </c>
      <c r="AU81" s="15">
        <v>95.613048151139822</v>
      </c>
      <c r="AV81" s="15">
        <v>62.210874999999987</v>
      </c>
      <c r="AW81" s="15">
        <v>62.210874999999987</v>
      </c>
      <c r="AX81" s="15">
        <v>0</v>
      </c>
      <c r="AY81" s="15">
        <v>0</v>
      </c>
      <c r="AZ81" s="15">
        <v>29.005782747148032</v>
      </c>
      <c r="BA81" s="15">
        <v>0</v>
      </c>
      <c r="BB81" s="15">
        <v>12.085742811311681</v>
      </c>
      <c r="BC81" s="15">
        <v>16.92003993583635</v>
      </c>
      <c r="BD81" s="15">
        <v>0</v>
      </c>
      <c r="BE81" s="15">
        <v>4.3963904039918056</v>
      </c>
      <c r="BF81" s="15">
        <v>1.5425931242076509</v>
      </c>
      <c r="BG81" s="15">
        <v>0</v>
      </c>
      <c r="BH81" s="15">
        <v>2.8537972797841542</v>
      </c>
      <c r="BI81" s="15">
        <v>0</v>
      </c>
      <c r="BJ81" s="15">
        <v>95.613048151139822</v>
      </c>
      <c r="BK81" s="55">
        <v>197.07347646155841</v>
      </c>
      <c r="BL81" s="55">
        <v>12876.569415427781</v>
      </c>
      <c r="BM81" s="55">
        <v>-5.6235060288674914</v>
      </c>
    </row>
    <row r="82" spans="1:65" x14ac:dyDescent="0.4">
      <c r="A82" s="15" t="s">
        <v>10702</v>
      </c>
      <c r="B82" s="15" t="s">
        <v>10548</v>
      </c>
      <c r="C82" s="15" t="s">
        <v>10600</v>
      </c>
      <c r="D82" s="15" t="s">
        <v>10304</v>
      </c>
      <c r="E82" s="15" t="s">
        <v>10765</v>
      </c>
      <c r="F82" s="15">
        <v>1963726</v>
      </c>
      <c r="G82" s="15">
        <v>0.89712450607071414</v>
      </c>
      <c r="H82" s="15">
        <v>200</v>
      </c>
      <c r="I82" s="118">
        <v>-70.609360744092143</v>
      </c>
      <c r="J82" s="117">
        <v>-5.6235217601025562</v>
      </c>
      <c r="K82" s="15">
        <v>30</v>
      </c>
      <c r="L82" s="15">
        <v>723.77382232754928</v>
      </c>
      <c r="M82" s="15">
        <v>122.45427825453091</v>
      </c>
      <c r="N82" s="15">
        <v>8219979.275606934</v>
      </c>
      <c r="O82" s="15">
        <v>1535981.2174502737</v>
      </c>
      <c r="P82" s="15">
        <v>3106258.2434331989</v>
      </c>
      <c r="Q82" s="15">
        <v>3577739.8147234609</v>
      </c>
      <c r="R82" s="15">
        <v>655543.34722965304</v>
      </c>
      <c r="S82" s="15">
        <v>1373675.671658596</v>
      </c>
      <c r="T82" s="15">
        <v>1548520.7958352126</v>
      </c>
      <c r="U82" s="15">
        <v>0</v>
      </c>
      <c r="V82" s="15">
        <v>0</v>
      </c>
      <c r="W82" s="15">
        <v>0</v>
      </c>
      <c r="X82" s="15">
        <v>249549528830.22336</v>
      </c>
      <c r="Y82" s="15">
        <v>30.850834504839543</v>
      </c>
      <c r="Z82" s="15">
        <v>0</v>
      </c>
      <c r="AA82" s="15">
        <v>30.82</v>
      </c>
      <c r="AB82" s="15">
        <v>0</v>
      </c>
      <c r="AC82" s="15">
        <v>3.0834504839542965E-2</v>
      </c>
      <c r="AD82" s="15">
        <v>101.46019524893168</v>
      </c>
      <c r="AE82" s="15">
        <v>-1.2610408003686973E-3</v>
      </c>
      <c r="AF82" s="15">
        <v>0</v>
      </c>
      <c r="AG82" s="15">
        <v>0</v>
      </c>
      <c r="AH82" s="15">
        <v>0</v>
      </c>
      <c r="AI82" s="15">
        <v>101.46076874999997</v>
      </c>
      <c r="AJ82" s="15">
        <v>0</v>
      </c>
      <c r="AK82" s="15">
        <v>6.8753973208285043E-4</v>
      </c>
      <c r="AL82" s="15">
        <v>0</v>
      </c>
      <c r="AM82" s="15">
        <v>0</v>
      </c>
      <c r="AN82" s="15">
        <v>3290.4759060316255</v>
      </c>
      <c r="AO82" s="15">
        <v>-70.609360744092143</v>
      </c>
      <c r="AP82" s="15">
        <v>0</v>
      </c>
      <c r="AQ82" s="15">
        <v>0</v>
      </c>
      <c r="AR82" s="15">
        <v>0</v>
      </c>
      <c r="AS82" s="15">
        <v>0</v>
      </c>
      <c r="AT82" s="15">
        <v>0</v>
      </c>
      <c r="AU82" s="15">
        <v>95.613081362401701</v>
      </c>
      <c r="AV82" s="15">
        <v>62.210874999999987</v>
      </c>
      <c r="AW82" s="15">
        <v>62.210874999999987</v>
      </c>
      <c r="AX82" s="15">
        <v>0</v>
      </c>
      <c r="AY82" s="15">
        <v>0</v>
      </c>
      <c r="AZ82" s="15">
        <v>29.005782747148032</v>
      </c>
      <c r="BA82" s="15">
        <v>0</v>
      </c>
      <c r="BB82" s="15">
        <v>12.085742811311681</v>
      </c>
      <c r="BC82" s="15">
        <v>16.92003993583635</v>
      </c>
      <c r="BD82" s="15">
        <v>0</v>
      </c>
      <c r="BE82" s="15">
        <v>4.3964236152536875</v>
      </c>
      <c r="BF82" s="15">
        <v>1.5426047772819957</v>
      </c>
      <c r="BG82" s="15">
        <v>0</v>
      </c>
      <c r="BH82" s="15">
        <v>2.853818837971692</v>
      </c>
      <c r="BI82" s="15">
        <v>0</v>
      </c>
      <c r="BJ82" s="15">
        <v>95.613081362401701</v>
      </c>
      <c r="BK82" s="15">
        <v>197.07327661133337</v>
      </c>
      <c r="BL82" s="15">
        <v>12876.56293404512</v>
      </c>
      <c r="BM82" s="15">
        <v>-5.6235217601025562</v>
      </c>
    </row>
    <row r="83" spans="1:65" x14ac:dyDescent="0.4">
      <c r="A83" s="15" t="s">
        <v>10702</v>
      </c>
      <c r="B83" s="15" t="s">
        <v>10548</v>
      </c>
      <c r="C83" s="15" t="s">
        <v>10600</v>
      </c>
      <c r="D83" s="15" t="s">
        <v>10305</v>
      </c>
      <c r="E83" s="15" t="s">
        <v>10766</v>
      </c>
      <c r="F83" s="15">
        <v>1963726</v>
      </c>
      <c r="G83" s="15">
        <v>0.89712450607071414</v>
      </c>
      <c r="H83" s="15">
        <v>200</v>
      </c>
      <c r="I83" s="118">
        <v>-70.616089884686147</v>
      </c>
      <c r="J83" s="117">
        <v>-5.4866750792716577</v>
      </c>
      <c r="K83" s="15">
        <v>30</v>
      </c>
      <c r="L83" s="15">
        <v>421.85084510562172</v>
      </c>
      <c r="M83" s="15">
        <v>100.14385477013553</v>
      </c>
      <c r="N83" s="15">
        <v>8219979.275606934</v>
      </c>
      <c r="O83" s="15">
        <v>1158893.7781714434</v>
      </c>
      <c r="P83" s="15">
        <v>3240932.3288899241</v>
      </c>
      <c r="Q83" s="15">
        <v>3820153.1685455665</v>
      </c>
      <c r="R83" s="15">
        <v>655543.34722965304</v>
      </c>
      <c r="S83" s="15">
        <v>1616089.0254807011</v>
      </c>
      <c r="T83" s="15">
        <v>1548520.7958352126</v>
      </c>
      <c r="U83" s="15">
        <v>0</v>
      </c>
      <c r="V83" s="15">
        <v>0</v>
      </c>
      <c r="W83" s="15">
        <v>0</v>
      </c>
      <c r="X83" s="15">
        <v>0</v>
      </c>
      <c r="Y83" s="15">
        <v>30.843706591991918</v>
      </c>
      <c r="Z83" s="15">
        <v>0</v>
      </c>
      <c r="AA83" s="15">
        <v>30.82</v>
      </c>
      <c r="AB83" s="15">
        <v>0</v>
      </c>
      <c r="AC83" s="15">
        <v>2.3706591991915969E-2</v>
      </c>
      <c r="AD83" s="15">
        <v>101.45979647667806</v>
      </c>
      <c r="AE83" s="15">
        <v>-9.7227332189778464E-4</v>
      </c>
      <c r="AF83" s="15">
        <v>0</v>
      </c>
      <c r="AG83" s="15">
        <v>0</v>
      </c>
      <c r="AH83" s="15">
        <v>0</v>
      </c>
      <c r="AI83" s="15">
        <v>101.46076874999997</v>
      </c>
      <c r="AJ83" s="15">
        <v>0</v>
      </c>
      <c r="AK83" s="15">
        <v>0</v>
      </c>
      <c r="AL83" s="15">
        <v>0</v>
      </c>
      <c r="AM83" s="15">
        <v>0</v>
      </c>
      <c r="AN83" s="15">
        <v>4279.8136700237728</v>
      </c>
      <c r="AO83" s="15">
        <v>-70.616089884686147</v>
      </c>
      <c r="AP83" s="15">
        <v>0</v>
      </c>
      <c r="AQ83" s="15">
        <v>0</v>
      </c>
      <c r="AR83" s="15">
        <v>0</v>
      </c>
      <c r="AS83" s="15">
        <v>0</v>
      </c>
      <c r="AT83" s="15">
        <v>0</v>
      </c>
      <c r="AU83" s="15">
        <v>85.987744089236827</v>
      </c>
      <c r="AV83" s="15">
        <v>60.572499999999998</v>
      </c>
      <c r="AW83" s="15">
        <v>60.572499999999998</v>
      </c>
      <c r="AX83" s="15">
        <v>0</v>
      </c>
      <c r="AY83" s="15">
        <v>0</v>
      </c>
      <c r="AZ83" s="15">
        <v>21.019877350929619</v>
      </c>
      <c r="BA83" s="15">
        <v>0</v>
      </c>
      <c r="BB83" s="15">
        <v>8.758282229554009</v>
      </c>
      <c r="BC83" s="15">
        <v>12.261595121375612</v>
      </c>
      <c r="BD83" s="15">
        <v>0</v>
      </c>
      <c r="BE83" s="15">
        <v>4.3953667383072199</v>
      </c>
      <c r="BF83" s="15">
        <v>1.5422339432656913</v>
      </c>
      <c r="BG83" s="15">
        <v>0</v>
      </c>
      <c r="BH83" s="15">
        <v>2.8531327950415286</v>
      </c>
      <c r="BI83" s="15">
        <v>0</v>
      </c>
      <c r="BJ83" s="15">
        <v>85.987744089236827</v>
      </c>
      <c r="BK83" s="15">
        <v>187.44754056591489</v>
      </c>
      <c r="BL83" s="15">
        <v>16342.451673611959</v>
      </c>
      <c r="BM83" s="15">
        <v>-5.4866750792716577</v>
      </c>
    </row>
    <row r="84" spans="1:65" x14ac:dyDescent="0.4">
      <c r="A84" s="15" t="s">
        <v>10702</v>
      </c>
      <c r="B84" s="15" t="s">
        <v>10548</v>
      </c>
      <c r="C84" s="15" t="s">
        <v>10600</v>
      </c>
      <c r="D84" s="15" t="s">
        <v>10306</v>
      </c>
      <c r="E84" s="15" t="s">
        <v>10767</v>
      </c>
      <c r="F84" s="15">
        <v>1963726</v>
      </c>
      <c r="G84" s="15">
        <v>0.89712450607071414</v>
      </c>
      <c r="H84" s="15">
        <v>200</v>
      </c>
      <c r="I84" s="118">
        <v>-70.599903290924544</v>
      </c>
      <c r="J84" s="117">
        <v>-5.630062941102846</v>
      </c>
      <c r="K84" s="15">
        <v>30</v>
      </c>
      <c r="L84" s="15">
        <v>1002.5055946268693</v>
      </c>
      <c r="M84" s="15">
        <v>148.04052917240384</v>
      </c>
      <c r="N84" s="15">
        <v>8219979.275606934</v>
      </c>
      <c r="O84" s="15">
        <v>1884121.9997100541</v>
      </c>
      <c r="P84" s="15">
        <v>2768489.020024416</v>
      </c>
      <c r="Q84" s="15">
        <v>3567368.2558724657</v>
      </c>
      <c r="R84" s="15">
        <v>655543.34722965304</v>
      </c>
      <c r="S84" s="15">
        <v>0</v>
      </c>
      <c r="T84" s="15">
        <v>2911824.9086428126</v>
      </c>
      <c r="U84" s="15">
        <v>0</v>
      </c>
      <c r="V84" s="15">
        <v>0</v>
      </c>
      <c r="W84" s="15">
        <v>0</v>
      </c>
      <c r="X84" s="15">
        <v>0</v>
      </c>
      <c r="Y84" s="15">
        <v>30.858849467414988</v>
      </c>
      <c r="Z84" s="15">
        <v>0</v>
      </c>
      <c r="AA84" s="15">
        <v>30.82</v>
      </c>
      <c r="AB84" s="15">
        <v>0</v>
      </c>
      <c r="AC84" s="15">
        <v>3.8849467414987279E-2</v>
      </c>
      <c r="AD84" s="15">
        <v>101.45875275833953</v>
      </c>
      <c r="AE84" s="15">
        <v>-2.01599166043896E-3</v>
      </c>
      <c r="AF84" s="15">
        <v>0</v>
      </c>
      <c r="AG84" s="15">
        <v>0</v>
      </c>
      <c r="AH84" s="15">
        <v>0</v>
      </c>
      <c r="AI84" s="15">
        <v>101.46076874999997</v>
      </c>
      <c r="AJ84" s="15">
        <v>0</v>
      </c>
      <c r="AK84" s="15">
        <v>0</v>
      </c>
      <c r="AL84" s="15">
        <v>0</v>
      </c>
      <c r="AM84" s="15">
        <v>0</v>
      </c>
      <c r="AN84" s="15">
        <v>2611.5867091449227</v>
      </c>
      <c r="AO84" s="15">
        <v>-70.599903290924544</v>
      </c>
      <c r="AP84" s="15">
        <v>0</v>
      </c>
      <c r="AQ84" s="15">
        <v>0</v>
      </c>
      <c r="AR84" s="15">
        <v>0</v>
      </c>
      <c r="AS84" s="15">
        <v>0</v>
      </c>
      <c r="AT84" s="15">
        <v>0</v>
      </c>
      <c r="AU84" s="15">
        <v>96.023146405339617</v>
      </c>
      <c r="AV84" s="15">
        <v>66.320000000000007</v>
      </c>
      <c r="AW84" s="15">
        <v>66.320000000000007</v>
      </c>
      <c r="AX84" s="15">
        <v>0</v>
      </c>
      <c r="AY84" s="15">
        <v>0</v>
      </c>
      <c r="AZ84" s="15">
        <v>25.305473077421347</v>
      </c>
      <c r="BA84" s="15">
        <v>0</v>
      </c>
      <c r="BB84" s="15">
        <v>10.543947115592228</v>
      </c>
      <c r="BC84" s="15">
        <v>14.761525961829118</v>
      </c>
      <c r="BD84" s="15">
        <v>0</v>
      </c>
      <c r="BE84" s="15">
        <v>4.3976733279182483</v>
      </c>
      <c r="BF84" s="15">
        <v>1.5430432729537715</v>
      </c>
      <c r="BG84" s="15">
        <v>0</v>
      </c>
      <c r="BH84" s="15">
        <v>2.8546300549644767</v>
      </c>
      <c r="BI84" s="15">
        <v>0</v>
      </c>
      <c r="BJ84" s="15">
        <v>96.023146405339617</v>
      </c>
      <c r="BK84" s="15">
        <v>197.48189916367915</v>
      </c>
      <c r="BL84" s="15">
        <v>10230.334574495075</v>
      </c>
      <c r="BM84" s="15">
        <v>-5.630062941102846</v>
      </c>
    </row>
    <row r="85" spans="1:65" x14ac:dyDescent="0.4">
      <c r="A85" s="15" t="s">
        <v>10702</v>
      </c>
      <c r="B85" s="15" t="s">
        <v>10548</v>
      </c>
      <c r="C85" s="15" t="s">
        <v>10600</v>
      </c>
      <c r="D85" s="15" t="s">
        <v>10307</v>
      </c>
      <c r="E85" s="15" t="s">
        <v>10768</v>
      </c>
      <c r="F85" s="15">
        <v>1963726</v>
      </c>
      <c r="G85" s="15">
        <v>0.89712450607071414</v>
      </c>
      <c r="H85" s="15">
        <v>200</v>
      </c>
      <c r="I85" s="118">
        <v>-346.28867206243183</v>
      </c>
      <c r="J85" s="117">
        <v>-2.024388059348138</v>
      </c>
      <c r="K85" s="15">
        <v>30</v>
      </c>
      <c r="L85" s="15">
        <v>2379.1870416630259</v>
      </c>
      <c r="M85" s="15">
        <v>235.94930782416182</v>
      </c>
      <c r="N85" s="15">
        <v>8219979.275606934</v>
      </c>
      <c r="O85" s="15">
        <v>6007158.8304082518</v>
      </c>
      <c r="P85" s="15">
        <v>1512887.1856754562</v>
      </c>
      <c r="Q85" s="15">
        <v>699933.25952322735</v>
      </c>
      <c r="R85" s="15">
        <v>699933.25952322735</v>
      </c>
      <c r="S85" s="15">
        <v>0</v>
      </c>
      <c r="T85" s="15">
        <v>0</v>
      </c>
      <c r="U85" s="15">
        <v>5357408210.8208227</v>
      </c>
      <c r="V85" s="15">
        <v>0</v>
      </c>
      <c r="W85" s="15">
        <v>0</v>
      </c>
      <c r="X85" s="15">
        <v>0</v>
      </c>
      <c r="Y85" s="15">
        <v>30.889684559262996</v>
      </c>
      <c r="Z85" s="15">
        <v>0</v>
      </c>
      <c r="AA85" s="15">
        <v>30.82</v>
      </c>
      <c r="AB85" s="15">
        <v>0</v>
      </c>
      <c r="AC85" s="15">
        <v>6.9684559262996479E-2</v>
      </c>
      <c r="AD85" s="15">
        <v>377.17835662169483</v>
      </c>
      <c r="AE85" s="15">
        <v>4.3029995622570318E-3</v>
      </c>
      <c r="AF85" s="15">
        <v>0</v>
      </c>
      <c r="AG85" s="15">
        <v>0</v>
      </c>
      <c r="AH85" s="15">
        <v>1.9202922796136244E-3</v>
      </c>
      <c r="AI85" s="15">
        <v>123.0003582294425</v>
      </c>
      <c r="AJ85" s="15">
        <v>254.17177510041043</v>
      </c>
      <c r="AK85" s="15">
        <v>0</v>
      </c>
      <c r="AL85" s="15">
        <v>0</v>
      </c>
      <c r="AM85" s="15">
        <v>0</v>
      </c>
      <c r="AN85" s="15">
        <v>5412.6532564866502</v>
      </c>
      <c r="AO85" s="15">
        <v>-346.28867206243183</v>
      </c>
      <c r="AP85" s="15">
        <v>6.2232918418706562E-3</v>
      </c>
      <c r="AQ85" s="15">
        <v>4.3029995622570318E-3</v>
      </c>
      <c r="AR85" s="15">
        <v>0</v>
      </c>
      <c r="AS85" s="15">
        <v>0</v>
      </c>
      <c r="AT85" s="15">
        <v>1.9202922796136244E-3</v>
      </c>
      <c r="AU85" s="15">
        <v>123.83807289717348</v>
      </c>
      <c r="AV85" s="15">
        <v>81.594999999999999</v>
      </c>
      <c r="AW85" s="15">
        <v>81.594999999999999</v>
      </c>
      <c r="AX85" s="15">
        <v>0</v>
      </c>
      <c r="AY85" s="15">
        <v>0</v>
      </c>
      <c r="AZ85" s="15">
        <v>37.842179666565968</v>
      </c>
      <c r="BA85" s="15">
        <v>0</v>
      </c>
      <c r="BB85" s="15">
        <v>15.767574861069154</v>
      </c>
      <c r="BC85" s="15">
        <v>22.074604805496815</v>
      </c>
      <c r="BD85" s="15">
        <v>0</v>
      </c>
      <c r="BE85" s="15">
        <v>4.4008932306075108</v>
      </c>
      <c r="BF85" s="15">
        <v>1.5441730633710564</v>
      </c>
      <c r="BG85" s="15">
        <v>0</v>
      </c>
      <c r="BH85" s="15">
        <v>2.8567201672364542</v>
      </c>
      <c r="BI85" s="15">
        <v>0</v>
      </c>
      <c r="BJ85" s="15">
        <v>123.84429618901535</v>
      </c>
      <c r="BK85" s="15">
        <v>501.02265281071016</v>
      </c>
      <c r="BL85" s="15">
        <v>10058.942406537733</v>
      </c>
      <c r="BM85" s="15">
        <v>-2.024388059348138</v>
      </c>
    </row>
    <row r="86" spans="1:65" x14ac:dyDescent="0.4">
      <c r="A86" s="15" t="s">
        <v>10702</v>
      </c>
      <c r="B86" s="15" t="s">
        <v>10548</v>
      </c>
      <c r="C86" s="15" t="s">
        <v>10600</v>
      </c>
      <c r="D86" s="15" t="s">
        <v>10308</v>
      </c>
      <c r="E86" s="15" t="s">
        <v>10769</v>
      </c>
      <c r="F86" s="15">
        <v>1963726</v>
      </c>
      <c r="G86" s="15">
        <v>0.89712450607071414</v>
      </c>
      <c r="H86" s="15">
        <v>200</v>
      </c>
      <c r="I86" s="118">
        <v>-346.28867206243183</v>
      </c>
      <c r="J86" s="117">
        <v>-2.024388059348138</v>
      </c>
      <c r="K86" s="15">
        <v>30</v>
      </c>
      <c r="L86" s="15">
        <v>2379.1870416630259</v>
      </c>
      <c r="M86" s="15">
        <v>235.94930782416182</v>
      </c>
      <c r="N86" s="15">
        <v>8219979.275606934</v>
      </c>
      <c r="O86" s="15">
        <v>6007158.8304082518</v>
      </c>
      <c r="P86" s="15">
        <v>1512887.1856754562</v>
      </c>
      <c r="Q86" s="15">
        <v>699933.25952322735</v>
      </c>
      <c r="R86" s="15">
        <v>699933.25952322735</v>
      </c>
      <c r="S86" s="15">
        <v>0</v>
      </c>
      <c r="T86" s="15">
        <v>0</v>
      </c>
      <c r="U86" s="15">
        <v>5357408210.8208227</v>
      </c>
      <c r="V86" s="15">
        <v>0</v>
      </c>
      <c r="W86" s="15">
        <v>0</v>
      </c>
      <c r="X86" s="15">
        <v>0</v>
      </c>
      <c r="Y86" s="15">
        <v>30.889684559262996</v>
      </c>
      <c r="Z86" s="15">
        <v>0</v>
      </c>
      <c r="AA86" s="15">
        <v>30.82</v>
      </c>
      <c r="AB86" s="15">
        <v>0</v>
      </c>
      <c r="AC86" s="15">
        <v>6.9684559262996479E-2</v>
      </c>
      <c r="AD86" s="15">
        <v>377.17835662169483</v>
      </c>
      <c r="AE86" s="15">
        <v>4.3029995622570318E-3</v>
      </c>
      <c r="AF86" s="15">
        <v>0</v>
      </c>
      <c r="AG86" s="15">
        <v>0</v>
      </c>
      <c r="AH86" s="15">
        <v>1.9202922796136244E-3</v>
      </c>
      <c r="AI86" s="15">
        <v>123.0003582294425</v>
      </c>
      <c r="AJ86" s="15">
        <v>254.17177510041043</v>
      </c>
      <c r="AK86" s="15">
        <v>0</v>
      </c>
      <c r="AL86" s="15">
        <v>0</v>
      </c>
      <c r="AM86" s="15">
        <v>0</v>
      </c>
      <c r="AN86" s="15">
        <v>5412.6532564866502</v>
      </c>
      <c r="AO86" s="15">
        <v>-346.28867206243183</v>
      </c>
      <c r="AP86" s="15">
        <v>6.2232918418706562E-3</v>
      </c>
      <c r="AQ86" s="15">
        <v>4.3029995622570318E-3</v>
      </c>
      <c r="AR86" s="15">
        <v>0</v>
      </c>
      <c r="AS86" s="15">
        <v>0</v>
      </c>
      <c r="AT86" s="15">
        <v>1.9202922796136244E-3</v>
      </c>
      <c r="AU86" s="15">
        <v>123.83807289717348</v>
      </c>
      <c r="AV86" s="15">
        <v>81.594999999999999</v>
      </c>
      <c r="AW86" s="15">
        <v>81.594999999999999</v>
      </c>
      <c r="AX86" s="15">
        <v>0</v>
      </c>
      <c r="AY86" s="15">
        <v>0</v>
      </c>
      <c r="AZ86" s="15">
        <v>37.842179666565968</v>
      </c>
      <c r="BA86" s="15">
        <v>0</v>
      </c>
      <c r="BB86" s="15">
        <v>15.767574861069154</v>
      </c>
      <c r="BC86" s="15">
        <v>22.074604805496815</v>
      </c>
      <c r="BD86" s="15">
        <v>0</v>
      </c>
      <c r="BE86" s="15">
        <v>4.4008932306075108</v>
      </c>
      <c r="BF86" s="15">
        <v>1.5441730633710564</v>
      </c>
      <c r="BG86" s="15">
        <v>0</v>
      </c>
      <c r="BH86" s="15">
        <v>2.8567201672364542</v>
      </c>
      <c r="BI86" s="15">
        <v>0</v>
      </c>
      <c r="BJ86" s="15">
        <v>123.84429618901535</v>
      </c>
      <c r="BK86" s="15">
        <v>501.02265281071016</v>
      </c>
      <c r="BL86" s="15">
        <v>10058.942406537733</v>
      </c>
      <c r="BM86" s="15">
        <v>-2.024388059348138</v>
      </c>
    </row>
    <row r="87" spans="1:65" s="56" customFormat="1" x14ac:dyDescent="0.4">
      <c r="A87" s="55" t="s">
        <v>10702</v>
      </c>
      <c r="B87" s="55" t="s">
        <v>10548</v>
      </c>
      <c r="C87" s="55" t="s">
        <v>10718</v>
      </c>
      <c r="D87" s="55" t="s">
        <v>10307</v>
      </c>
      <c r="E87" s="55" t="s">
        <v>10770</v>
      </c>
      <c r="F87" s="55">
        <v>1963726</v>
      </c>
      <c r="G87" s="55">
        <v>0.89712450607071414</v>
      </c>
      <c r="H87" s="55">
        <v>200</v>
      </c>
      <c r="I87" s="55">
        <v>-346.28867206243183</v>
      </c>
      <c r="J87" s="92">
        <v>-2.024388059348138</v>
      </c>
      <c r="K87" s="55">
        <v>30</v>
      </c>
      <c r="L87" s="55">
        <v>2379.1870416630259</v>
      </c>
      <c r="M87" s="55">
        <v>235.94930782416182</v>
      </c>
      <c r="N87" s="55">
        <v>8219979.275606934</v>
      </c>
      <c r="O87" s="55">
        <v>6007158.8304082518</v>
      </c>
      <c r="P87" s="55">
        <v>1512887.1856754562</v>
      </c>
      <c r="Q87" s="55">
        <v>699933.25952322735</v>
      </c>
      <c r="R87" s="55">
        <v>699933.25952322735</v>
      </c>
      <c r="S87" s="55">
        <v>0</v>
      </c>
      <c r="T87" s="55">
        <v>0</v>
      </c>
      <c r="U87" s="55">
        <v>5357408210.8208227</v>
      </c>
      <c r="V87" s="55">
        <v>0</v>
      </c>
      <c r="W87" s="55">
        <v>0</v>
      </c>
      <c r="X87" s="55">
        <v>0</v>
      </c>
      <c r="Y87" s="55">
        <v>30.889684559262996</v>
      </c>
      <c r="Z87" s="55">
        <v>0</v>
      </c>
      <c r="AA87" s="55">
        <v>30.82</v>
      </c>
      <c r="AB87" s="55">
        <v>0</v>
      </c>
      <c r="AC87" s="55">
        <v>6.9684559262996479E-2</v>
      </c>
      <c r="AD87" s="55">
        <v>377.17835662169483</v>
      </c>
      <c r="AE87" s="55">
        <v>4.3029995622570318E-3</v>
      </c>
      <c r="AF87" s="55">
        <v>0</v>
      </c>
      <c r="AG87" s="55">
        <v>0</v>
      </c>
      <c r="AH87" s="55">
        <v>1.9202922796136244E-3</v>
      </c>
      <c r="AI87" s="55">
        <v>123.0003582294425</v>
      </c>
      <c r="AJ87" s="55">
        <v>254.17177510041043</v>
      </c>
      <c r="AK87" s="55">
        <v>0</v>
      </c>
      <c r="AL87" s="55">
        <v>0</v>
      </c>
      <c r="AM87" s="55">
        <v>0</v>
      </c>
      <c r="AN87" s="55">
        <v>5412.6532564866502</v>
      </c>
      <c r="AO87" s="55">
        <v>-346.28867206243183</v>
      </c>
      <c r="AP87" s="55">
        <v>6.2232918418706562E-3</v>
      </c>
      <c r="AQ87" s="55">
        <v>4.3029995622570318E-3</v>
      </c>
      <c r="AR87" s="55">
        <v>0</v>
      </c>
      <c r="AS87" s="55">
        <v>0</v>
      </c>
      <c r="AT87" s="55">
        <v>1.9202922796136244E-3</v>
      </c>
      <c r="AU87" s="55">
        <v>123.83807289717348</v>
      </c>
      <c r="AV87" s="55">
        <v>81.594999999999999</v>
      </c>
      <c r="AW87" s="55">
        <v>81.594999999999999</v>
      </c>
      <c r="AX87" s="55">
        <v>0</v>
      </c>
      <c r="AY87" s="55">
        <v>0</v>
      </c>
      <c r="AZ87" s="55">
        <v>37.842179666565968</v>
      </c>
      <c r="BA87" s="55">
        <v>0</v>
      </c>
      <c r="BB87" s="55">
        <v>15.767574861069154</v>
      </c>
      <c r="BC87" s="55">
        <v>22.074604805496815</v>
      </c>
      <c r="BD87" s="55">
        <v>0</v>
      </c>
      <c r="BE87" s="55">
        <v>4.4008932306075108</v>
      </c>
      <c r="BF87" s="55">
        <v>1.5441730633710564</v>
      </c>
      <c r="BG87" s="55">
        <v>0</v>
      </c>
      <c r="BH87" s="55">
        <v>2.8567201672364542</v>
      </c>
      <c r="BI87" s="55">
        <v>0</v>
      </c>
      <c r="BJ87" s="55">
        <v>123.84429618901535</v>
      </c>
      <c r="BK87" s="55">
        <v>501.02265281071016</v>
      </c>
      <c r="BL87" s="55">
        <v>10058.942406537733</v>
      </c>
      <c r="BM87" s="55">
        <v>-2.024388059348138</v>
      </c>
    </row>
    <row r="88" spans="1:65" s="56" customFormat="1" x14ac:dyDescent="0.4">
      <c r="A88" s="15" t="s">
        <v>10702</v>
      </c>
      <c r="B88" s="15" t="s">
        <v>10548</v>
      </c>
      <c r="C88" s="15" t="s">
        <v>10612</v>
      </c>
      <c r="D88" s="15" t="s">
        <v>10302</v>
      </c>
      <c r="E88" s="15" t="s">
        <v>10771</v>
      </c>
      <c r="F88" s="15">
        <v>336073</v>
      </c>
      <c r="G88" s="15">
        <v>0.89712563672056078</v>
      </c>
      <c r="H88" s="15">
        <v>200</v>
      </c>
      <c r="I88" s="119">
        <v>2478.3842966088923</v>
      </c>
      <c r="J88" s="120">
        <v>1.0015307749203954</v>
      </c>
      <c r="K88" s="15">
        <v>30</v>
      </c>
      <c r="L88" s="15">
        <v>195.45964269605517</v>
      </c>
      <c r="M88" s="15">
        <v>146.39645868162162</v>
      </c>
      <c r="N88" s="15">
        <v>1406772.9289616272</v>
      </c>
      <c r="O88" s="15">
        <v>262868.88611930504</v>
      </c>
      <c r="P88" s="15">
        <v>531607.18059147056</v>
      </c>
      <c r="Q88" s="15">
        <v>612296.86225085158</v>
      </c>
      <c r="R88" s="15">
        <v>112190.14108468981</v>
      </c>
      <c r="S88" s="15">
        <v>235091.8029437256</v>
      </c>
      <c r="T88" s="15">
        <v>265014.91822243616</v>
      </c>
      <c r="U88" s="15">
        <v>0</v>
      </c>
      <c r="V88" s="15">
        <v>170832314.69221255</v>
      </c>
      <c r="W88" s="15">
        <v>0</v>
      </c>
      <c r="X88" s="15">
        <v>0</v>
      </c>
      <c r="Y88" s="15">
        <v>2624.2485190675397</v>
      </c>
      <c r="Z88" s="15">
        <v>0</v>
      </c>
      <c r="AA88" s="15">
        <v>15.41</v>
      </c>
      <c r="AB88" s="15">
        <v>2608.663</v>
      </c>
      <c r="AC88" s="15">
        <v>0.17551906753990618</v>
      </c>
      <c r="AD88" s="15">
        <v>145.86422245864742</v>
      </c>
      <c r="AE88" s="15">
        <v>1.4758301920094103E-3</v>
      </c>
      <c r="AF88" s="15">
        <v>0</v>
      </c>
      <c r="AG88" s="15">
        <v>0</v>
      </c>
      <c r="AH88" s="15">
        <v>7.2560060203206121E-3</v>
      </c>
      <c r="AI88" s="15">
        <v>101.46076875000001</v>
      </c>
      <c r="AJ88" s="15">
        <v>44.394721872435227</v>
      </c>
      <c r="AK88" s="15">
        <v>0</v>
      </c>
      <c r="AL88" s="15">
        <v>0</v>
      </c>
      <c r="AM88" s="15">
        <v>0</v>
      </c>
      <c r="AN88" s="15">
        <v>831.04488021213763</v>
      </c>
      <c r="AO88" s="15">
        <v>2478.3842966088923</v>
      </c>
      <c r="AP88" s="15">
        <v>8.7318362123300231E-3</v>
      </c>
      <c r="AQ88" s="15">
        <v>1.4758301920094103E-3</v>
      </c>
      <c r="AR88" s="15">
        <v>0</v>
      </c>
      <c r="AS88" s="15">
        <v>0</v>
      </c>
      <c r="AT88" s="15">
        <v>7.2560060203206121E-3</v>
      </c>
      <c r="AU88" s="15">
        <v>2136.3051908383832</v>
      </c>
      <c r="AV88" s="15">
        <v>1685.0829531012503</v>
      </c>
      <c r="AW88" s="15">
        <v>1685.0829531012503</v>
      </c>
      <c r="AX88" s="15">
        <v>0</v>
      </c>
      <c r="AY88" s="15">
        <v>0</v>
      </c>
      <c r="AZ88" s="15">
        <v>77.268068056668653</v>
      </c>
      <c r="BA88" s="15">
        <v>0</v>
      </c>
      <c r="BB88" s="15">
        <v>32.195028356945272</v>
      </c>
      <c r="BC88" s="15">
        <v>45.073039699723374</v>
      </c>
      <c r="BD88" s="15">
        <v>0</v>
      </c>
      <c r="BE88" s="15">
        <v>373.95416968046419</v>
      </c>
      <c r="BF88" s="15">
        <v>131.2119893615664</v>
      </c>
      <c r="BG88" s="15">
        <v>0</v>
      </c>
      <c r="BH88" s="15">
        <v>242.74218031889779</v>
      </c>
      <c r="BI88" s="15">
        <v>0</v>
      </c>
      <c r="BJ88" s="15">
        <v>2136.3139226745957</v>
      </c>
      <c r="BK88" s="55">
        <v>2282.1781451332431</v>
      </c>
      <c r="BL88" s="55">
        <v>14140.928736995442</v>
      </c>
      <c r="BM88" s="55">
        <v>1.0015307749203954</v>
      </c>
    </row>
    <row r="89" spans="1:65" s="56" customFormat="1" x14ac:dyDescent="0.4">
      <c r="A89" s="15" t="s">
        <v>10702</v>
      </c>
      <c r="B89" s="15" t="s">
        <v>10548</v>
      </c>
      <c r="C89" s="15" t="s">
        <v>10612</v>
      </c>
      <c r="D89" s="15" t="s">
        <v>10303</v>
      </c>
      <c r="E89" s="15" t="s">
        <v>10772</v>
      </c>
      <c r="F89" s="15">
        <v>336073</v>
      </c>
      <c r="G89" s="15">
        <v>0.89712563672056078</v>
      </c>
      <c r="H89" s="15">
        <v>200</v>
      </c>
      <c r="I89" s="119">
        <v>2522.7840481060971</v>
      </c>
      <c r="J89" s="120">
        <v>0.96630187305576409</v>
      </c>
      <c r="K89" s="15">
        <v>30</v>
      </c>
      <c r="L89" s="15">
        <v>195.45964269605517</v>
      </c>
      <c r="M89" s="15">
        <v>146.39645868162162</v>
      </c>
      <c r="N89" s="15">
        <v>1406772.9289616272</v>
      </c>
      <c r="O89" s="15">
        <v>262868.88611930504</v>
      </c>
      <c r="P89" s="15">
        <v>531607.18059147056</v>
      </c>
      <c r="Q89" s="15">
        <v>612296.86225085158</v>
      </c>
      <c r="R89" s="15">
        <v>112190.14108468981</v>
      </c>
      <c r="S89" s="15">
        <v>235091.8029437256</v>
      </c>
      <c r="T89" s="15">
        <v>265014.91822243616</v>
      </c>
      <c r="U89" s="15">
        <v>0</v>
      </c>
      <c r="V89" s="15">
        <v>0</v>
      </c>
      <c r="W89" s="15">
        <v>42708078.673053138</v>
      </c>
      <c r="X89" s="15">
        <v>0</v>
      </c>
      <c r="Y89" s="15">
        <v>2624.2485190675397</v>
      </c>
      <c r="Z89" s="15">
        <v>0</v>
      </c>
      <c r="AA89" s="15">
        <v>15.41</v>
      </c>
      <c r="AB89" s="15">
        <v>2608.663</v>
      </c>
      <c r="AC89" s="15">
        <v>0.17551906753990618</v>
      </c>
      <c r="AD89" s="15">
        <v>101.46447096144266</v>
      </c>
      <c r="AE89" s="15">
        <v>-1.6769956674492455E-3</v>
      </c>
      <c r="AF89" s="15">
        <v>4.3109624076393153E-4</v>
      </c>
      <c r="AG89" s="15">
        <v>9.3071599832049933E-4</v>
      </c>
      <c r="AH89" s="15">
        <v>0</v>
      </c>
      <c r="AI89" s="15">
        <v>101.46076875000001</v>
      </c>
      <c r="AJ89" s="15">
        <v>0</v>
      </c>
      <c r="AK89" s="15">
        <v>4.0173948705772488E-3</v>
      </c>
      <c r="AL89" s="15">
        <v>0</v>
      </c>
      <c r="AM89" s="15">
        <v>0</v>
      </c>
      <c r="AN89" s="15">
        <v>578.08232680118135</v>
      </c>
      <c r="AO89" s="15">
        <v>2522.7840481060971</v>
      </c>
      <c r="AP89" s="15">
        <v>0</v>
      </c>
      <c r="AQ89" s="15">
        <v>0</v>
      </c>
      <c r="AR89" s="15">
        <v>0</v>
      </c>
      <c r="AS89" s="15">
        <v>0</v>
      </c>
      <c r="AT89" s="15">
        <v>0</v>
      </c>
      <c r="AU89" s="15">
        <v>2136.3064800386819</v>
      </c>
      <c r="AV89" s="15">
        <v>1685.0829531012503</v>
      </c>
      <c r="AW89" s="15">
        <v>1685.0829531012503</v>
      </c>
      <c r="AX89" s="15">
        <v>0</v>
      </c>
      <c r="AY89" s="15">
        <v>0</v>
      </c>
      <c r="AZ89" s="15">
        <v>77.268068056668653</v>
      </c>
      <c r="BA89" s="15">
        <v>0</v>
      </c>
      <c r="BB89" s="15">
        <v>32.195028356945272</v>
      </c>
      <c r="BC89" s="15">
        <v>45.073039699723374</v>
      </c>
      <c r="BD89" s="15">
        <v>0</v>
      </c>
      <c r="BE89" s="15">
        <v>373.95545888076288</v>
      </c>
      <c r="BF89" s="15">
        <v>131.21244171254838</v>
      </c>
      <c r="BG89" s="15">
        <v>0</v>
      </c>
      <c r="BH89" s="15">
        <v>242.74301716821452</v>
      </c>
      <c r="BI89" s="15">
        <v>0</v>
      </c>
      <c r="BJ89" s="15">
        <v>2136.3064800386819</v>
      </c>
      <c r="BK89" s="55">
        <v>2237.7709510001246</v>
      </c>
      <c r="BL89" s="55">
        <v>13887.92378000966</v>
      </c>
      <c r="BM89" s="55">
        <v>0.96630187305576409</v>
      </c>
    </row>
    <row r="90" spans="1:65" s="52" customFormat="1" x14ac:dyDescent="0.4">
      <c r="A90" s="15" t="s">
        <v>10702</v>
      </c>
      <c r="B90" s="15" t="s">
        <v>10548</v>
      </c>
      <c r="C90" s="15" t="s">
        <v>10612</v>
      </c>
      <c r="D90" s="15" t="s">
        <v>10304</v>
      </c>
      <c r="E90" s="15" t="s">
        <v>10773</v>
      </c>
      <c r="F90" s="15">
        <v>336073</v>
      </c>
      <c r="G90" s="15">
        <v>0.89712563672056078</v>
      </c>
      <c r="H90" s="15">
        <v>200</v>
      </c>
      <c r="I90" s="119">
        <v>2522.7854099183364</v>
      </c>
      <c r="J90" s="120">
        <v>0.96630088855834995</v>
      </c>
      <c r="K90" s="15">
        <v>30</v>
      </c>
      <c r="L90" s="15">
        <v>195.45964269605517</v>
      </c>
      <c r="M90" s="15">
        <v>146.39645868162162</v>
      </c>
      <c r="N90" s="15">
        <v>1406772.9289616272</v>
      </c>
      <c r="O90" s="15">
        <v>262868.88611930504</v>
      </c>
      <c r="P90" s="15">
        <v>531607.18059147056</v>
      </c>
      <c r="Q90" s="15">
        <v>612296.86225085158</v>
      </c>
      <c r="R90" s="15">
        <v>112190.14108468981</v>
      </c>
      <c r="S90" s="15">
        <v>235091.8029437256</v>
      </c>
      <c r="T90" s="15">
        <v>265014.91822243616</v>
      </c>
      <c r="U90" s="15">
        <v>0</v>
      </c>
      <c r="V90" s="15">
        <v>0</v>
      </c>
      <c r="W90" s="15">
        <v>0</v>
      </c>
      <c r="X90" s="15">
        <v>42708078673.053139</v>
      </c>
      <c r="Y90" s="15">
        <v>2624.2485190675397</v>
      </c>
      <c r="Z90" s="15">
        <v>0</v>
      </c>
      <c r="AA90" s="15">
        <v>15.41</v>
      </c>
      <c r="AB90" s="15">
        <v>2608.663</v>
      </c>
      <c r="AC90" s="15">
        <v>0.17551906753990618</v>
      </c>
      <c r="AD90" s="15">
        <v>101.46310914920332</v>
      </c>
      <c r="AE90" s="15">
        <v>-1.6769956674492455E-3</v>
      </c>
      <c r="AF90" s="15">
        <v>0</v>
      </c>
      <c r="AG90" s="15">
        <v>0</v>
      </c>
      <c r="AH90" s="15">
        <v>0</v>
      </c>
      <c r="AI90" s="15">
        <v>101.46076875000001</v>
      </c>
      <c r="AJ90" s="15">
        <v>0</v>
      </c>
      <c r="AK90" s="15">
        <v>4.0173948705772488E-3</v>
      </c>
      <c r="AL90" s="15">
        <v>0</v>
      </c>
      <c r="AM90" s="15">
        <v>0</v>
      </c>
      <c r="AN90" s="15">
        <v>578.07456803024877</v>
      </c>
      <c r="AO90" s="15">
        <v>2522.7854099183364</v>
      </c>
      <c r="AP90" s="15">
        <v>0</v>
      </c>
      <c r="AQ90" s="15">
        <v>0</v>
      </c>
      <c r="AR90" s="15">
        <v>0</v>
      </c>
      <c r="AS90" s="15">
        <v>0</v>
      </c>
      <c r="AT90" s="15">
        <v>0</v>
      </c>
      <c r="AU90" s="15">
        <v>2136.3066740969261</v>
      </c>
      <c r="AV90" s="15">
        <v>1685.0829531012503</v>
      </c>
      <c r="AW90" s="15">
        <v>1685.0829531012503</v>
      </c>
      <c r="AX90" s="15">
        <v>0</v>
      </c>
      <c r="AY90" s="15">
        <v>0</v>
      </c>
      <c r="AZ90" s="15">
        <v>77.268068056668653</v>
      </c>
      <c r="BA90" s="15">
        <v>0</v>
      </c>
      <c r="BB90" s="15">
        <v>32.195028356945272</v>
      </c>
      <c r="BC90" s="15">
        <v>45.073039699723374</v>
      </c>
      <c r="BD90" s="15">
        <v>0</v>
      </c>
      <c r="BE90" s="15">
        <v>373.955652939007</v>
      </c>
      <c r="BF90" s="15">
        <v>131.21250980316037</v>
      </c>
      <c r="BG90" s="15">
        <v>0</v>
      </c>
      <c r="BH90" s="15">
        <v>242.74314313584665</v>
      </c>
      <c r="BI90" s="15">
        <v>0</v>
      </c>
      <c r="BJ90" s="15">
        <v>2136.3066740969261</v>
      </c>
      <c r="BK90" s="51">
        <v>2237.7697832461295</v>
      </c>
      <c r="BL90" s="51">
        <v>13887.917126863587</v>
      </c>
      <c r="BM90" s="51">
        <v>0.96630088855834995</v>
      </c>
    </row>
    <row r="91" spans="1:65" x14ac:dyDescent="0.4">
      <c r="A91" s="15" t="s">
        <v>10702</v>
      </c>
      <c r="B91" s="15" t="s">
        <v>10548</v>
      </c>
      <c r="C91" s="15" t="s">
        <v>10612</v>
      </c>
      <c r="D91" s="15" t="s">
        <v>10305</v>
      </c>
      <c r="E91" s="15" t="s">
        <v>10774</v>
      </c>
      <c r="F91" s="15">
        <v>336073</v>
      </c>
      <c r="G91" s="15">
        <v>0.89712563672056078</v>
      </c>
      <c r="H91" s="15">
        <v>200</v>
      </c>
      <c r="I91" s="119">
        <v>2522.7834365239091</v>
      </c>
      <c r="J91" s="120">
        <v>0.93750083077968505</v>
      </c>
      <c r="K91" s="15">
        <v>30</v>
      </c>
      <c r="L91" s="15">
        <v>128.60251019688187</v>
      </c>
      <c r="M91" s="15">
        <v>144.44200039090231</v>
      </c>
      <c r="N91" s="15">
        <v>1406772.9289616272</v>
      </c>
      <c r="O91" s="15">
        <v>198333.88138965491</v>
      </c>
      <c r="P91" s="15">
        <v>554655.39656634571</v>
      </c>
      <c r="Q91" s="15">
        <v>653783.65100562677</v>
      </c>
      <c r="R91" s="15">
        <v>112190.14108468981</v>
      </c>
      <c r="S91" s="15">
        <v>276578.59169850074</v>
      </c>
      <c r="T91" s="15">
        <v>265014.91822243616</v>
      </c>
      <c r="U91" s="15">
        <v>0</v>
      </c>
      <c r="V91" s="15">
        <v>0</v>
      </c>
      <c r="W91" s="15">
        <v>0</v>
      </c>
      <c r="X91" s="15">
        <v>0</v>
      </c>
      <c r="Y91" s="15">
        <v>2624.2427839584016</v>
      </c>
      <c r="Z91" s="15">
        <v>0</v>
      </c>
      <c r="AA91" s="15">
        <v>15.41</v>
      </c>
      <c r="AB91" s="15">
        <v>2608.663</v>
      </c>
      <c r="AC91" s="15">
        <v>0.16978395840159133</v>
      </c>
      <c r="AD91" s="15">
        <v>101.45934743449243</v>
      </c>
      <c r="AE91" s="15">
        <v>-1.421315507950649E-3</v>
      </c>
      <c r="AF91" s="15">
        <v>0</v>
      </c>
      <c r="AG91" s="15">
        <v>0</v>
      </c>
      <c r="AH91" s="15">
        <v>0</v>
      </c>
      <c r="AI91" s="15">
        <v>101.46076875000001</v>
      </c>
      <c r="AJ91" s="15">
        <v>0</v>
      </c>
      <c r="AK91" s="15">
        <v>0</v>
      </c>
      <c r="AL91" s="15">
        <v>0</v>
      </c>
      <c r="AM91" s="15">
        <v>0</v>
      </c>
      <c r="AN91" s="15">
        <v>597.57911400857927</v>
      </c>
      <c r="AO91" s="15">
        <v>2522.7834365239091</v>
      </c>
      <c r="AP91" s="15">
        <v>0</v>
      </c>
      <c r="AQ91" s="15">
        <v>0</v>
      </c>
      <c r="AR91" s="15">
        <v>0</v>
      </c>
      <c r="AS91" s="15">
        <v>0</v>
      </c>
      <c r="AT91" s="15">
        <v>0</v>
      </c>
      <c r="AU91" s="15">
        <v>2063.6522201839011</v>
      </c>
      <c r="AV91" s="15">
        <v>1640.704895675</v>
      </c>
      <c r="AW91" s="15">
        <v>1640.704895675</v>
      </c>
      <c r="AX91" s="15">
        <v>0</v>
      </c>
      <c r="AY91" s="15">
        <v>0</v>
      </c>
      <c r="AZ91" s="15">
        <v>48.992525257368968</v>
      </c>
      <c r="BA91" s="15">
        <v>0</v>
      </c>
      <c r="BB91" s="15">
        <v>20.413552190570403</v>
      </c>
      <c r="BC91" s="15">
        <v>28.578973066798564</v>
      </c>
      <c r="BD91" s="15">
        <v>0</v>
      </c>
      <c r="BE91" s="15">
        <v>373.95479925153211</v>
      </c>
      <c r="BF91" s="15">
        <v>131.21221026369548</v>
      </c>
      <c r="BG91" s="15">
        <v>0</v>
      </c>
      <c r="BH91" s="15">
        <v>242.7425889878366</v>
      </c>
      <c r="BI91" s="15">
        <v>0</v>
      </c>
      <c r="BJ91" s="15">
        <v>2063.6522201839011</v>
      </c>
      <c r="BK91" s="15">
        <v>2165.1115676183936</v>
      </c>
      <c r="BL91" s="15">
        <v>13929.123846118469</v>
      </c>
      <c r="BM91" s="15">
        <v>0.93750083077968505</v>
      </c>
    </row>
    <row r="92" spans="1:65" x14ac:dyDescent="0.4">
      <c r="A92" s="15" t="s">
        <v>10702</v>
      </c>
      <c r="B92" s="15" t="s">
        <v>10548</v>
      </c>
      <c r="C92" s="15" t="s">
        <v>10612</v>
      </c>
      <c r="D92" s="15" t="s">
        <v>10306</v>
      </c>
      <c r="E92" s="15" t="s">
        <v>10775</v>
      </c>
      <c r="F92" s="15">
        <v>336073</v>
      </c>
      <c r="G92" s="15">
        <v>0.89712563672056078</v>
      </c>
      <c r="H92" s="15">
        <v>200</v>
      </c>
      <c r="I92" s="119">
        <v>2522.7768617193237</v>
      </c>
      <c r="J92" s="120">
        <v>1.0000422620376632</v>
      </c>
      <c r="K92" s="15">
        <v>30</v>
      </c>
      <c r="L92" s="15">
        <v>233.4571345488564</v>
      </c>
      <c r="M92" s="15">
        <v>134.07835809085262</v>
      </c>
      <c r="N92" s="15">
        <v>1406772.9289616272</v>
      </c>
      <c r="O92" s="15">
        <v>322449.93997961684</v>
      </c>
      <c r="P92" s="15">
        <v>473801.12247427611</v>
      </c>
      <c r="Q92" s="15">
        <v>610521.86650773417</v>
      </c>
      <c r="R92" s="15">
        <v>112190.14108468981</v>
      </c>
      <c r="S92" s="15">
        <v>0</v>
      </c>
      <c r="T92" s="15">
        <v>498331.72542304435</v>
      </c>
      <c r="U92" s="15">
        <v>0</v>
      </c>
      <c r="V92" s="15">
        <v>0</v>
      </c>
      <c r="W92" s="15">
        <v>0</v>
      </c>
      <c r="X92" s="15">
        <v>0</v>
      </c>
      <c r="Y92" s="15">
        <v>2624.2362773290979</v>
      </c>
      <c r="Z92" s="15">
        <v>0</v>
      </c>
      <c r="AA92" s="15">
        <v>15.41</v>
      </c>
      <c r="AB92" s="15">
        <v>2608.663</v>
      </c>
      <c r="AC92" s="15">
        <v>0.16327732909785261</v>
      </c>
      <c r="AD92" s="15">
        <v>101.45941560977417</v>
      </c>
      <c r="AE92" s="15">
        <v>-1.3531402260730946E-3</v>
      </c>
      <c r="AF92" s="15">
        <v>0</v>
      </c>
      <c r="AG92" s="15">
        <v>0</v>
      </c>
      <c r="AH92" s="15">
        <v>0</v>
      </c>
      <c r="AI92" s="15">
        <v>101.46076875000001</v>
      </c>
      <c r="AJ92" s="15">
        <v>0</v>
      </c>
      <c r="AK92" s="15">
        <v>0</v>
      </c>
      <c r="AL92" s="15">
        <v>0</v>
      </c>
      <c r="AM92" s="15">
        <v>0</v>
      </c>
      <c r="AN92" s="15">
        <v>621.3931607674034</v>
      </c>
      <c r="AO92" s="15">
        <v>2522.7768617193237</v>
      </c>
      <c r="AP92" s="15">
        <v>0</v>
      </c>
      <c r="AQ92" s="15">
        <v>0</v>
      </c>
      <c r="AR92" s="15">
        <v>0</v>
      </c>
      <c r="AS92" s="15">
        <v>0</v>
      </c>
      <c r="AT92" s="15">
        <v>0</v>
      </c>
      <c r="AU92" s="15">
        <v>2221.4240638002957</v>
      </c>
      <c r="AV92" s="15">
        <v>1796.3853015999998</v>
      </c>
      <c r="AW92" s="15">
        <v>1796.3853015999998</v>
      </c>
      <c r="AX92" s="15">
        <v>0</v>
      </c>
      <c r="AY92" s="15">
        <v>0</v>
      </c>
      <c r="AZ92" s="15">
        <v>51.084899858417359</v>
      </c>
      <c r="BA92" s="15">
        <v>0</v>
      </c>
      <c r="BB92" s="15">
        <v>21.285374941007234</v>
      </c>
      <c r="BC92" s="15">
        <v>29.799524917410125</v>
      </c>
      <c r="BD92" s="15">
        <v>0</v>
      </c>
      <c r="BE92" s="15">
        <v>373.95386234187868</v>
      </c>
      <c r="BF92" s="15">
        <v>131.21188152346619</v>
      </c>
      <c r="BG92" s="15">
        <v>0</v>
      </c>
      <c r="BH92" s="15">
        <v>242.74198081841246</v>
      </c>
      <c r="BI92" s="15">
        <v>0</v>
      </c>
      <c r="BJ92" s="15">
        <v>2221.4240638002957</v>
      </c>
      <c r="BK92" s="15">
        <v>2322.8834794100699</v>
      </c>
      <c r="BL92" s="15">
        <v>15450.523450007549</v>
      </c>
      <c r="BM92" s="15">
        <v>1.0000422620376632</v>
      </c>
    </row>
    <row r="93" spans="1:65" x14ac:dyDescent="0.4">
      <c r="A93" s="15" t="s">
        <v>10702</v>
      </c>
      <c r="B93" s="15" t="s">
        <v>10548</v>
      </c>
      <c r="C93" s="15" t="s">
        <v>10612</v>
      </c>
      <c r="D93" s="15" t="s">
        <v>10307</v>
      </c>
      <c r="E93" s="15" t="s">
        <v>10776</v>
      </c>
      <c r="F93" s="15">
        <v>336073</v>
      </c>
      <c r="G93" s="15">
        <v>0.89712563672056078</v>
      </c>
      <c r="H93" s="15">
        <v>200</v>
      </c>
      <c r="I93" s="119">
        <v>2247.0626539044338</v>
      </c>
      <c r="J93" s="120">
        <v>1.4492518105559467</v>
      </c>
      <c r="K93" s="15">
        <v>30</v>
      </c>
      <c r="L93" s="15">
        <v>521.69901867945259</v>
      </c>
      <c r="M93" s="15">
        <v>114.99018132441461</v>
      </c>
      <c r="N93" s="15">
        <v>1406772.9289616272</v>
      </c>
      <c r="O93" s="15">
        <v>1028069.310061265</v>
      </c>
      <c r="P93" s="15">
        <v>258916.55757538744</v>
      </c>
      <c r="Q93" s="15">
        <v>119787.0613249748</v>
      </c>
      <c r="R93" s="15">
        <v>119787.0613249748</v>
      </c>
      <c r="S93" s="15">
        <v>0</v>
      </c>
      <c r="T93" s="15">
        <v>0</v>
      </c>
      <c r="U93" s="15">
        <v>916870540.38503015</v>
      </c>
      <c r="V93" s="15">
        <v>0</v>
      </c>
      <c r="W93" s="15">
        <v>0</v>
      </c>
      <c r="X93" s="15">
        <v>0</v>
      </c>
      <c r="Y93" s="15">
        <v>2624.2322380725168</v>
      </c>
      <c r="Z93" s="15">
        <v>0</v>
      </c>
      <c r="AA93" s="15">
        <v>15.41</v>
      </c>
      <c r="AB93" s="15">
        <v>2608.663</v>
      </c>
      <c r="AC93" s="15">
        <v>0.15923807251689565</v>
      </c>
      <c r="AD93" s="15">
        <v>377.16958416808302</v>
      </c>
      <c r="AE93" s="15">
        <v>4.5408375159715084E-3</v>
      </c>
      <c r="AF93" s="15">
        <v>0</v>
      </c>
      <c r="AG93" s="15">
        <v>0</v>
      </c>
      <c r="AH93" s="15">
        <v>1.1220178537296163E-2</v>
      </c>
      <c r="AI93" s="15">
        <v>123.00035822944254</v>
      </c>
      <c r="AJ93" s="15">
        <v>254.15346492258723</v>
      </c>
      <c r="AK93" s="15">
        <v>0</v>
      </c>
      <c r="AL93" s="15">
        <v>0</v>
      </c>
      <c r="AM93" s="15">
        <v>0</v>
      </c>
      <c r="AN93" s="15">
        <v>2368.5892337591827</v>
      </c>
      <c r="AO93" s="15">
        <v>2247.0626539044338</v>
      </c>
      <c r="AP93" s="15">
        <v>1.5761016053267671E-2</v>
      </c>
      <c r="AQ93" s="15">
        <v>4.5408375159715084E-3</v>
      </c>
      <c r="AR93" s="15">
        <v>0</v>
      </c>
      <c r="AS93" s="15">
        <v>0</v>
      </c>
      <c r="AT93" s="15">
        <v>1.1220178537296163E-2</v>
      </c>
      <c r="AU93" s="15">
        <v>2679.3742744195151</v>
      </c>
      <c r="AV93" s="15">
        <v>2210.1335748500001</v>
      </c>
      <c r="AW93" s="15">
        <v>2210.1335748500001</v>
      </c>
      <c r="AX93" s="15">
        <v>0</v>
      </c>
      <c r="AY93" s="15">
        <v>0</v>
      </c>
      <c r="AZ93" s="15">
        <v>95.289851588969242</v>
      </c>
      <c r="BA93" s="15">
        <v>0</v>
      </c>
      <c r="BB93" s="15">
        <v>39.704104828737186</v>
      </c>
      <c r="BC93" s="15">
        <v>55.585746760232055</v>
      </c>
      <c r="BD93" s="15">
        <v>0</v>
      </c>
      <c r="BE93" s="15">
        <v>373.95084798054609</v>
      </c>
      <c r="BF93" s="15">
        <v>131.21082385282318</v>
      </c>
      <c r="BG93" s="15">
        <v>0</v>
      </c>
      <c r="BH93" s="15">
        <v>242.74002412772288</v>
      </c>
      <c r="BI93" s="15">
        <v>0</v>
      </c>
      <c r="BJ93" s="15">
        <v>2679.3900354355683</v>
      </c>
      <c r="BK93" s="15">
        <v>3056.5596196036513</v>
      </c>
      <c r="BL93" s="15">
        <v>20449.885696686139</v>
      </c>
      <c r="BM93" s="15">
        <v>1.4492518105559467</v>
      </c>
    </row>
    <row r="94" spans="1:65" x14ac:dyDescent="0.4">
      <c r="A94" s="15" t="s">
        <v>10702</v>
      </c>
      <c r="B94" s="15" t="s">
        <v>10548</v>
      </c>
      <c r="C94" s="15" t="s">
        <v>10612</v>
      </c>
      <c r="D94" s="15" t="s">
        <v>10308</v>
      </c>
      <c r="E94" s="15" t="s">
        <v>10777</v>
      </c>
      <c r="F94" s="15">
        <v>336073</v>
      </c>
      <c r="G94" s="15">
        <v>0.89712563672056078</v>
      </c>
      <c r="H94" s="15">
        <v>200</v>
      </c>
      <c r="I94" s="119">
        <v>2247.0626539044338</v>
      </c>
      <c r="J94" s="120">
        <v>1.4492518105559467</v>
      </c>
      <c r="K94" s="15">
        <v>30</v>
      </c>
      <c r="L94" s="15">
        <v>521.69901867945259</v>
      </c>
      <c r="M94" s="15">
        <v>114.99018132441461</v>
      </c>
      <c r="N94" s="15">
        <v>1406772.9289616272</v>
      </c>
      <c r="O94" s="15">
        <v>1028069.310061265</v>
      </c>
      <c r="P94" s="15">
        <v>258916.55757538744</v>
      </c>
      <c r="Q94" s="15">
        <v>119787.0613249748</v>
      </c>
      <c r="R94" s="15">
        <v>119787.0613249748</v>
      </c>
      <c r="S94" s="15">
        <v>0</v>
      </c>
      <c r="T94" s="15">
        <v>0</v>
      </c>
      <c r="U94" s="15">
        <v>916870540.38503015</v>
      </c>
      <c r="V94" s="15">
        <v>0</v>
      </c>
      <c r="W94" s="15">
        <v>0</v>
      </c>
      <c r="X94" s="15">
        <v>0</v>
      </c>
      <c r="Y94" s="15">
        <v>2624.2322380725168</v>
      </c>
      <c r="Z94" s="15">
        <v>0</v>
      </c>
      <c r="AA94" s="15">
        <v>15.41</v>
      </c>
      <c r="AB94" s="15">
        <v>2608.663</v>
      </c>
      <c r="AC94" s="15">
        <v>0.15923807251689565</v>
      </c>
      <c r="AD94" s="15">
        <v>377.16958416808302</v>
      </c>
      <c r="AE94" s="15">
        <v>4.5408375159715084E-3</v>
      </c>
      <c r="AF94" s="15">
        <v>0</v>
      </c>
      <c r="AG94" s="15">
        <v>0</v>
      </c>
      <c r="AH94" s="15">
        <v>1.1220178537296163E-2</v>
      </c>
      <c r="AI94" s="15">
        <v>123.00035822944254</v>
      </c>
      <c r="AJ94" s="15">
        <v>254.15346492258723</v>
      </c>
      <c r="AK94" s="15">
        <v>0</v>
      </c>
      <c r="AL94" s="15">
        <v>0</v>
      </c>
      <c r="AM94" s="15">
        <v>0</v>
      </c>
      <c r="AN94" s="15">
        <v>2368.5892337591827</v>
      </c>
      <c r="AO94" s="15">
        <v>2247.0626539044338</v>
      </c>
      <c r="AP94" s="15">
        <v>1.5761016053267671E-2</v>
      </c>
      <c r="AQ94" s="15">
        <v>4.5408375159715084E-3</v>
      </c>
      <c r="AR94" s="15">
        <v>0</v>
      </c>
      <c r="AS94" s="15">
        <v>0</v>
      </c>
      <c r="AT94" s="15">
        <v>1.1220178537296163E-2</v>
      </c>
      <c r="AU94" s="15">
        <v>2679.3742744195151</v>
      </c>
      <c r="AV94" s="15">
        <v>2210.1335748500001</v>
      </c>
      <c r="AW94" s="15">
        <v>2210.1335748500001</v>
      </c>
      <c r="AX94" s="15">
        <v>0</v>
      </c>
      <c r="AY94" s="15">
        <v>0</v>
      </c>
      <c r="AZ94" s="15">
        <v>95.289851588969242</v>
      </c>
      <c r="BA94" s="15">
        <v>0</v>
      </c>
      <c r="BB94" s="15">
        <v>39.704104828737186</v>
      </c>
      <c r="BC94" s="15">
        <v>55.585746760232055</v>
      </c>
      <c r="BD94" s="15">
        <v>0</v>
      </c>
      <c r="BE94" s="15">
        <v>373.95084798054609</v>
      </c>
      <c r="BF94" s="15">
        <v>131.21082385282318</v>
      </c>
      <c r="BG94" s="15">
        <v>0</v>
      </c>
      <c r="BH94" s="15">
        <v>242.74002412772288</v>
      </c>
      <c r="BI94" s="15">
        <v>0</v>
      </c>
      <c r="BJ94" s="15">
        <v>2679.3900354355683</v>
      </c>
      <c r="BK94" s="15">
        <v>3056.5596196036513</v>
      </c>
      <c r="BL94" s="15">
        <v>20449.885696686139</v>
      </c>
      <c r="BM94" s="15">
        <v>1.4492518105559467</v>
      </c>
    </row>
    <row r="95" spans="1:65" s="56" customFormat="1" x14ac:dyDescent="0.4">
      <c r="A95" s="55" t="s">
        <v>10702</v>
      </c>
      <c r="B95" s="55" t="s">
        <v>10548</v>
      </c>
      <c r="C95" s="55" t="s">
        <v>10727</v>
      </c>
      <c r="D95" s="55" t="s">
        <v>10307</v>
      </c>
      <c r="E95" s="55" t="s">
        <v>10778</v>
      </c>
      <c r="F95" s="55">
        <v>336073</v>
      </c>
      <c r="G95" s="55">
        <v>0.89712563672056078</v>
      </c>
      <c r="H95" s="55">
        <v>200</v>
      </c>
      <c r="I95" s="55">
        <v>2247.0626539044338</v>
      </c>
      <c r="J95" s="92">
        <v>1.4492518105559467</v>
      </c>
      <c r="K95" s="55">
        <v>30</v>
      </c>
      <c r="L95" s="55">
        <v>521.69901867945259</v>
      </c>
      <c r="M95" s="55">
        <v>114.99018132441461</v>
      </c>
      <c r="N95" s="55">
        <v>1406772.9289616272</v>
      </c>
      <c r="O95" s="55">
        <v>1028069.310061265</v>
      </c>
      <c r="P95" s="55">
        <v>258916.55757538744</v>
      </c>
      <c r="Q95" s="55">
        <v>119787.0613249748</v>
      </c>
      <c r="R95" s="55">
        <v>119787.0613249748</v>
      </c>
      <c r="S95" s="55">
        <v>0</v>
      </c>
      <c r="T95" s="55">
        <v>0</v>
      </c>
      <c r="U95" s="55">
        <v>916870540.38503015</v>
      </c>
      <c r="V95" s="55">
        <v>0</v>
      </c>
      <c r="W95" s="55">
        <v>0</v>
      </c>
      <c r="X95" s="55">
        <v>0</v>
      </c>
      <c r="Y95" s="55">
        <v>2624.2322380725168</v>
      </c>
      <c r="Z95" s="55">
        <v>0</v>
      </c>
      <c r="AA95" s="55">
        <v>15.41</v>
      </c>
      <c r="AB95" s="55">
        <v>2608.663</v>
      </c>
      <c r="AC95" s="55">
        <v>0.15923807251689565</v>
      </c>
      <c r="AD95" s="55">
        <v>377.16958416808302</v>
      </c>
      <c r="AE95" s="55">
        <v>4.5408375159715084E-3</v>
      </c>
      <c r="AF95" s="55">
        <v>0</v>
      </c>
      <c r="AG95" s="55">
        <v>0</v>
      </c>
      <c r="AH95" s="55">
        <v>1.1220178537296163E-2</v>
      </c>
      <c r="AI95" s="55">
        <v>123.00035822944254</v>
      </c>
      <c r="AJ95" s="55">
        <v>254.15346492258723</v>
      </c>
      <c r="AK95" s="55">
        <v>0</v>
      </c>
      <c r="AL95" s="55">
        <v>0</v>
      </c>
      <c r="AM95" s="55">
        <v>0</v>
      </c>
      <c r="AN95" s="55">
        <v>2368.5892337591827</v>
      </c>
      <c r="AO95" s="55">
        <v>2247.0626539044338</v>
      </c>
      <c r="AP95" s="55">
        <v>1.5761016053267671E-2</v>
      </c>
      <c r="AQ95" s="55">
        <v>4.5408375159715084E-3</v>
      </c>
      <c r="AR95" s="55">
        <v>0</v>
      </c>
      <c r="AS95" s="55">
        <v>0</v>
      </c>
      <c r="AT95" s="55">
        <v>1.1220178537296163E-2</v>
      </c>
      <c r="AU95" s="55">
        <v>2679.3742744195151</v>
      </c>
      <c r="AV95" s="55">
        <v>2210.1335748500001</v>
      </c>
      <c r="AW95" s="55">
        <v>2210.1335748500001</v>
      </c>
      <c r="AX95" s="55">
        <v>0</v>
      </c>
      <c r="AY95" s="55">
        <v>0</v>
      </c>
      <c r="AZ95" s="55">
        <v>95.289851588969242</v>
      </c>
      <c r="BA95" s="55">
        <v>0</v>
      </c>
      <c r="BB95" s="55">
        <v>39.704104828737186</v>
      </c>
      <c r="BC95" s="55">
        <v>55.585746760232055</v>
      </c>
      <c r="BD95" s="55">
        <v>0</v>
      </c>
      <c r="BE95" s="55">
        <v>373.95084798054609</v>
      </c>
      <c r="BF95" s="55">
        <v>131.21082385282318</v>
      </c>
      <c r="BG95" s="55">
        <v>0</v>
      </c>
      <c r="BH95" s="55">
        <v>242.74002412772288</v>
      </c>
      <c r="BI95" s="55">
        <v>0</v>
      </c>
      <c r="BJ95" s="55">
        <v>2679.3900354355683</v>
      </c>
      <c r="BK95" s="55">
        <v>3056.5596196036513</v>
      </c>
      <c r="BL95" s="55">
        <v>20449.885696686139</v>
      </c>
      <c r="BM95" s="55">
        <v>1.4492518105559467</v>
      </c>
    </row>
    <row r="96" spans="1:65" s="56" customFormat="1" x14ac:dyDescent="0.4">
      <c r="A96" s="15" t="s">
        <v>10702</v>
      </c>
      <c r="B96" s="15" t="s">
        <v>10548</v>
      </c>
      <c r="C96" s="15" t="s">
        <v>10615</v>
      </c>
      <c r="D96" s="15" t="s">
        <v>10302</v>
      </c>
      <c r="E96" s="15" t="s">
        <v>10779</v>
      </c>
      <c r="F96" s="15">
        <v>1017342</v>
      </c>
      <c r="G96" s="15">
        <v>0.89712497377331613</v>
      </c>
      <c r="H96" s="15">
        <v>200</v>
      </c>
      <c r="I96" s="119">
        <v>1212.6230488427047</v>
      </c>
      <c r="J96" s="120">
        <v>0.96273849273120382</v>
      </c>
      <c r="K96" s="15">
        <v>30</v>
      </c>
      <c r="L96" s="15">
        <v>494.52640840048934</v>
      </c>
      <c r="M96" s="15">
        <v>184.43099908669117</v>
      </c>
      <c r="N96" s="15">
        <v>4258503.7402804708</v>
      </c>
      <c r="O96" s="15">
        <v>795741.87965693872</v>
      </c>
      <c r="P96" s="15">
        <v>1609251.3015442628</v>
      </c>
      <c r="Q96" s="15">
        <v>1853510.5590792694</v>
      </c>
      <c r="R96" s="15">
        <v>339615.67328736756</v>
      </c>
      <c r="S96" s="15">
        <v>711656.65867916553</v>
      </c>
      <c r="T96" s="15">
        <v>802238.22711273644</v>
      </c>
      <c r="U96" s="15">
        <v>0</v>
      </c>
      <c r="V96" s="15">
        <v>517133956.80320305</v>
      </c>
      <c r="W96" s="15">
        <v>0</v>
      </c>
      <c r="X96" s="15">
        <v>0</v>
      </c>
      <c r="Y96" s="15">
        <v>1358.4877406183753</v>
      </c>
      <c r="Z96" s="15">
        <v>0</v>
      </c>
      <c r="AA96" s="15">
        <v>499.74099999999999</v>
      </c>
      <c r="AB96" s="15">
        <v>858.66899999999998</v>
      </c>
      <c r="AC96" s="15">
        <v>7.7740618375371842E-2</v>
      </c>
      <c r="AD96" s="15">
        <v>145.86469177567051</v>
      </c>
      <c r="AE96" s="15">
        <v>1.1910481145169878E-3</v>
      </c>
      <c r="AF96" s="15">
        <v>0</v>
      </c>
      <c r="AG96" s="15">
        <v>0</v>
      </c>
      <c r="AH96" s="15">
        <v>2.3969810676031829E-3</v>
      </c>
      <c r="AI96" s="15">
        <v>101.46076874999999</v>
      </c>
      <c r="AJ96" s="15">
        <v>44.400334996488333</v>
      </c>
      <c r="AK96" s="15">
        <v>0</v>
      </c>
      <c r="AL96" s="15">
        <v>0</v>
      </c>
      <c r="AM96" s="15">
        <v>0</v>
      </c>
      <c r="AN96" s="15">
        <v>1876.2996079007305</v>
      </c>
      <c r="AO96" s="15">
        <v>1212.6230488427047</v>
      </c>
      <c r="AP96" s="15">
        <v>3.5880291821201709E-3</v>
      </c>
      <c r="AQ96" s="15">
        <v>1.1910481145169878E-3</v>
      </c>
      <c r="AR96" s="15">
        <v>0</v>
      </c>
      <c r="AS96" s="15">
        <v>0</v>
      </c>
      <c r="AT96" s="15">
        <v>2.3969810676031829E-3</v>
      </c>
      <c r="AU96" s="15">
        <v>821.57060648908987</v>
      </c>
      <c r="AV96" s="15">
        <v>596.39637325374986</v>
      </c>
      <c r="AW96" s="15">
        <v>596.39637325374986</v>
      </c>
      <c r="AX96" s="15">
        <v>0</v>
      </c>
      <c r="AY96" s="15">
        <v>0</v>
      </c>
      <c r="AZ96" s="15">
        <v>31.590241491380088</v>
      </c>
      <c r="BA96" s="15">
        <v>0</v>
      </c>
      <c r="BB96" s="15">
        <v>13.16260062140837</v>
      </c>
      <c r="BC96" s="15">
        <v>18.427640869971718</v>
      </c>
      <c r="BD96" s="15">
        <v>0</v>
      </c>
      <c r="BE96" s="15">
        <v>193.58399174395998</v>
      </c>
      <c r="BF96" s="15">
        <v>67.924207629459644</v>
      </c>
      <c r="BG96" s="15">
        <v>0</v>
      </c>
      <c r="BH96" s="15">
        <v>125.65978411450034</v>
      </c>
      <c r="BI96" s="15">
        <v>0</v>
      </c>
      <c r="BJ96" s="15">
        <v>821.57419451827195</v>
      </c>
      <c r="BK96" s="55">
        <v>967.43888629394246</v>
      </c>
      <c r="BL96" s="55">
        <v>15016.103165515673</v>
      </c>
      <c r="BM96" s="55">
        <v>0.96273849273120382</v>
      </c>
    </row>
    <row r="97" spans="1:65" s="52" customFormat="1" x14ac:dyDescent="0.4">
      <c r="A97" s="15" t="s">
        <v>10702</v>
      </c>
      <c r="B97" s="15" t="s">
        <v>10548</v>
      </c>
      <c r="C97" s="15" t="s">
        <v>10615</v>
      </c>
      <c r="D97" s="15" t="s">
        <v>10303</v>
      </c>
      <c r="E97" s="15" t="s">
        <v>10780</v>
      </c>
      <c r="F97" s="15">
        <v>1017342</v>
      </c>
      <c r="G97" s="15">
        <v>0.89712497377331613</v>
      </c>
      <c r="H97" s="15">
        <v>200</v>
      </c>
      <c r="I97" s="119">
        <v>1257.0265482732448</v>
      </c>
      <c r="J97" s="120">
        <v>0.8934039145186925</v>
      </c>
      <c r="K97" s="15">
        <v>30</v>
      </c>
      <c r="L97" s="15">
        <v>494.52640840048934</v>
      </c>
      <c r="M97" s="15">
        <v>184.43099908669117</v>
      </c>
      <c r="N97" s="15">
        <v>4258503.7402804708</v>
      </c>
      <c r="O97" s="15">
        <v>795741.87965693872</v>
      </c>
      <c r="P97" s="15">
        <v>1609251.3015442628</v>
      </c>
      <c r="Q97" s="15">
        <v>1853510.5590792694</v>
      </c>
      <c r="R97" s="15">
        <v>339615.67328736756</v>
      </c>
      <c r="S97" s="15">
        <v>711656.65867916553</v>
      </c>
      <c r="T97" s="15">
        <v>802238.22711273644</v>
      </c>
      <c r="U97" s="15">
        <v>0</v>
      </c>
      <c r="V97" s="15">
        <v>0</v>
      </c>
      <c r="W97" s="15">
        <v>129283489.20080076</v>
      </c>
      <c r="X97" s="15">
        <v>0</v>
      </c>
      <c r="Y97" s="15">
        <v>1358.4877406183753</v>
      </c>
      <c r="Z97" s="15">
        <v>0</v>
      </c>
      <c r="AA97" s="15">
        <v>499.74099999999999</v>
      </c>
      <c r="AB97" s="15">
        <v>858.66899999999998</v>
      </c>
      <c r="AC97" s="15">
        <v>7.7740618375371842E-2</v>
      </c>
      <c r="AD97" s="15">
        <v>101.46119234513048</v>
      </c>
      <c r="AE97" s="15">
        <v>-1.3533958978363583E-3</v>
      </c>
      <c r="AF97" s="15">
        <v>1.4241023567678748E-4</v>
      </c>
      <c r="AG97" s="15">
        <v>3.0745683245602626E-4</v>
      </c>
      <c r="AH97" s="15">
        <v>0</v>
      </c>
      <c r="AI97" s="15">
        <v>101.46076874999999</v>
      </c>
      <c r="AJ97" s="15">
        <v>0</v>
      </c>
      <c r="AK97" s="15">
        <v>1.3271239603291167E-3</v>
      </c>
      <c r="AL97" s="15">
        <v>0</v>
      </c>
      <c r="AM97" s="15">
        <v>0</v>
      </c>
      <c r="AN97" s="15">
        <v>1305.1245856474084</v>
      </c>
      <c r="AO97" s="15">
        <v>1257.0265482732448</v>
      </c>
      <c r="AP97" s="15">
        <v>0</v>
      </c>
      <c r="AQ97" s="15">
        <v>0</v>
      </c>
      <c r="AR97" s="15">
        <v>0</v>
      </c>
      <c r="AS97" s="15">
        <v>0</v>
      </c>
      <c r="AT97" s="15">
        <v>0</v>
      </c>
      <c r="AU97" s="15">
        <v>821.57124653610663</v>
      </c>
      <c r="AV97" s="15">
        <v>596.39637325374986</v>
      </c>
      <c r="AW97" s="15">
        <v>596.39637325374986</v>
      </c>
      <c r="AX97" s="15">
        <v>0</v>
      </c>
      <c r="AY97" s="15">
        <v>0</v>
      </c>
      <c r="AZ97" s="15">
        <v>31.590241491380088</v>
      </c>
      <c r="BA97" s="15">
        <v>0</v>
      </c>
      <c r="BB97" s="15">
        <v>13.16260062140837</v>
      </c>
      <c r="BC97" s="15">
        <v>18.427640869971718</v>
      </c>
      <c r="BD97" s="15">
        <v>0</v>
      </c>
      <c r="BE97" s="15">
        <v>193.58463179097674</v>
      </c>
      <c r="BF97" s="15">
        <v>67.924432207360255</v>
      </c>
      <c r="BG97" s="15">
        <v>0</v>
      </c>
      <c r="BH97" s="15">
        <v>125.66019958361647</v>
      </c>
      <c r="BI97" s="15">
        <v>0</v>
      </c>
      <c r="BJ97" s="15">
        <v>821.57124653610663</v>
      </c>
      <c r="BK97" s="51">
        <v>923.03243888123711</v>
      </c>
      <c r="BL97" s="51">
        <v>14444.890222517355</v>
      </c>
      <c r="BM97" s="51">
        <v>0.8934039145186925</v>
      </c>
    </row>
    <row r="98" spans="1:65" s="56" customFormat="1" x14ac:dyDescent="0.4">
      <c r="A98" s="15" t="s">
        <v>10702</v>
      </c>
      <c r="B98" s="15" t="s">
        <v>10548</v>
      </c>
      <c r="C98" s="15" t="s">
        <v>10615</v>
      </c>
      <c r="D98" s="15" t="s">
        <v>10304</v>
      </c>
      <c r="E98" s="15" t="s">
        <v>10781</v>
      </c>
      <c r="F98" s="15">
        <v>1017342</v>
      </c>
      <c r="G98" s="15">
        <v>0.89712497377331613</v>
      </c>
      <c r="H98" s="15">
        <v>200</v>
      </c>
      <c r="I98" s="119">
        <v>1257.0269981403128</v>
      </c>
      <c r="J98" s="120">
        <v>0.89340328790207146</v>
      </c>
      <c r="K98" s="15">
        <v>30</v>
      </c>
      <c r="L98" s="15">
        <v>494.52640840048934</v>
      </c>
      <c r="M98" s="15">
        <v>184.43099908669117</v>
      </c>
      <c r="N98" s="15">
        <v>4258503.7402804708</v>
      </c>
      <c r="O98" s="15">
        <v>795741.87965693872</v>
      </c>
      <c r="P98" s="15">
        <v>1609251.3015442628</v>
      </c>
      <c r="Q98" s="15">
        <v>1853510.5590792694</v>
      </c>
      <c r="R98" s="15">
        <v>339615.67328736756</v>
      </c>
      <c r="S98" s="15">
        <v>711656.65867916553</v>
      </c>
      <c r="T98" s="15">
        <v>802238.22711273644</v>
      </c>
      <c r="U98" s="15">
        <v>0</v>
      </c>
      <c r="V98" s="15">
        <v>0</v>
      </c>
      <c r="W98" s="15">
        <v>0</v>
      </c>
      <c r="X98" s="15">
        <v>129283489200.80077</v>
      </c>
      <c r="Y98" s="15">
        <v>1358.4877406183753</v>
      </c>
      <c r="Z98" s="15">
        <v>0</v>
      </c>
      <c r="AA98" s="15">
        <v>499.74099999999999</v>
      </c>
      <c r="AB98" s="15">
        <v>858.66899999999998</v>
      </c>
      <c r="AC98" s="15">
        <v>7.7740618375371842E-2</v>
      </c>
      <c r="AD98" s="15">
        <v>101.46074247806246</v>
      </c>
      <c r="AE98" s="15">
        <v>-1.3533958978363583E-3</v>
      </c>
      <c r="AF98" s="15">
        <v>0</v>
      </c>
      <c r="AG98" s="15">
        <v>0</v>
      </c>
      <c r="AH98" s="15">
        <v>0</v>
      </c>
      <c r="AI98" s="15">
        <v>101.46076874999999</v>
      </c>
      <c r="AJ98" s="15">
        <v>0</v>
      </c>
      <c r="AK98" s="15">
        <v>1.3271239603291167E-3</v>
      </c>
      <c r="AL98" s="15">
        <v>0</v>
      </c>
      <c r="AM98" s="15">
        <v>0</v>
      </c>
      <c r="AN98" s="15">
        <v>1305.1187988775393</v>
      </c>
      <c r="AO98" s="15">
        <v>1257.0269981403128</v>
      </c>
      <c r="AP98" s="15">
        <v>0</v>
      </c>
      <c r="AQ98" s="15">
        <v>0</v>
      </c>
      <c r="AR98" s="15">
        <v>0</v>
      </c>
      <c r="AS98" s="15">
        <v>0</v>
      </c>
      <c r="AT98" s="15">
        <v>0</v>
      </c>
      <c r="AU98" s="15">
        <v>821.57131064216389</v>
      </c>
      <c r="AV98" s="15">
        <v>596.39637325374986</v>
      </c>
      <c r="AW98" s="15">
        <v>596.39637325374986</v>
      </c>
      <c r="AX98" s="15">
        <v>0</v>
      </c>
      <c r="AY98" s="15">
        <v>0</v>
      </c>
      <c r="AZ98" s="15">
        <v>31.590241491380088</v>
      </c>
      <c r="BA98" s="15">
        <v>0</v>
      </c>
      <c r="BB98" s="15">
        <v>13.16260062140837</v>
      </c>
      <c r="BC98" s="15">
        <v>18.427640869971718</v>
      </c>
      <c r="BD98" s="15">
        <v>0</v>
      </c>
      <c r="BE98" s="15">
        <v>193.58469589703395</v>
      </c>
      <c r="BF98" s="15">
        <v>67.924454700713667</v>
      </c>
      <c r="BG98" s="15">
        <v>0</v>
      </c>
      <c r="BH98" s="15">
        <v>125.66024119632027</v>
      </c>
      <c r="BI98" s="15">
        <v>0</v>
      </c>
      <c r="BJ98" s="15">
        <v>821.57131064216389</v>
      </c>
      <c r="BK98" s="55">
        <v>923.03205312022635</v>
      </c>
      <c r="BL98" s="55">
        <v>14444.885260362194</v>
      </c>
      <c r="BM98" s="55">
        <v>0.89340328790207146</v>
      </c>
    </row>
    <row r="99" spans="1:65" x14ac:dyDescent="0.4">
      <c r="A99" s="15" t="s">
        <v>10702</v>
      </c>
      <c r="B99" s="15" t="s">
        <v>10548</v>
      </c>
      <c r="C99" s="15" t="s">
        <v>10615</v>
      </c>
      <c r="D99" s="15" t="s">
        <v>10305</v>
      </c>
      <c r="E99" s="15" t="s">
        <v>10782</v>
      </c>
      <c r="F99" s="15">
        <v>1017342</v>
      </c>
      <c r="G99" s="15">
        <v>0.89712497377331613</v>
      </c>
      <c r="H99" s="15">
        <v>200</v>
      </c>
      <c r="I99" s="119">
        <v>1257.0215818763618</v>
      </c>
      <c r="J99" s="120">
        <v>0.87173173749690724</v>
      </c>
      <c r="K99" s="15">
        <v>30</v>
      </c>
      <c r="L99" s="15">
        <v>310.34027511174816</v>
      </c>
      <c r="M99" s="15">
        <v>175.87553695757595</v>
      </c>
      <c r="N99" s="15">
        <v>4258503.7402804708</v>
      </c>
      <c r="O99" s="15">
        <v>600385.1498234421</v>
      </c>
      <c r="P99" s="15">
        <v>1679021.5621990829</v>
      </c>
      <c r="Q99" s="15">
        <v>1979097.028257946</v>
      </c>
      <c r="R99" s="15">
        <v>339615.67328736756</v>
      </c>
      <c r="S99" s="15">
        <v>837243.12785784213</v>
      </c>
      <c r="T99" s="15">
        <v>802238.22711273644</v>
      </c>
      <c r="U99" s="15">
        <v>0</v>
      </c>
      <c r="V99" s="15">
        <v>0</v>
      </c>
      <c r="W99" s="15">
        <v>0</v>
      </c>
      <c r="X99" s="15">
        <v>0</v>
      </c>
      <c r="Y99" s="15">
        <v>1358.4812786515142</v>
      </c>
      <c r="Z99" s="15">
        <v>0</v>
      </c>
      <c r="AA99" s="15">
        <v>499.74099999999999</v>
      </c>
      <c r="AB99" s="15">
        <v>858.66899999999998</v>
      </c>
      <c r="AC99" s="15">
        <v>7.1278651514315949E-2</v>
      </c>
      <c r="AD99" s="15">
        <v>101.45969677515245</v>
      </c>
      <c r="AE99" s="15">
        <v>-1.0719748475731003E-3</v>
      </c>
      <c r="AF99" s="15">
        <v>0</v>
      </c>
      <c r="AG99" s="15">
        <v>0</v>
      </c>
      <c r="AH99" s="15">
        <v>0</v>
      </c>
      <c r="AI99" s="15">
        <v>101.46076874999999</v>
      </c>
      <c r="AJ99" s="15">
        <v>0</v>
      </c>
      <c r="AK99" s="15">
        <v>0</v>
      </c>
      <c r="AL99" s="15">
        <v>0</v>
      </c>
      <c r="AM99" s="15">
        <v>0</v>
      </c>
      <c r="AN99" s="15">
        <v>1423.4233479399479</v>
      </c>
      <c r="AO99" s="15">
        <v>1257.0215818763618</v>
      </c>
      <c r="AP99" s="15">
        <v>0</v>
      </c>
      <c r="AQ99" s="15">
        <v>0</v>
      </c>
      <c r="AR99" s="15">
        <v>0</v>
      </c>
      <c r="AS99" s="15">
        <v>0</v>
      </c>
      <c r="AT99" s="15">
        <v>0</v>
      </c>
      <c r="AU99" s="15">
        <v>794.32591086503919</v>
      </c>
      <c r="AV99" s="15">
        <v>580.68978002499989</v>
      </c>
      <c r="AW99" s="15">
        <v>580.68978002499989</v>
      </c>
      <c r="AX99" s="15">
        <v>0</v>
      </c>
      <c r="AY99" s="15">
        <v>0</v>
      </c>
      <c r="AZ99" s="15">
        <v>20.052395875782711</v>
      </c>
      <c r="BA99" s="15">
        <v>0</v>
      </c>
      <c r="BB99" s="15">
        <v>8.3551649482427965</v>
      </c>
      <c r="BC99" s="15">
        <v>11.697230927539914</v>
      </c>
      <c r="BD99" s="15">
        <v>0</v>
      </c>
      <c r="BE99" s="15">
        <v>193.58373496425656</v>
      </c>
      <c r="BF99" s="15">
        <v>67.924117531318089</v>
      </c>
      <c r="BG99" s="15">
        <v>0</v>
      </c>
      <c r="BH99" s="15">
        <v>125.65961743293846</v>
      </c>
      <c r="BI99" s="15">
        <v>0</v>
      </c>
      <c r="BJ99" s="15">
        <v>794.32591086503919</v>
      </c>
      <c r="BK99" s="15">
        <v>895.78560764019164</v>
      </c>
      <c r="BL99" s="15">
        <v>15372.265127218474</v>
      </c>
      <c r="BM99" s="15">
        <v>0.87173173749690724</v>
      </c>
    </row>
    <row r="100" spans="1:65" x14ac:dyDescent="0.4">
      <c r="A100" s="15" t="s">
        <v>10702</v>
      </c>
      <c r="B100" s="15" t="s">
        <v>10548</v>
      </c>
      <c r="C100" s="15" t="s">
        <v>10615</v>
      </c>
      <c r="D100" s="15" t="s">
        <v>10306</v>
      </c>
      <c r="E100" s="15" t="s">
        <v>10783</v>
      </c>
      <c r="F100" s="15">
        <v>1017342</v>
      </c>
      <c r="G100" s="15">
        <v>0.89712497377331613</v>
      </c>
      <c r="H100" s="15">
        <v>200</v>
      </c>
      <c r="I100" s="119">
        <v>1257.0275241562586</v>
      </c>
      <c r="J100" s="120">
        <v>0.91969097558795687</v>
      </c>
      <c r="K100" s="15">
        <v>30</v>
      </c>
      <c r="L100" s="15">
        <v>530.82777944372219</v>
      </c>
      <c r="M100" s="15">
        <v>177.12846170507873</v>
      </c>
      <c r="N100" s="15">
        <v>4258503.7402804708</v>
      </c>
      <c r="O100" s="15">
        <v>976102.28856903745</v>
      </c>
      <c r="P100" s="15">
        <v>1434264.0597264629</v>
      </c>
      <c r="Q100" s="15">
        <v>1848137.391984971</v>
      </c>
      <c r="R100" s="15">
        <v>339615.67328736756</v>
      </c>
      <c r="S100" s="15">
        <v>0</v>
      </c>
      <c r="T100" s="15">
        <v>1508521.7186976038</v>
      </c>
      <c r="U100" s="15">
        <v>0</v>
      </c>
      <c r="V100" s="15">
        <v>0</v>
      </c>
      <c r="W100" s="15">
        <v>0</v>
      </c>
      <c r="X100" s="15">
        <v>0</v>
      </c>
      <c r="Y100" s="15">
        <v>1358.4862769145977</v>
      </c>
      <c r="Z100" s="15">
        <v>0</v>
      </c>
      <c r="AA100" s="15">
        <v>499.74099999999999</v>
      </c>
      <c r="AB100" s="15">
        <v>858.66899999999998</v>
      </c>
      <c r="AC100" s="15">
        <v>7.6276914597993559E-2</v>
      </c>
      <c r="AD100" s="15">
        <v>101.45875275833919</v>
      </c>
      <c r="AE100" s="15">
        <v>-2.0159916604389609E-3</v>
      </c>
      <c r="AF100" s="15">
        <v>0</v>
      </c>
      <c r="AG100" s="15">
        <v>0</v>
      </c>
      <c r="AH100" s="15">
        <v>0</v>
      </c>
      <c r="AI100" s="15">
        <v>101.46076874999999</v>
      </c>
      <c r="AJ100" s="15">
        <v>0</v>
      </c>
      <c r="AK100" s="15">
        <v>0</v>
      </c>
      <c r="AL100" s="15">
        <v>0</v>
      </c>
      <c r="AM100" s="15">
        <v>0</v>
      </c>
      <c r="AN100" s="15">
        <v>1330.13708397964</v>
      </c>
      <c r="AO100" s="15">
        <v>1257.0275241562586</v>
      </c>
      <c r="AP100" s="15">
        <v>0</v>
      </c>
      <c r="AQ100" s="15">
        <v>0</v>
      </c>
      <c r="AR100" s="15">
        <v>0</v>
      </c>
      <c r="AS100" s="15">
        <v>0</v>
      </c>
      <c r="AT100" s="15">
        <v>0</v>
      </c>
      <c r="AU100" s="15">
        <v>854.61811727384429</v>
      </c>
      <c r="AV100" s="15">
        <v>635.78928079999991</v>
      </c>
      <c r="AW100" s="15">
        <v>635.78928079999991</v>
      </c>
      <c r="AX100" s="15">
        <v>0</v>
      </c>
      <c r="AY100" s="15">
        <v>0</v>
      </c>
      <c r="AZ100" s="15">
        <v>25.244254734702626</v>
      </c>
      <c r="BA100" s="15">
        <v>0</v>
      </c>
      <c r="BB100" s="15">
        <v>10.51843947279276</v>
      </c>
      <c r="BC100" s="15">
        <v>14.725815261909865</v>
      </c>
      <c r="BD100" s="15">
        <v>0</v>
      </c>
      <c r="BE100" s="15">
        <v>193.58458173914181</v>
      </c>
      <c r="BF100" s="15">
        <v>67.924414645312922</v>
      </c>
      <c r="BG100" s="15">
        <v>0</v>
      </c>
      <c r="BH100" s="15">
        <v>125.6601670938289</v>
      </c>
      <c r="BI100" s="15">
        <v>0</v>
      </c>
      <c r="BJ100" s="15">
        <v>854.61811727384429</v>
      </c>
      <c r="BK100" s="15">
        <v>956.07687003218348</v>
      </c>
      <c r="BL100" s="15">
        <v>15155.314018797424</v>
      </c>
      <c r="BM100" s="15">
        <v>0.91969097558795687</v>
      </c>
    </row>
    <row r="101" spans="1:65" x14ac:dyDescent="0.4">
      <c r="A101" s="15" t="s">
        <v>10702</v>
      </c>
      <c r="B101" s="15" t="s">
        <v>10548</v>
      </c>
      <c r="C101" s="15" t="s">
        <v>10615</v>
      </c>
      <c r="D101" s="15" t="s">
        <v>10307</v>
      </c>
      <c r="E101" s="15" t="s">
        <v>10784</v>
      </c>
      <c r="F101" s="15">
        <v>1017342</v>
      </c>
      <c r="G101" s="15">
        <v>0.89712497377331613</v>
      </c>
      <c r="H101" s="15">
        <v>200</v>
      </c>
      <c r="I101" s="119">
        <v>981.3239678174134</v>
      </c>
      <c r="J101" s="120">
        <v>1.6238810249310165</v>
      </c>
      <c r="K101" s="15">
        <v>30</v>
      </c>
      <c r="L101" s="15">
        <v>1193.8373191526134</v>
      </c>
      <c r="M101" s="15">
        <v>178.88631665032378</v>
      </c>
      <c r="N101" s="15">
        <v>4258503.7402804708</v>
      </c>
      <c r="O101" s="15">
        <v>3112113.484722082</v>
      </c>
      <c r="P101" s="15">
        <v>783777.61339862074</v>
      </c>
      <c r="Q101" s="15">
        <v>362612.64215976791</v>
      </c>
      <c r="R101" s="15">
        <v>362612.64215976791</v>
      </c>
      <c r="S101" s="15">
        <v>0</v>
      </c>
      <c r="T101" s="15">
        <v>0</v>
      </c>
      <c r="U101" s="15">
        <v>2775498835.0995851</v>
      </c>
      <c r="V101" s="15">
        <v>0</v>
      </c>
      <c r="W101" s="15">
        <v>0</v>
      </c>
      <c r="X101" s="15">
        <v>0</v>
      </c>
      <c r="Y101" s="15">
        <v>1358.5002075006823</v>
      </c>
      <c r="Z101" s="15">
        <v>0</v>
      </c>
      <c r="AA101" s="15">
        <v>499.74099999999999</v>
      </c>
      <c r="AB101" s="15">
        <v>858.66899999999998</v>
      </c>
      <c r="AC101" s="15">
        <v>9.0207500682466774E-2</v>
      </c>
      <c r="AD101" s="15">
        <v>377.17623968326893</v>
      </c>
      <c r="AE101" s="15">
        <v>4.4679993535361737E-3</v>
      </c>
      <c r="AF101" s="15">
        <v>0</v>
      </c>
      <c r="AG101" s="15">
        <v>0</v>
      </c>
      <c r="AH101" s="15">
        <v>3.7066168340513165E-3</v>
      </c>
      <c r="AI101" s="15">
        <v>123.00035822944251</v>
      </c>
      <c r="AJ101" s="15">
        <v>254.16770683763895</v>
      </c>
      <c r="AK101" s="15">
        <v>0</v>
      </c>
      <c r="AL101" s="15">
        <v>0</v>
      </c>
      <c r="AM101" s="15">
        <v>0</v>
      </c>
      <c r="AN101" s="15">
        <v>4181.2070706951645</v>
      </c>
      <c r="AO101" s="15">
        <v>981.3239678174134</v>
      </c>
      <c r="AP101" s="15">
        <v>8.1746161875874898E-3</v>
      </c>
      <c r="AQ101" s="15">
        <v>4.4679993535361737E-3</v>
      </c>
      <c r="AR101" s="15">
        <v>0</v>
      </c>
      <c r="AS101" s="15">
        <v>0</v>
      </c>
      <c r="AT101" s="15">
        <v>3.7066168340513165E-3</v>
      </c>
      <c r="AU101" s="15">
        <v>1016.3689563492565</v>
      </c>
      <c r="AV101" s="15">
        <v>782.22597054999994</v>
      </c>
      <c r="AW101" s="15">
        <v>782.22597054999994</v>
      </c>
      <c r="AX101" s="15">
        <v>0</v>
      </c>
      <c r="AY101" s="15">
        <v>0</v>
      </c>
      <c r="AZ101" s="15">
        <v>40.557871113215953</v>
      </c>
      <c r="BA101" s="15">
        <v>0</v>
      </c>
      <c r="BB101" s="15">
        <v>16.899112963839983</v>
      </c>
      <c r="BC101" s="15">
        <v>23.658758149375974</v>
      </c>
      <c r="BD101" s="15">
        <v>0</v>
      </c>
      <c r="BE101" s="15">
        <v>193.58511468604053</v>
      </c>
      <c r="BF101" s="15">
        <v>67.924601644224751</v>
      </c>
      <c r="BG101" s="15">
        <v>0</v>
      </c>
      <c r="BH101" s="15">
        <v>125.66051304181578</v>
      </c>
      <c r="BI101" s="15">
        <v>0</v>
      </c>
      <c r="BJ101" s="15">
        <v>1016.3771309654441</v>
      </c>
      <c r="BK101" s="15">
        <v>1393.5533706487131</v>
      </c>
      <c r="BL101" s="15">
        <v>17664.419821995412</v>
      </c>
      <c r="BM101" s="15">
        <v>1.6238810249310165</v>
      </c>
    </row>
    <row r="102" spans="1:65" x14ac:dyDescent="0.4">
      <c r="A102" s="15" t="s">
        <v>10702</v>
      </c>
      <c r="B102" s="15" t="s">
        <v>10548</v>
      </c>
      <c r="C102" s="15" t="s">
        <v>10615</v>
      </c>
      <c r="D102" s="15" t="s">
        <v>10308</v>
      </c>
      <c r="E102" s="15" t="s">
        <v>10785</v>
      </c>
      <c r="F102" s="15">
        <v>1017342</v>
      </c>
      <c r="G102" s="15">
        <v>0.89712497377331613</v>
      </c>
      <c r="H102" s="15">
        <v>200</v>
      </c>
      <c r="I102" s="119">
        <v>981.3239678174134</v>
      </c>
      <c r="J102" s="120">
        <v>1.6238810249310165</v>
      </c>
      <c r="K102" s="15">
        <v>30</v>
      </c>
      <c r="L102" s="15">
        <v>1193.8373191526134</v>
      </c>
      <c r="M102" s="15">
        <v>178.88631665032378</v>
      </c>
      <c r="N102" s="15">
        <v>4258503.7402804708</v>
      </c>
      <c r="O102" s="15">
        <v>3112113.484722082</v>
      </c>
      <c r="P102" s="15">
        <v>783777.61339862074</v>
      </c>
      <c r="Q102" s="15">
        <v>362612.64215976791</v>
      </c>
      <c r="R102" s="15">
        <v>362612.64215976791</v>
      </c>
      <c r="S102" s="15">
        <v>0</v>
      </c>
      <c r="T102" s="15">
        <v>0</v>
      </c>
      <c r="U102" s="15">
        <v>2775498835.0995851</v>
      </c>
      <c r="V102" s="15">
        <v>0</v>
      </c>
      <c r="W102" s="15">
        <v>0</v>
      </c>
      <c r="X102" s="15">
        <v>0</v>
      </c>
      <c r="Y102" s="15">
        <v>1358.5002075006823</v>
      </c>
      <c r="Z102" s="15">
        <v>0</v>
      </c>
      <c r="AA102" s="15">
        <v>499.74099999999999</v>
      </c>
      <c r="AB102" s="15">
        <v>858.66899999999998</v>
      </c>
      <c r="AC102" s="15">
        <v>9.0207500682466774E-2</v>
      </c>
      <c r="AD102" s="15">
        <v>377.17623968326893</v>
      </c>
      <c r="AE102" s="15">
        <v>4.4679993535361737E-3</v>
      </c>
      <c r="AF102" s="15">
        <v>0</v>
      </c>
      <c r="AG102" s="15">
        <v>0</v>
      </c>
      <c r="AH102" s="15">
        <v>3.7066168340513165E-3</v>
      </c>
      <c r="AI102" s="15">
        <v>123.00035822944251</v>
      </c>
      <c r="AJ102" s="15">
        <v>254.16770683763895</v>
      </c>
      <c r="AK102" s="15">
        <v>0</v>
      </c>
      <c r="AL102" s="15">
        <v>0</v>
      </c>
      <c r="AM102" s="15">
        <v>0</v>
      </c>
      <c r="AN102" s="15">
        <v>4181.2070706951645</v>
      </c>
      <c r="AO102" s="15">
        <v>981.3239678174134</v>
      </c>
      <c r="AP102" s="15">
        <v>8.1746161875874898E-3</v>
      </c>
      <c r="AQ102" s="15">
        <v>4.4679993535361737E-3</v>
      </c>
      <c r="AR102" s="15">
        <v>0</v>
      </c>
      <c r="AS102" s="15">
        <v>0</v>
      </c>
      <c r="AT102" s="15">
        <v>3.7066168340513165E-3</v>
      </c>
      <c r="AU102" s="15">
        <v>1016.3689563492565</v>
      </c>
      <c r="AV102" s="15">
        <v>782.22597054999994</v>
      </c>
      <c r="AW102" s="15">
        <v>782.22597054999994</v>
      </c>
      <c r="AX102" s="15">
        <v>0</v>
      </c>
      <c r="AY102" s="15">
        <v>0</v>
      </c>
      <c r="AZ102" s="15">
        <v>40.557871113215953</v>
      </c>
      <c r="BA102" s="15">
        <v>0</v>
      </c>
      <c r="BB102" s="15">
        <v>16.899112963839983</v>
      </c>
      <c r="BC102" s="15">
        <v>23.658758149375974</v>
      </c>
      <c r="BD102" s="15">
        <v>0</v>
      </c>
      <c r="BE102" s="15">
        <v>193.58511468604053</v>
      </c>
      <c r="BF102" s="15">
        <v>67.924601644224751</v>
      </c>
      <c r="BG102" s="15">
        <v>0</v>
      </c>
      <c r="BH102" s="15">
        <v>125.66051304181578</v>
      </c>
      <c r="BI102" s="15">
        <v>0</v>
      </c>
      <c r="BJ102" s="15">
        <v>1016.3771309654441</v>
      </c>
      <c r="BK102" s="15">
        <v>1393.5533706487131</v>
      </c>
      <c r="BL102" s="15">
        <v>17664.419821995412</v>
      </c>
      <c r="BM102" s="15">
        <v>1.6238810249310165</v>
      </c>
    </row>
    <row r="103" spans="1:65" s="56" customFormat="1" x14ac:dyDescent="0.4">
      <c r="A103" s="55" t="s">
        <v>10702</v>
      </c>
      <c r="B103" s="55" t="s">
        <v>10548</v>
      </c>
      <c r="C103" s="55" t="s">
        <v>10736</v>
      </c>
      <c r="D103" s="55" t="s">
        <v>10307</v>
      </c>
      <c r="E103" s="55" t="s">
        <v>10786</v>
      </c>
      <c r="F103" s="55">
        <v>1017342</v>
      </c>
      <c r="G103" s="55">
        <v>0.89712497377331613</v>
      </c>
      <c r="H103" s="55">
        <v>200</v>
      </c>
      <c r="I103" s="55">
        <v>981.3239678174134</v>
      </c>
      <c r="J103" s="92">
        <v>1.6238810249310165</v>
      </c>
      <c r="K103" s="55">
        <v>30</v>
      </c>
      <c r="L103" s="55">
        <v>1193.8373191526134</v>
      </c>
      <c r="M103" s="55">
        <v>178.88631665032378</v>
      </c>
      <c r="N103" s="55">
        <v>4258503.7402804708</v>
      </c>
      <c r="O103" s="55">
        <v>3112113.484722082</v>
      </c>
      <c r="P103" s="55">
        <v>783777.61339862074</v>
      </c>
      <c r="Q103" s="55">
        <v>362612.64215976791</v>
      </c>
      <c r="R103" s="55">
        <v>362612.64215976791</v>
      </c>
      <c r="S103" s="55">
        <v>0</v>
      </c>
      <c r="T103" s="55">
        <v>0</v>
      </c>
      <c r="U103" s="55">
        <v>2775498835.0995851</v>
      </c>
      <c r="V103" s="55">
        <v>0</v>
      </c>
      <c r="W103" s="55">
        <v>0</v>
      </c>
      <c r="X103" s="55">
        <v>0</v>
      </c>
      <c r="Y103" s="55">
        <v>1358.5002075006823</v>
      </c>
      <c r="Z103" s="55">
        <v>0</v>
      </c>
      <c r="AA103" s="55">
        <v>499.74099999999999</v>
      </c>
      <c r="AB103" s="55">
        <v>858.66899999999998</v>
      </c>
      <c r="AC103" s="55">
        <v>9.0207500682466774E-2</v>
      </c>
      <c r="AD103" s="55">
        <v>377.17623968326893</v>
      </c>
      <c r="AE103" s="55">
        <v>4.4679993535361737E-3</v>
      </c>
      <c r="AF103" s="55">
        <v>0</v>
      </c>
      <c r="AG103" s="55">
        <v>0</v>
      </c>
      <c r="AH103" s="55">
        <v>3.7066168340513165E-3</v>
      </c>
      <c r="AI103" s="55">
        <v>123.00035822944251</v>
      </c>
      <c r="AJ103" s="55">
        <v>254.16770683763895</v>
      </c>
      <c r="AK103" s="55">
        <v>0</v>
      </c>
      <c r="AL103" s="55">
        <v>0</v>
      </c>
      <c r="AM103" s="55">
        <v>0</v>
      </c>
      <c r="AN103" s="55">
        <v>4181.2070706951645</v>
      </c>
      <c r="AO103" s="55">
        <v>981.3239678174134</v>
      </c>
      <c r="AP103" s="55">
        <v>8.1746161875874898E-3</v>
      </c>
      <c r="AQ103" s="55">
        <v>4.4679993535361737E-3</v>
      </c>
      <c r="AR103" s="55">
        <v>0</v>
      </c>
      <c r="AS103" s="55">
        <v>0</v>
      </c>
      <c r="AT103" s="55">
        <v>3.7066168340513165E-3</v>
      </c>
      <c r="AU103" s="55">
        <v>1016.3689563492565</v>
      </c>
      <c r="AV103" s="55">
        <v>782.22597054999994</v>
      </c>
      <c r="AW103" s="55">
        <v>782.22597054999994</v>
      </c>
      <c r="AX103" s="55">
        <v>0</v>
      </c>
      <c r="AY103" s="55">
        <v>0</v>
      </c>
      <c r="AZ103" s="55">
        <v>40.557871113215953</v>
      </c>
      <c r="BA103" s="55">
        <v>0</v>
      </c>
      <c r="BB103" s="55">
        <v>16.899112963839983</v>
      </c>
      <c r="BC103" s="55">
        <v>23.658758149375974</v>
      </c>
      <c r="BD103" s="55">
        <v>0</v>
      </c>
      <c r="BE103" s="55">
        <v>193.58511468604053</v>
      </c>
      <c r="BF103" s="55">
        <v>67.924601644224751</v>
      </c>
      <c r="BG103" s="55">
        <v>0</v>
      </c>
      <c r="BH103" s="55">
        <v>125.66051304181578</v>
      </c>
      <c r="BI103" s="55">
        <v>0</v>
      </c>
      <c r="BJ103" s="55">
        <v>1016.3771309654441</v>
      </c>
      <c r="BK103" s="55">
        <v>1393.5533706487131</v>
      </c>
      <c r="BL103" s="55">
        <v>17664.419821995412</v>
      </c>
      <c r="BM103" s="55">
        <v>1.6238810249310165</v>
      </c>
    </row>
    <row r="104" spans="1:65" s="52" customFormat="1" x14ac:dyDescent="0.4">
      <c r="A104" s="51" t="s">
        <v>10702</v>
      </c>
      <c r="B104" s="51" t="s">
        <v>10738</v>
      </c>
      <c r="C104" s="51" t="s">
        <v>9780</v>
      </c>
      <c r="D104" s="51" t="s">
        <v>9780</v>
      </c>
      <c r="E104" s="51" t="s">
        <v>10554</v>
      </c>
      <c r="F104" s="51">
        <f>F87+F95+F103</f>
        <v>3317141</v>
      </c>
      <c r="G104" s="51">
        <f>G87</f>
        <v>0.89712450607071414</v>
      </c>
      <c r="H104" s="51">
        <f>(H87*N87+H95*N95+H103*N103)/(N87+N95+N103)</f>
        <v>200</v>
      </c>
      <c r="I104" s="51">
        <f>(I87*N87+I95*N95+I103*N103)/(N87+N95+N103)</f>
        <v>323.62334613695708</v>
      </c>
      <c r="J104" s="93">
        <f>(H104+AD104+AE104+AF104+AG104+AH104+AU104)/(I104)</f>
        <v>3.8120463104702651</v>
      </c>
      <c r="K104" s="51">
        <f>K87</f>
        <v>30</v>
      </c>
      <c r="L104" s="51">
        <f t="shared" ref="L104:W104" si="5">L87+L95+L103</f>
        <v>4094.7233794950916</v>
      </c>
      <c r="M104" s="51">
        <f t="shared" si="5"/>
        <v>529.82580579890021</v>
      </c>
      <c r="N104" s="51">
        <f t="shared" si="5"/>
        <v>13885255.944849033</v>
      </c>
      <c r="O104" s="51">
        <f t="shared" si="5"/>
        <v>10147341.625191599</v>
      </c>
      <c r="P104" s="51">
        <f t="shared" si="5"/>
        <v>2555581.3566494645</v>
      </c>
      <c r="Q104" s="51">
        <f t="shared" si="5"/>
        <v>1182332.96300797</v>
      </c>
      <c r="R104" s="51">
        <f t="shared" si="5"/>
        <v>1182332.96300797</v>
      </c>
      <c r="S104" s="51">
        <f t="shared" si="5"/>
        <v>0</v>
      </c>
      <c r="T104" s="51">
        <f t="shared" si="5"/>
        <v>0</v>
      </c>
      <c r="U104" s="51">
        <f t="shared" si="5"/>
        <v>9049777586.3054371</v>
      </c>
      <c r="V104" s="51">
        <f t="shared" si="5"/>
        <v>0</v>
      </c>
      <c r="W104" s="51">
        <f t="shared" si="5"/>
        <v>0</v>
      </c>
      <c r="X104" s="51">
        <f>(X87*N87+X95*N95+X103*N103)/(N87+N95+N103)</f>
        <v>0</v>
      </c>
      <c r="Y104" s="51">
        <f>(Y87*N87+Y95*N95+Y103*N103)/(N87+N95+N103)</f>
        <v>700.80016473583476</v>
      </c>
      <c r="Z104" s="51">
        <f>(Z87*N87+Z95*N95+Z103*N103)/(N87+N95+N103)</f>
        <v>0</v>
      </c>
      <c r="AA104" s="51">
        <f>(AA87*N87+AA95*N95+AA103*N103)/(N87+N95+N103)</f>
        <v>173.07329870808047</v>
      </c>
      <c r="AB104" s="51">
        <f>(AB87*N87+AB95*N95+AB103*N103)/(N87+N95+N103)</f>
        <v>527.64181419821671</v>
      </c>
      <c r="AC104" s="51">
        <f>(AC87*N87+AC95*N95+AC103*N103)/(N87+N95+N103)</f>
        <v>8.5051829537515181E-2</v>
      </c>
      <c r="AD104" s="51">
        <f>(AD87*N87+AD95*N95+AD103*N103)/(N87+N95+N103)</f>
        <v>377.17681859887762</v>
      </c>
      <c r="AE104" s="51">
        <f>(AE87*N87+AE95*N95+AE103*N103)/(N87+N95+N103)</f>
        <v>4.3777001098877473E-3</v>
      </c>
      <c r="AF104" s="51">
        <f>(AF87*N87+AF95*N95+AF103*N103)/(N87+N95+N103)</f>
        <v>0</v>
      </c>
      <c r="AG104" s="51">
        <f>(AG87*N87+AG95*N95+AG103*N103)/(N87+N95+N103)</f>
        <v>0</v>
      </c>
      <c r="AH104" s="51">
        <f>(AH87*N87+AH95*N95+AH103*N103)/(N87+N95+N103)</f>
        <v>3.4103546960599753E-3</v>
      </c>
      <c r="AI104" s="51">
        <f>(AI87*N87+AI95*N95+AI103*N103)/(N87+N95+N103)</f>
        <v>123.0003582294425</v>
      </c>
      <c r="AJ104" s="51">
        <f>(AJ87*N87+AJ95*N95+AJ103*N103)/(N87+N95+N103)</f>
        <v>254.16867231462913</v>
      </c>
      <c r="AK104" s="51">
        <f>(AK87*N87+AK95*N95+AK103*N103)/(N87+N95+N103)</f>
        <v>0</v>
      </c>
      <c r="AL104" s="51">
        <f>(AL87*N87+AL95*N95+AL103*N103)/(N87+N95+N103)</f>
        <v>0</v>
      </c>
      <c r="AM104" s="51">
        <f>(AM87*N87+AM95*N95+AM103*N103)/(N87+N95+N103)</f>
        <v>0</v>
      </c>
      <c r="AN104" s="51">
        <f>(AN87*N87+AN95*N95+AN103*N103)/(N87+N95+N103)</f>
        <v>4726.5711930962234</v>
      </c>
      <c r="AO104" s="51">
        <f>(AO87*N87+AO95*N95+AO103*N103)/(N87+N95+N103)</f>
        <v>323.62334613695708</v>
      </c>
      <c r="AP104" s="51">
        <f>(AP87*N87+AP95*N95+AP103*N103)/(N87+N95+N103)</f>
        <v>7.7880548059477217E-3</v>
      </c>
      <c r="AQ104" s="51">
        <f>(AQ87*N87+AQ95*N95+AQ103*N103)/(N87+N95+N103)</f>
        <v>4.3777001098877473E-3</v>
      </c>
      <c r="AR104" s="51">
        <f>(AR87*N87+AR95*N95+AR103*N103)/(N87+N95+N103)</f>
        <v>0</v>
      </c>
      <c r="AS104" s="51">
        <f>(AS87*N87+AS95*N95+AS103*N103)/(N87+N95+N103)</f>
        <v>0</v>
      </c>
      <c r="AT104" s="51">
        <f>(AT87*N87+AT95*N95+AT103*N103)/(N87+N95+N103)</f>
        <v>3.4103546960599753E-3</v>
      </c>
      <c r="AU104" s="51">
        <f>(AU87*N87+AU95*N95+AU103*N103)/(N87+N95+N103)</f>
        <v>656.48257596974508</v>
      </c>
      <c r="AV104" s="51">
        <f>(AV87*N87+AV95*N95+AV103*N103)/(N87+N95+N103)</f>
        <v>512.12433829503482</v>
      </c>
      <c r="AW104" s="51">
        <f>(AW87*N87+AW95*N95+AW103*N103)/(N87+N95+N103)</f>
        <v>512.12433829503482</v>
      </c>
      <c r="AX104" s="51">
        <f>(AX87*N87+AX95*N95+AX103*N103)/(N87+N95+N103)</f>
        <v>0</v>
      </c>
      <c r="AY104" s="51">
        <f>(AY87*N87+AY95*N95+AY103*N103)/(N87+N95+N103)</f>
        <v>0</v>
      </c>
      <c r="AZ104" s="51">
        <f>(AZ87*N87+AZ95*N95+AZ103*N103)/(N87+N95+N103)</f>
        <v>44.49532399766364</v>
      </c>
      <c r="BA104" s="51">
        <f>(BA87*N87+BA95*N95+BA103*N103)/(N87+N95+N103)</f>
        <v>0</v>
      </c>
      <c r="BB104" s="51">
        <f>(BB87*N87+BB95*N95+BB103*N103)/(N87+N95+N103)</f>
        <v>18.539718332359847</v>
      </c>
      <c r="BC104" s="51">
        <f>(BC87*N87+BC95*N95+BC103*N103)/(N87+N95+N103)</f>
        <v>25.955605665303789</v>
      </c>
      <c r="BD104" s="51">
        <f>(BD87*N87+BD95*N95+BD103*N103)/(N87+N95+N103)</f>
        <v>0</v>
      </c>
      <c r="BE104" s="51">
        <f>(BE87*N87+BE95*N95+BE103*N103)/(N87+N95+N103)</f>
        <v>99.862913677046606</v>
      </c>
      <c r="BF104" s="51">
        <f>(BF87*N87+BF95*N95+BF103*N103)/(N87+N95+N103)</f>
        <v>35.039618834051439</v>
      </c>
      <c r="BG104" s="51">
        <f>(BG87*N87+BG95*N95+BG103*N103)/(N87+N95+N103)</f>
        <v>0</v>
      </c>
      <c r="BH104" s="51">
        <f>(BH87*N87+BH95*N95+BH103*N103)/(N87+N95+N103)</f>
        <v>64.823294842995168</v>
      </c>
      <c r="BI104" s="51">
        <f>(BI87*N87+BI95*N95+BI103*N103)/(N87+N95+N103)</f>
        <v>0</v>
      </c>
      <c r="BJ104" s="51">
        <f>(BJ87*N87+BJ95*N95+BJ103*N103)/(N87+N95+N103)</f>
        <v>656.49036402455101</v>
      </c>
      <c r="BK104" s="51">
        <f>(BK87*N87+BK95*N95+BK103*N103)/(N87+N95+N103)</f>
        <v>1033.6671826234285</v>
      </c>
      <c r="BL104" s="51">
        <f>(BL87*N87+BL95*N95+BL103*N103)/(N87+N95+N103)</f>
        <v>13444.234829954596</v>
      </c>
      <c r="BM104" s="51">
        <f>(BM87*N87+BM95*N95+BM103*N103)/(N87+N95+N103)</f>
        <v>-0.55356244720150571</v>
      </c>
    </row>
    <row r="105" spans="1:65" s="56" customFormat="1" x14ac:dyDescent="0.4">
      <c r="A105" s="15" t="s">
        <v>10682</v>
      </c>
      <c r="B105" s="15" t="s">
        <v>10437</v>
      </c>
      <c r="C105" s="15" t="s">
        <v>10618</v>
      </c>
      <c r="D105" s="15" t="s">
        <v>10302</v>
      </c>
      <c r="E105" s="15" t="s">
        <v>10787</v>
      </c>
      <c r="F105" s="15">
        <v>1963726</v>
      </c>
      <c r="G105" s="15">
        <v>0.89712450607071414</v>
      </c>
      <c r="H105" s="15">
        <v>200</v>
      </c>
      <c r="I105" s="119">
        <v>955.99360640281111</v>
      </c>
      <c r="J105" s="120">
        <v>0.60831219984505891</v>
      </c>
      <c r="K105" s="15">
        <v>30</v>
      </c>
      <c r="L105" s="15">
        <v>848.511130751113</v>
      </c>
      <c r="M105" s="15">
        <v>379.26895083755807</v>
      </c>
      <c r="N105" s="15">
        <v>8219979.275606934</v>
      </c>
      <c r="O105" s="15">
        <v>1535981.2174502737</v>
      </c>
      <c r="P105" s="15">
        <v>3106258.2434331989</v>
      </c>
      <c r="Q105" s="15">
        <v>3577739.8147234609</v>
      </c>
      <c r="R105" s="15">
        <v>655543.34722965304</v>
      </c>
      <c r="S105" s="15">
        <v>1373675.671658596</v>
      </c>
      <c r="T105" s="15">
        <v>1548520.7958352126</v>
      </c>
      <c r="U105" s="15">
        <v>0</v>
      </c>
      <c r="V105" s="15">
        <v>998198115.32089341</v>
      </c>
      <c r="W105" s="15">
        <v>0</v>
      </c>
      <c r="X105" s="15">
        <v>0</v>
      </c>
      <c r="Y105" s="15">
        <v>1101.8584118738061</v>
      </c>
      <c r="Z105" s="15">
        <v>0</v>
      </c>
      <c r="AA105" s="15">
        <v>30.524000000000001</v>
      </c>
      <c r="AB105" s="15">
        <v>1072.8140000000001</v>
      </c>
      <c r="AC105" s="15">
        <v>-1.4795881261940915</v>
      </c>
      <c r="AD105" s="15">
        <v>145.86480547099495</v>
      </c>
      <c r="AE105" s="15">
        <v>1.1097715531791384E-3</v>
      </c>
      <c r="AF105" s="15">
        <v>0</v>
      </c>
      <c r="AG105" s="15">
        <v>0</v>
      </c>
      <c r="AH105" s="15">
        <v>1.2417978804473253E-3</v>
      </c>
      <c r="AI105" s="15">
        <v>101.46076874999997</v>
      </c>
      <c r="AJ105" s="15">
        <v>44.401685151561146</v>
      </c>
      <c r="AK105" s="15">
        <v>0</v>
      </c>
      <c r="AL105" s="15">
        <v>0</v>
      </c>
      <c r="AM105" s="15">
        <v>0</v>
      </c>
      <c r="AN105" s="15">
        <v>-98.584736447026941</v>
      </c>
      <c r="AO105" s="15">
        <v>955.99360640281111</v>
      </c>
      <c r="AP105" s="15">
        <v>2.3515694336264637E-3</v>
      </c>
      <c r="AQ105" s="15">
        <v>1.1097715531791384E-3</v>
      </c>
      <c r="AR105" s="15">
        <v>0</v>
      </c>
      <c r="AS105" s="15">
        <v>0</v>
      </c>
      <c r="AT105" s="15">
        <v>1.2417978804473253E-3</v>
      </c>
      <c r="AU105" s="15">
        <v>235.67541670827686</v>
      </c>
      <c r="AV105" s="15">
        <v>43.099875438362425</v>
      </c>
      <c r="AW105" s="15">
        <v>43.099875438362425</v>
      </c>
      <c r="AX105" s="15">
        <v>0</v>
      </c>
      <c r="AY105" s="15">
        <v>0</v>
      </c>
      <c r="AZ105" s="15">
        <v>35.338639284902207</v>
      </c>
      <c r="BA105" s="15">
        <v>0</v>
      </c>
      <c r="BB105" s="15">
        <v>14.72443303537592</v>
      </c>
      <c r="BC105" s="15">
        <v>20.614206249526287</v>
      </c>
      <c r="BD105" s="15">
        <v>0</v>
      </c>
      <c r="BE105" s="15">
        <v>157.23690198501222</v>
      </c>
      <c r="BF105" s="15">
        <v>55.170842801758674</v>
      </c>
      <c r="BG105" s="15">
        <v>0</v>
      </c>
      <c r="BH105" s="15">
        <v>102.06605918325354</v>
      </c>
      <c r="BI105" s="15">
        <v>0</v>
      </c>
      <c r="BJ105" s="15">
        <v>235.67776827771047</v>
      </c>
      <c r="BK105" s="55">
        <v>381.54257374870542</v>
      </c>
      <c r="BL105" s="55">
        <v>-394.04355276531805</v>
      </c>
      <c r="BM105" s="55">
        <v>0.60831219984505891</v>
      </c>
    </row>
    <row r="106" spans="1:65" s="56" customFormat="1" x14ac:dyDescent="0.4">
      <c r="A106" s="15" t="s">
        <v>10682</v>
      </c>
      <c r="B106" s="15" t="s">
        <v>10437</v>
      </c>
      <c r="C106" s="15" t="s">
        <v>10618</v>
      </c>
      <c r="D106" s="15" t="s">
        <v>10303</v>
      </c>
      <c r="E106" s="15" t="s">
        <v>10788</v>
      </c>
      <c r="F106" s="15">
        <v>1963726</v>
      </c>
      <c r="G106" s="15">
        <v>0.89712450607071414</v>
      </c>
      <c r="H106" s="15">
        <v>200</v>
      </c>
      <c r="I106" s="119">
        <v>1000.3979835633872</v>
      </c>
      <c r="J106" s="120">
        <v>0.53692264021877456</v>
      </c>
      <c r="K106" s="15">
        <v>30</v>
      </c>
      <c r="L106" s="15">
        <v>848.511130751113</v>
      </c>
      <c r="M106" s="15">
        <v>379.26895083755807</v>
      </c>
      <c r="N106" s="15">
        <v>8219979.275606934</v>
      </c>
      <c r="O106" s="15">
        <v>1535981.2174502737</v>
      </c>
      <c r="P106" s="15">
        <v>3106258.2434331989</v>
      </c>
      <c r="Q106" s="15">
        <v>3577739.8147234609</v>
      </c>
      <c r="R106" s="15">
        <v>655543.34722965304</v>
      </c>
      <c r="S106" s="15">
        <v>1373675.671658596</v>
      </c>
      <c r="T106" s="15">
        <v>1548520.7958352126</v>
      </c>
      <c r="U106" s="15">
        <v>0</v>
      </c>
      <c r="V106" s="15">
        <v>0</v>
      </c>
      <c r="W106" s="15">
        <v>249549528.83022335</v>
      </c>
      <c r="X106" s="15">
        <v>0</v>
      </c>
      <c r="Y106" s="15">
        <v>1101.8584118738061</v>
      </c>
      <c r="Z106" s="15">
        <v>0</v>
      </c>
      <c r="AA106" s="15">
        <v>30.524000000000001</v>
      </c>
      <c r="AB106" s="15">
        <v>1072.8140000000001</v>
      </c>
      <c r="AC106" s="15">
        <v>-1.4795881261940915</v>
      </c>
      <c r="AD106" s="15">
        <v>101.46042831041882</v>
      </c>
      <c r="AE106" s="15">
        <v>-1.2610408003686973E-3</v>
      </c>
      <c r="AF106" s="15">
        <v>7.3778108307827128E-5</v>
      </c>
      <c r="AG106" s="15">
        <v>1.5928337859368868E-4</v>
      </c>
      <c r="AH106" s="15">
        <v>0</v>
      </c>
      <c r="AI106" s="15">
        <v>101.46076874999997</v>
      </c>
      <c r="AJ106" s="15">
        <v>0</v>
      </c>
      <c r="AK106" s="15">
        <v>6.8753973208285043E-4</v>
      </c>
      <c r="AL106" s="15">
        <v>0</v>
      </c>
      <c r="AM106" s="15">
        <v>0</v>
      </c>
      <c r="AN106" s="15">
        <v>-68.573426965383263</v>
      </c>
      <c r="AO106" s="15">
        <v>1000.3979835633872</v>
      </c>
      <c r="AP106" s="15">
        <v>0</v>
      </c>
      <c r="AQ106" s="15">
        <v>0</v>
      </c>
      <c r="AR106" s="15">
        <v>0</v>
      </c>
      <c r="AS106" s="15">
        <v>0</v>
      </c>
      <c r="AT106" s="15">
        <v>0</v>
      </c>
      <c r="AU106" s="15">
        <v>235.67589829397329</v>
      </c>
      <c r="AV106" s="15">
        <v>43.099875438362425</v>
      </c>
      <c r="AW106" s="15">
        <v>43.099875438362425</v>
      </c>
      <c r="AX106" s="15">
        <v>0</v>
      </c>
      <c r="AY106" s="15">
        <v>0</v>
      </c>
      <c r="AZ106" s="15">
        <v>35.338639284902207</v>
      </c>
      <c r="BA106" s="15">
        <v>0</v>
      </c>
      <c r="BB106" s="15">
        <v>14.72443303537592</v>
      </c>
      <c r="BC106" s="15">
        <v>20.614206249526287</v>
      </c>
      <c r="BD106" s="15">
        <v>0</v>
      </c>
      <c r="BE106" s="15">
        <v>157.23738357070866</v>
      </c>
      <c r="BF106" s="15">
        <v>55.171011779196022</v>
      </c>
      <c r="BG106" s="15">
        <v>0</v>
      </c>
      <c r="BH106" s="15">
        <v>102.06637179151264</v>
      </c>
      <c r="BI106" s="15">
        <v>0</v>
      </c>
      <c r="BJ106" s="15">
        <v>235.67589829397329</v>
      </c>
      <c r="BK106" s="55">
        <v>337.13632660439214</v>
      </c>
      <c r="BL106" s="55">
        <v>-364.03097942942736</v>
      </c>
      <c r="BM106" s="55">
        <v>0.53692264021877456</v>
      </c>
    </row>
    <row r="107" spans="1:65" s="52" customFormat="1" x14ac:dyDescent="0.4">
      <c r="A107" s="15" t="s">
        <v>10682</v>
      </c>
      <c r="B107" s="15" t="s">
        <v>10437</v>
      </c>
      <c r="C107" s="15" t="s">
        <v>10618</v>
      </c>
      <c r="D107" s="15" t="s">
        <v>10304</v>
      </c>
      <c r="E107" s="15" t="s">
        <v>10789</v>
      </c>
      <c r="F107" s="15">
        <v>1963726</v>
      </c>
      <c r="G107" s="15">
        <v>0.89712450607071414</v>
      </c>
      <c r="H107" s="15">
        <v>200</v>
      </c>
      <c r="I107" s="119">
        <v>1000.3982166248743</v>
      </c>
      <c r="J107" s="120">
        <v>0.53692231536192392</v>
      </c>
      <c r="K107" s="15">
        <v>30</v>
      </c>
      <c r="L107" s="15">
        <v>848.511130751113</v>
      </c>
      <c r="M107" s="15">
        <v>379.26895083755807</v>
      </c>
      <c r="N107" s="15">
        <v>8219979.275606934</v>
      </c>
      <c r="O107" s="15">
        <v>1535981.2174502737</v>
      </c>
      <c r="P107" s="15">
        <v>3106258.2434331989</v>
      </c>
      <c r="Q107" s="15">
        <v>3577739.8147234609</v>
      </c>
      <c r="R107" s="15">
        <v>655543.34722965304</v>
      </c>
      <c r="S107" s="15">
        <v>1373675.671658596</v>
      </c>
      <c r="T107" s="15">
        <v>1548520.7958352126</v>
      </c>
      <c r="U107" s="15">
        <v>0</v>
      </c>
      <c r="V107" s="15">
        <v>0</v>
      </c>
      <c r="W107" s="15">
        <v>0</v>
      </c>
      <c r="X107" s="15">
        <v>249549528830.22336</v>
      </c>
      <c r="Y107" s="15">
        <v>1101.8584118738061</v>
      </c>
      <c r="Z107" s="15">
        <v>0</v>
      </c>
      <c r="AA107" s="15">
        <v>30.524000000000001</v>
      </c>
      <c r="AB107" s="15">
        <v>1072.8140000000001</v>
      </c>
      <c r="AC107" s="15">
        <v>-1.4795881261940915</v>
      </c>
      <c r="AD107" s="15">
        <v>101.46019524893177</v>
      </c>
      <c r="AE107" s="15">
        <v>-1.2610408003686973E-3</v>
      </c>
      <c r="AF107" s="15">
        <v>0</v>
      </c>
      <c r="AG107" s="15">
        <v>0</v>
      </c>
      <c r="AH107" s="15">
        <v>0</v>
      </c>
      <c r="AI107" s="15">
        <v>101.46076874999997</v>
      </c>
      <c r="AJ107" s="15">
        <v>0</v>
      </c>
      <c r="AK107" s="15">
        <v>6.8753973208285043E-4</v>
      </c>
      <c r="AL107" s="15">
        <v>0</v>
      </c>
      <c r="AM107" s="15">
        <v>0</v>
      </c>
      <c r="AN107" s="15">
        <v>-68.573269447569416</v>
      </c>
      <c r="AO107" s="15">
        <v>1000.3982166248743</v>
      </c>
      <c r="AP107" s="15">
        <v>0</v>
      </c>
      <c r="AQ107" s="15">
        <v>0</v>
      </c>
      <c r="AR107" s="15">
        <v>0</v>
      </c>
      <c r="AS107" s="15">
        <v>0</v>
      </c>
      <c r="AT107" s="15">
        <v>0</v>
      </c>
      <c r="AU107" s="15">
        <v>235.67593150523521</v>
      </c>
      <c r="AV107" s="15">
        <v>43.099875438362425</v>
      </c>
      <c r="AW107" s="15">
        <v>43.099875438362425</v>
      </c>
      <c r="AX107" s="15">
        <v>0</v>
      </c>
      <c r="AY107" s="15">
        <v>0</v>
      </c>
      <c r="AZ107" s="15">
        <v>35.338639284902207</v>
      </c>
      <c r="BA107" s="15">
        <v>0</v>
      </c>
      <c r="BB107" s="15">
        <v>14.72443303537592</v>
      </c>
      <c r="BC107" s="15">
        <v>20.614206249526287</v>
      </c>
      <c r="BD107" s="15">
        <v>0</v>
      </c>
      <c r="BE107" s="15">
        <v>157.23741678197058</v>
      </c>
      <c r="BF107" s="15">
        <v>55.171023432270374</v>
      </c>
      <c r="BG107" s="15">
        <v>0</v>
      </c>
      <c r="BH107" s="15">
        <v>102.06639334970019</v>
      </c>
      <c r="BI107" s="15">
        <v>0</v>
      </c>
      <c r="BJ107" s="15">
        <v>235.67593150523521</v>
      </c>
      <c r="BK107" s="51">
        <v>337.13612675416698</v>
      </c>
      <c r="BL107" s="51">
        <v>-364.03084435790197</v>
      </c>
      <c r="BM107" s="51">
        <v>0.53692231536192392</v>
      </c>
    </row>
    <row r="108" spans="1:65" x14ac:dyDescent="0.4">
      <c r="A108" s="15" t="s">
        <v>10682</v>
      </c>
      <c r="B108" s="15" t="s">
        <v>10437</v>
      </c>
      <c r="C108" s="15" t="s">
        <v>10618</v>
      </c>
      <c r="D108" s="15" t="s">
        <v>10305</v>
      </c>
      <c r="E108" s="15" t="s">
        <v>10790</v>
      </c>
      <c r="F108" s="15">
        <v>1963726</v>
      </c>
      <c r="G108" s="15">
        <v>0.89712450607071414</v>
      </c>
      <c r="H108" s="15">
        <v>200</v>
      </c>
      <c r="I108" s="119">
        <v>1000.4196683587008</v>
      </c>
      <c r="J108" s="120">
        <v>0.5271356118506727</v>
      </c>
      <c r="K108" s="15">
        <v>30</v>
      </c>
      <c r="L108" s="15">
        <v>549.78166614592033</v>
      </c>
      <c r="M108" s="15">
        <v>367.69531730562898</v>
      </c>
      <c r="N108" s="15">
        <v>8219979.275606934</v>
      </c>
      <c r="O108" s="15">
        <v>1158893.7781714434</v>
      </c>
      <c r="P108" s="15">
        <v>3240932.3288899241</v>
      </c>
      <c r="Q108" s="15">
        <v>3820153.1685455665</v>
      </c>
      <c r="R108" s="15">
        <v>655543.34722965304</v>
      </c>
      <c r="S108" s="15">
        <v>1616089.0254807011</v>
      </c>
      <c r="T108" s="15">
        <v>1548520.7958352126</v>
      </c>
      <c r="U108" s="15">
        <v>0</v>
      </c>
      <c r="V108" s="15">
        <v>0</v>
      </c>
      <c r="W108" s="15">
        <v>0</v>
      </c>
      <c r="X108" s="15">
        <v>0</v>
      </c>
      <c r="Y108" s="15">
        <v>1101.8794648353792</v>
      </c>
      <c r="Z108" s="15">
        <v>0</v>
      </c>
      <c r="AA108" s="15">
        <v>30.524000000000001</v>
      </c>
      <c r="AB108" s="15">
        <v>1072.8140000000001</v>
      </c>
      <c r="AC108" s="15">
        <v>-1.4585351646210911</v>
      </c>
      <c r="AD108" s="15">
        <v>101.45979647667832</v>
      </c>
      <c r="AE108" s="15">
        <v>-9.7227332189778464E-4</v>
      </c>
      <c r="AF108" s="15">
        <v>0</v>
      </c>
      <c r="AG108" s="15">
        <v>0</v>
      </c>
      <c r="AH108" s="15">
        <v>0</v>
      </c>
      <c r="AI108" s="15">
        <v>101.46076874999997</v>
      </c>
      <c r="AJ108" s="15">
        <v>0</v>
      </c>
      <c r="AK108" s="15">
        <v>0</v>
      </c>
      <c r="AL108" s="15">
        <v>0</v>
      </c>
      <c r="AM108" s="15">
        <v>0</v>
      </c>
      <c r="AN108" s="15">
        <v>-69.562804475157293</v>
      </c>
      <c r="AO108" s="15">
        <v>1000.4196683587008</v>
      </c>
      <c r="AP108" s="15">
        <v>0</v>
      </c>
      <c r="AQ108" s="15">
        <v>0</v>
      </c>
      <c r="AR108" s="15">
        <v>0</v>
      </c>
      <c r="AS108" s="15">
        <v>0</v>
      </c>
      <c r="AT108" s="15">
        <v>0</v>
      </c>
      <c r="AU108" s="15">
        <v>225.89703751103249</v>
      </c>
      <c r="AV108" s="15">
        <v>41.261868351815657</v>
      </c>
      <c r="AW108" s="15">
        <v>41.261868351815657</v>
      </c>
      <c r="AX108" s="15">
        <v>0</v>
      </c>
      <c r="AY108" s="15">
        <v>0</v>
      </c>
      <c r="AZ108" s="15">
        <v>27.398511535685699</v>
      </c>
      <c r="BA108" s="15">
        <v>0</v>
      </c>
      <c r="BB108" s="15">
        <v>11.416046473202377</v>
      </c>
      <c r="BC108" s="15">
        <v>15.982465062483325</v>
      </c>
      <c r="BD108" s="15">
        <v>0</v>
      </c>
      <c r="BE108" s="15">
        <v>157.23665762353113</v>
      </c>
      <c r="BF108" s="15">
        <v>55.170757060888121</v>
      </c>
      <c r="BG108" s="15">
        <v>0</v>
      </c>
      <c r="BH108" s="15">
        <v>102.06590056264301</v>
      </c>
      <c r="BI108" s="15">
        <v>0</v>
      </c>
      <c r="BJ108" s="15">
        <v>225.89703751103249</v>
      </c>
      <c r="BK108" s="15">
        <v>327.35683398771084</v>
      </c>
      <c r="BL108" s="15">
        <v>-362.56607449688158</v>
      </c>
      <c r="BM108" s="15">
        <v>0.5271356118506727</v>
      </c>
    </row>
    <row r="109" spans="1:65" x14ac:dyDescent="0.4">
      <c r="A109" s="15" t="s">
        <v>10682</v>
      </c>
      <c r="B109" s="15" t="s">
        <v>10437</v>
      </c>
      <c r="C109" s="15" t="s">
        <v>10618</v>
      </c>
      <c r="D109" s="15" t="s">
        <v>10306</v>
      </c>
      <c r="E109" s="15" t="s">
        <v>10791</v>
      </c>
      <c r="F109" s="15">
        <v>1963726</v>
      </c>
      <c r="G109" s="15">
        <v>0.89712450607071414</v>
      </c>
      <c r="H109" s="15">
        <v>200</v>
      </c>
      <c r="I109" s="119">
        <v>1000.3495198702713</v>
      </c>
      <c r="J109" s="120">
        <v>0.53730308561304418</v>
      </c>
      <c r="K109" s="15">
        <v>30</v>
      </c>
      <c r="L109" s="15">
        <v>1117.8797163063678</v>
      </c>
      <c r="M109" s="15">
        <v>377.66096264131778</v>
      </c>
      <c r="N109" s="15">
        <v>8219979.275606934</v>
      </c>
      <c r="O109" s="15">
        <v>1884121.9997100541</v>
      </c>
      <c r="P109" s="15">
        <v>2768489.020024416</v>
      </c>
      <c r="Q109" s="15">
        <v>3567368.2558724657</v>
      </c>
      <c r="R109" s="15">
        <v>655543.34722965304</v>
      </c>
      <c r="S109" s="15">
        <v>0</v>
      </c>
      <c r="T109" s="15">
        <v>2911824.9086428126</v>
      </c>
      <c r="U109" s="15">
        <v>0</v>
      </c>
      <c r="V109" s="15">
        <v>0</v>
      </c>
      <c r="W109" s="15">
        <v>0</v>
      </c>
      <c r="X109" s="15">
        <v>0</v>
      </c>
      <c r="Y109" s="15">
        <v>1101.8082726286109</v>
      </c>
      <c r="Z109" s="15">
        <v>0</v>
      </c>
      <c r="AA109" s="15">
        <v>30.524000000000001</v>
      </c>
      <c r="AB109" s="15">
        <v>1072.8140000000001</v>
      </c>
      <c r="AC109" s="15">
        <v>-1.5297273713893313</v>
      </c>
      <c r="AD109" s="15">
        <v>101.45875275833964</v>
      </c>
      <c r="AE109" s="15">
        <v>-2.01599166043896E-3</v>
      </c>
      <c r="AF109" s="15">
        <v>0</v>
      </c>
      <c r="AG109" s="15">
        <v>0</v>
      </c>
      <c r="AH109" s="15">
        <v>0</v>
      </c>
      <c r="AI109" s="15">
        <v>101.46076874999997</v>
      </c>
      <c r="AJ109" s="15">
        <v>0</v>
      </c>
      <c r="AK109" s="15">
        <v>0</v>
      </c>
      <c r="AL109" s="15">
        <v>0</v>
      </c>
      <c r="AM109" s="15">
        <v>0</v>
      </c>
      <c r="AN109" s="15">
        <v>-66.32472861238837</v>
      </c>
      <c r="AO109" s="15">
        <v>1000.3495198702713</v>
      </c>
      <c r="AP109" s="15">
        <v>0</v>
      </c>
      <c r="AQ109" s="15">
        <v>0</v>
      </c>
      <c r="AR109" s="15">
        <v>0</v>
      </c>
      <c r="AS109" s="15">
        <v>0</v>
      </c>
      <c r="AT109" s="15">
        <v>0</v>
      </c>
      <c r="AU109" s="15">
        <v>236.03213095948436</v>
      </c>
      <c r="AV109" s="15">
        <v>47.502535960107764</v>
      </c>
      <c r="AW109" s="15">
        <v>47.502535960107764</v>
      </c>
      <c r="AX109" s="15">
        <v>0</v>
      </c>
      <c r="AY109" s="15">
        <v>0</v>
      </c>
      <c r="AZ109" s="15">
        <v>31.291684065292522</v>
      </c>
      <c r="BA109" s="15">
        <v>0</v>
      </c>
      <c r="BB109" s="15">
        <v>13.038201693871885</v>
      </c>
      <c r="BC109" s="15">
        <v>18.253482371420638</v>
      </c>
      <c r="BD109" s="15">
        <v>0</v>
      </c>
      <c r="BE109" s="15">
        <v>157.23791093408408</v>
      </c>
      <c r="BF109" s="15">
        <v>55.171196818976881</v>
      </c>
      <c r="BG109" s="15">
        <v>0</v>
      </c>
      <c r="BH109" s="15">
        <v>102.06671411510722</v>
      </c>
      <c r="BI109" s="15">
        <v>0</v>
      </c>
      <c r="BJ109" s="15">
        <v>236.03213095948436</v>
      </c>
      <c r="BK109" s="15">
        <v>337.49088371782398</v>
      </c>
      <c r="BL109" s="15">
        <v>-352.36384023099697</v>
      </c>
      <c r="BM109" s="15">
        <v>0.53730308561304418</v>
      </c>
    </row>
    <row r="110" spans="1:65" x14ac:dyDescent="0.4">
      <c r="A110" s="15" t="s">
        <v>10682</v>
      </c>
      <c r="B110" s="15" t="s">
        <v>10437</v>
      </c>
      <c r="C110" s="15" t="s">
        <v>10618</v>
      </c>
      <c r="D110" s="15" t="s">
        <v>10307</v>
      </c>
      <c r="E110" s="15" t="s">
        <v>10792</v>
      </c>
      <c r="F110" s="15">
        <v>1963726</v>
      </c>
      <c r="G110" s="15">
        <v>0.89712450607071414</v>
      </c>
      <c r="H110" s="15">
        <v>200</v>
      </c>
      <c r="I110" s="119">
        <v>724.34345632765826</v>
      </c>
      <c r="J110" s="120">
        <v>1.1677003479148875</v>
      </c>
      <c r="K110" s="15">
        <v>30</v>
      </c>
      <c r="L110" s="15">
        <v>2457.089869561456</v>
      </c>
      <c r="M110" s="15">
        <v>363.95621276213581</v>
      </c>
      <c r="N110" s="15">
        <v>8219979.275606934</v>
      </c>
      <c r="O110" s="15">
        <v>6007158.8304082518</v>
      </c>
      <c r="P110" s="15">
        <v>1512887.1856754562</v>
      </c>
      <c r="Q110" s="15">
        <v>699933.25952322735</v>
      </c>
      <c r="R110" s="15">
        <v>699933.25952322735</v>
      </c>
      <c r="S110" s="15">
        <v>0</v>
      </c>
      <c r="T110" s="15">
        <v>0</v>
      </c>
      <c r="U110" s="15">
        <v>5357408210.8208227</v>
      </c>
      <c r="V110" s="15">
        <v>0</v>
      </c>
      <c r="W110" s="15">
        <v>0</v>
      </c>
      <c r="X110" s="15">
        <v>0</v>
      </c>
      <c r="Y110" s="15">
        <v>1101.5186352365758</v>
      </c>
      <c r="Z110" s="15">
        <v>0</v>
      </c>
      <c r="AA110" s="15">
        <v>30.524000000000001</v>
      </c>
      <c r="AB110" s="15">
        <v>1072.8140000000001</v>
      </c>
      <c r="AC110" s="15">
        <v>-1.8193647634243568</v>
      </c>
      <c r="AD110" s="15">
        <v>377.17517890891759</v>
      </c>
      <c r="AE110" s="15">
        <v>4.3029576016131339E-3</v>
      </c>
      <c r="AF110" s="15">
        <v>0</v>
      </c>
      <c r="AG110" s="15">
        <v>0</v>
      </c>
      <c r="AH110" s="15">
        <v>1.9202742741443247E-3</v>
      </c>
      <c r="AI110" s="15">
        <v>123.0003582294425</v>
      </c>
      <c r="AJ110" s="15">
        <v>254.16859744759918</v>
      </c>
      <c r="AK110" s="15">
        <v>0</v>
      </c>
      <c r="AL110" s="15">
        <v>0</v>
      </c>
      <c r="AM110" s="15">
        <v>0</v>
      </c>
      <c r="AN110" s="15">
        <v>-207.31146743713401</v>
      </c>
      <c r="AO110" s="15">
        <v>724.34345632765826</v>
      </c>
      <c r="AP110" s="15">
        <v>6.2232318757574588E-3</v>
      </c>
      <c r="AQ110" s="15">
        <v>4.3029576016131339E-3</v>
      </c>
      <c r="AR110" s="15">
        <v>0</v>
      </c>
      <c r="AS110" s="15">
        <v>0</v>
      </c>
      <c r="AT110" s="15">
        <v>1.9202742741443247E-3</v>
      </c>
      <c r="AU110" s="15">
        <v>268.6347038228854</v>
      </c>
      <c r="AV110" s="15">
        <v>69.313041684627791</v>
      </c>
      <c r="AW110" s="15">
        <v>69.313041684627791</v>
      </c>
      <c r="AX110" s="15">
        <v>0</v>
      </c>
      <c r="AY110" s="15">
        <v>0</v>
      </c>
      <c r="AZ110" s="15">
        <v>42.083357430895489</v>
      </c>
      <c r="BA110" s="15">
        <v>0</v>
      </c>
      <c r="BB110" s="15">
        <v>17.534732262873121</v>
      </c>
      <c r="BC110" s="15">
        <v>24.548625168022365</v>
      </c>
      <c r="BD110" s="15">
        <v>0</v>
      </c>
      <c r="BE110" s="15">
        <v>157.23830470736209</v>
      </c>
      <c r="BF110" s="15">
        <v>55.171334985039337</v>
      </c>
      <c r="BG110" s="15">
        <v>0</v>
      </c>
      <c r="BH110" s="15">
        <v>102.06696972232277</v>
      </c>
      <c r="BI110" s="15">
        <v>0</v>
      </c>
      <c r="BJ110" s="15">
        <v>268.64092705476116</v>
      </c>
      <c r="BK110" s="15">
        <v>645.81610596367875</v>
      </c>
      <c r="BL110" s="15">
        <v>-465.89638744663142</v>
      </c>
      <c r="BM110" s="15">
        <v>1.1677003479148875</v>
      </c>
    </row>
    <row r="111" spans="1:65" x14ac:dyDescent="0.4">
      <c r="A111" s="15" t="s">
        <v>10682</v>
      </c>
      <c r="B111" s="15" t="s">
        <v>10437</v>
      </c>
      <c r="C111" s="15" t="s">
        <v>10618</v>
      </c>
      <c r="D111" s="15" t="s">
        <v>10308</v>
      </c>
      <c r="E111" s="15" t="s">
        <v>10793</v>
      </c>
      <c r="F111" s="15">
        <v>1963726</v>
      </c>
      <c r="G111" s="15">
        <v>0.89712450607071414</v>
      </c>
      <c r="H111" s="15">
        <v>200</v>
      </c>
      <c r="I111" s="119">
        <v>724.34345632765826</v>
      </c>
      <c r="J111" s="120">
        <v>1.1677003479148875</v>
      </c>
      <c r="K111" s="15">
        <v>30</v>
      </c>
      <c r="L111" s="15">
        <v>2457.089869561456</v>
      </c>
      <c r="M111" s="15">
        <v>363.95621276213581</v>
      </c>
      <c r="N111" s="15">
        <v>8219979.275606934</v>
      </c>
      <c r="O111" s="15">
        <v>6007158.8304082518</v>
      </c>
      <c r="P111" s="15">
        <v>1512887.1856754562</v>
      </c>
      <c r="Q111" s="15">
        <v>699933.25952322735</v>
      </c>
      <c r="R111" s="15">
        <v>699933.25952322735</v>
      </c>
      <c r="S111" s="15">
        <v>0</v>
      </c>
      <c r="T111" s="15">
        <v>0</v>
      </c>
      <c r="U111" s="15">
        <v>5357408210.8208227</v>
      </c>
      <c r="V111" s="15">
        <v>0</v>
      </c>
      <c r="W111" s="15">
        <v>0</v>
      </c>
      <c r="X111" s="15">
        <v>0</v>
      </c>
      <c r="Y111" s="15">
        <v>1101.5186352365758</v>
      </c>
      <c r="Z111" s="15">
        <v>0</v>
      </c>
      <c r="AA111" s="15">
        <v>30.524000000000001</v>
      </c>
      <c r="AB111" s="15">
        <v>1072.8140000000001</v>
      </c>
      <c r="AC111" s="15">
        <v>-1.8193647634243568</v>
      </c>
      <c r="AD111" s="15">
        <v>377.17517890891759</v>
      </c>
      <c r="AE111" s="15">
        <v>4.3029576016131339E-3</v>
      </c>
      <c r="AF111" s="15">
        <v>0</v>
      </c>
      <c r="AG111" s="15">
        <v>0</v>
      </c>
      <c r="AH111" s="15">
        <v>1.9202742741443247E-3</v>
      </c>
      <c r="AI111" s="15">
        <v>123.0003582294425</v>
      </c>
      <c r="AJ111" s="15">
        <v>254.16859744759918</v>
      </c>
      <c r="AK111" s="15">
        <v>0</v>
      </c>
      <c r="AL111" s="15">
        <v>0</v>
      </c>
      <c r="AM111" s="15">
        <v>0</v>
      </c>
      <c r="AN111" s="15">
        <v>-207.31146743713401</v>
      </c>
      <c r="AO111" s="15">
        <v>724.34345632765826</v>
      </c>
      <c r="AP111" s="15">
        <v>6.2232318757574588E-3</v>
      </c>
      <c r="AQ111" s="15">
        <v>4.3029576016131339E-3</v>
      </c>
      <c r="AR111" s="15">
        <v>0</v>
      </c>
      <c r="AS111" s="15">
        <v>0</v>
      </c>
      <c r="AT111" s="15">
        <v>1.9202742741443247E-3</v>
      </c>
      <c r="AU111" s="15">
        <v>268.6347038228854</v>
      </c>
      <c r="AV111" s="15">
        <v>69.313041684627791</v>
      </c>
      <c r="AW111" s="15">
        <v>69.313041684627791</v>
      </c>
      <c r="AX111" s="15">
        <v>0</v>
      </c>
      <c r="AY111" s="15">
        <v>0</v>
      </c>
      <c r="AZ111" s="15">
        <v>42.083357430895489</v>
      </c>
      <c r="BA111" s="15">
        <v>0</v>
      </c>
      <c r="BB111" s="15">
        <v>17.534732262873121</v>
      </c>
      <c r="BC111" s="15">
        <v>24.548625168022365</v>
      </c>
      <c r="BD111" s="15">
        <v>0</v>
      </c>
      <c r="BE111" s="15">
        <v>157.23830470736209</v>
      </c>
      <c r="BF111" s="15">
        <v>55.171334985039337</v>
      </c>
      <c r="BG111" s="15">
        <v>0</v>
      </c>
      <c r="BH111" s="15">
        <v>102.06696972232277</v>
      </c>
      <c r="BI111" s="15">
        <v>0</v>
      </c>
      <c r="BJ111" s="15">
        <v>268.64092705476116</v>
      </c>
      <c r="BK111" s="15">
        <v>645.81610596367875</v>
      </c>
      <c r="BL111" s="15">
        <v>-465.89638744663142</v>
      </c>
      <c r="BM111" s="15">
        <v>1.1677003479148875</v>
      </c>
    </row>
    <row r="112" spans="1:65" s="56" customFormat="1" x14ac:dyDescent="0.4">
      <c r="A112" s="55" t="s">
        <v>10682</v>
      </c>
      <c r="B112" s="55" t="s">
        <v>10437</v>
      </c>
      <c r="C112" s="55" t="s">
        <v>10794</v>
      </c>
      <c r="D112" s="55" t="s">
        <v>10307</v>
      </c>
      <c r="E112" s="55" t="s">
        <v>10795</v>
      </c>
      <c r="F112" s="55">
        <v>1963726</v>
      </c>
      <c r="G112" s="55">
        <v>0.89712450607071414</v>
      </c>
      <c r="H112" s="55">
        <v>200</v>
      </c>
      <c r="I112" s="55">
        <v>724.34345632765826</v>
      </c>
      <c r="J112" s="92">
        <v>1.1677003479148875</v>
      </c>
      <c r="K112" s="55">
        <v>30</v>
      </c>
      <c r="L112" s="55">
        <v>2457.089869561456</v>
      </c>
      <c r="M112" s="55">
        <v>363.95621276213581</v>
      </c>
      <c r="N112" s="55">
        <v>8219979.275606934</v>
      </c>
      <c r="O112" s="55">
        <v>6007158.8304082518</v>
      </c>
      <c r="P112" s="55">
        <v>1512887.1856754562</v>
      </c>
      <c r="Q112" s="55">
        <v>699933.25952322735</v>
      </c>
      <c r="R112" s="55">
        <v>699933.25952322735</v>
      </c>
      <c r="S112" s="55">
        <v>0</v>
      </c>
      <c r="T112" s="55">
        <v>0</v>
      </c>
      <c r="U112" s="55">
        <v>5357408210.8208227</v>
      </c>
      <c r="V112" s="55">
        <v>0</v>
      </c>
      <c r="W112" s="55">
        <v>0</v>
      </c>
      <c r="X112" s="55">
        <v>0</v>
      </c>
      <c r="Y112" s="55">
        <v>1101.5186352365758</v>
      </c>
      <c r="Z112" s="55">
        <v>0</v>
      </c>
      <c r="AA112" s="55">
        <v>30.524000000000001</v>
      </c>
      <c r="AB112" s="55">
        <v>1072.8140000000001</v>
      </c>
      <c r="AC112" s="55">
        <v>-1.8193647634243568</v>
      </c>
      <c r="AD112" s="55">
        <v>377.17517890891759</v>
      </c>
      <c r="AE112" s="55">
        <v>4.3029576016131339E-3</v>
      </c>
      <c r="AF112" s="55">
        <v>0</v>
      </c>
      <c r="AG112" s="55">
        <v>0</v>
      </c>
      <c r="AH112" s="55">
        <v>1.9202742741443247E-3</v>
      </c>
      <c r="AI112" s="55">
        <v>123.0003582294425</v>
      </c>
      <c r="AJ112" s="55">
        <v>254.16859744759918</v>
      </c>
      <c r="AK112" s="55">
        <v>0</v>
      </c>
      <c r="AL112" s="55">
        <v>0</v>
      </c>
      <c r="AM112" s="55">
        <v>0</v>
      </c>
      <c r="AN112" s="55">
        <v>-207.31146743713401</v>
      </c>
      <c r="AO112" s="55">
        <v>724.34345632765826</v>
      </c>
      <c r="AP112" s="55">
        <v>6.2232318757574588E-3</v>
      </c>
      <c r="AQ112" s="55">
        <v>4.3029576016131339E-3</v>
      </c>
      <c r="AR112" s="55">
        <v>0</v>
      </c>
      <c r="AS112" s="55">
        <v>0</v>
      </c>
      <c r="AT112" s="55">
        <v>1.9202742741443247E-3</v>
      </c>
      <c r="AU112" s="55">
        <v>268.6347038228854</v>
      </c>
      <c r="AV112" s="55">
        <v>69.313041684627791</v>
      </c>
      <c r="AW112" s="55">
        <v>69.313041684627791</v>
      </c>
      <c r="AX112" s="55">
        <v>0</v>
      </c>
      <c r="AY112" s="55">
        <v>0</v>
      </c>
      <c r="AZ112" s="55">
        <v>42.083357430895489</v>
      </c>
      <c r="BA112" s="55">
        <v>0</v>
      </c>
      <c r="BB112" s="55">
        <v>17.534732262873121</v>
      </c>
      <c r="BC112" s="55">
        <v>24.548625168022365</v>
      </c>
      <c r="BD112" s="55">
        <v>0</v>
      </c>
      <c r="BE112" s="55">
        <v>157.23830470736209</v>
      </c>
      <c r="BF112" s="55">
        <v>55.171334985039337</v>
      </c>
      <c r="BG112" s="55">
        <v>0</v>
      </c>
      <c r="BH112" s="55">
        <v>102.06696972232277</v>
      </c>
      <c r="BI112" s="55">
        <v>0</v>
      </c>
      <c r="BJ112" s="55">
        <v>268.64092705476116</v>
      </c>
      <c r="BK112" s="55">
        <v>645.81610596367875</v>
      </c>
      <c r="BL112" s="55">
        <v>-465.89638744663142</v>
      </c>
      <c r="BM112" s="55">
        <v>1.1677003479148875</v>
      </c>
    </row>
    <row r="113" spans="1:65" s="56" customFormat="1" x14ac:dyDescent="0.4">
      <c r="A113" s="15" t="s">
        <v>10682</v>
      </c>
      <c r="B113" s="15" t="s">
        <v>10437</v>
      </c>
      <c r="C113" s="15" t="s">
        <v>10619</v>
      </c>
      <c r="D113" s="15" t="s">
        <v>10302</v>
      </c>
      <c r="E113" s="15" t="s">
        <v>10796</v>
      </c>
      <c r="F113" s="15">
        <v>772545</v>
      </c>
      <c r="G113" s="15">
        <v>0.89712457766125608</v>
      </c>
      <c r="H113" s="15">
        <v>200</v>
      </c>
      <c r="I113" s="119">
        <v>884.57282639848449</v>
      </c>
      <c r="J113" s="120">
        <v>0.67893720847375949</v>
      </c>
      <c r="K113" s="15">
        <v>30</v>
      </c>
      <c r="L113" s="15">
        <v>442.01972734931405</v>
      </c>
      <c r="M113" s="15">
        <v>64.864864723390966</v>
      </c>
      <c r="N113" s="15">
        <v>3233803.6957437308</v>
      </c>
      <c r="O113" s="15">
        <v>604266.94168482558</v>
      </c>
      <c r="P113" s="15">
        <v>1222026.1208392181</v>
      </c>
      <c r="Q113" s="15">
        <v>1407510.6332196873</v>
      </c>
      <c r="R113" s="15">
        <v>257895.84473556257</v>
      </c>
      <c r="S113" s="15">
        <v>540414.67926144158</v>
      </c>
      <c r="T113" s="15">
        <v>609200.10922268289</v>
      </c>
      <c r="U113" s="15">
        <v>0</v>
      </c>
      <c r="V113" s="15">
        <v>392698892.07485735</v>
      </c>
      <c r="W113" s="15">
        <v>0</v>
      </c>
      <c r="X113" s="15">
        <v>0</v>
      </c>
      <c r="Y113" s="15">
        <v>1030.4374144920153</v>
      </c>
      <c r="Z113" s="15">
        <v>0</v>
      </c>
      <c r="AA113" s="15">
        <v>1035.6300000000001</v>
      </c>
      <c r="AB113" s="15">
        <v>0</v>
      </c>
      <c r="AC113" s="15">
        <v>-5.1925855079848944</v>
      </c>
      <c r="AD113" s="15">
        <v>145.86458809353076</v>
      </c>
      <c r="AE113" s="15">
        <v>1.4296815683635358E-3</v>
      </c>
      <c r="AF113" s="15">
        <v>0</v>
      </c>
      <c r="AG113" s="15">
        <v>0</v>
      </c>
      <c r="AH113" s="15">
        <v>3.1565159181445091E-3</v>
      </c>
      <c r="AI113" s="15">
        <v>101.46076874999999</v>
      </c>
      <c r="AJ113" s="15">
        <v>44.39923314604426</v>
      </c>
      <c r="AK113" s="15">
        <v>0</v>
      </c>
      <c r="AL113" s="15">
        <v>0</v>
      </c>
      <c r="AM113" s="15">
        <v>0</v>
      </c>
      <c r="AN113" s="15">
        <v>-28.090936176058651</v>
      </c>
      <c r="AO113" s="15">
        <v>884.57282639848449</v>
      </c>
      <c r="AP113" s="15">
        <v>4.586197486508045E-3</v>
      </c>
      <c r="AQ113" s="15">
        <v>1.4296815683635358E-3</v>
      </c>
      <c r="AR113" s="15">
        <v>0</v>
      </c>
      <c r="AS113" s="15">
        <v>0</v>
      </c>
      <c r="AT113" s="15">
        <v>3.1565159181445091E-3</v>
      </c>
      <c r="AU113" s="15">
        <v>254.70023115571331</v>
      </c>
      <c r="AV113" s="15">
        <v>56.852144906917204</v>
      </c>
      <c r="AW113" s="15">
        <v>56.852144906917204</v>
      </c>
      <c r="AX113" s="15">
        <v>0</v>
      </c>
      <c r="AY113" s="15">
        <v>0</v>
      </c>
      <c r="AZ113" s="15">
        <v>50.26538305870848</v>
      </c>
      <c r="BA113" s="15">
        <v>0</v>
      </c>
      <c r="BB113" s="15">
        <v>20.943909607795199</v>
      </c>
      <c r="BC113" s="15">
        <v>29.321473450913278</v>
      </c>
      <c r="BD113" s="15">
        <v>0</v>
      </c>
      <c r="BE113" s="15">
        <v>147.58270319008761</v>
      </c>
      <c r="BF113" s="15">
        <v>51.783404628100918</v>
      </c>
      <c r="BG113" s="15">
        <v>0</v>
      </c>
      <c r="BH113" s="15">
        <v>95.799298561986689</v>
      </c>
      <c r="BI113" s="15">
        <v>0</v>
      </c>
      <c r="BJ113" s="15">
        <v>254.70481735319981</v>
      </c>
      <c r="BK113" s="55">
        <v>400.56940544673057</v>
      </c>
      <c r="BL113" s="55">
        <v>-116.65903046241711</v>
      </c>
      <c r="BM113" s="55">
        <v>0.67893720847375949</v>
      </c>
    </row>
    <row r="114" spans="1:65" s="52" customFormat="1" x14ac:dyDescent="0.4">
      <c r="A114" s="15" t="s">
        <v>10682</v>
      </c>
      <c r="B114" s="15" t="s">
        <v>10437</v>
      </c>
      <c r="C114" s="15" t="s">
        <v>10619</v>
      </c>
      <c r="D114" s="15" t="s">
        <v>10303</v>
      </c>
      <c r="E114" s="15" t="s">
        <v>10797</v>
      </c>
      <c r="F114" s="15">
        <v>772545</v>
      </c>
      <c r="G114" s="15">
        <v>0.89712457766125608</v>
      </c>
      <c r="H114" s="15">
        <v>200</v>
      </c>
      <c r="I114" s="119">
        <v>928.97593022995443</v>
      </c>
      <c r="J114" s="120">
        <v>0.59868345124198952</v>
      </c>
      <c r="K114" s="15">
        <v>30</v>
      </c>
      <c r="L114" s="15">
        <v>442.01972734931405</v>
      </c>
      <c r="M114" s="15">
        <v>64.864864723390966</v>
      </c>
      <c r="N114" s="15">
        <v>3233803.6957437308</v>
      </c>
      <c r="O114" s="15">
        <v>604266.94168482558</v>
      </c>
      <c r="P114" s="15">
        <v>1222026.1208392181</v>
      </c>
      <c r="Q114" s="15">
        <v>1407510.6332196873</v>
      </c>
      <c r="R114" s="15">
        <v>257895.84473556257</v>
      </c>
      <c r="S114" s="15">
        <v>540414.67926144158</v>
      </c>
      <c r="T114" s="15">
        <v>609200.10922268289</v>
      </c>
      <c r="U114" s="15">
        <v>0</v>
      </c>
      <c r="V114" s="15">
        <v>0</v>
      </c>
      <c r="W114" s="15">
        <v>98174723.018714339</v>
      </c>
      <c r="X114" s="15">
        <v>0</v>
      </c>
      <c r="Y114" s="15">
        <v>1030.4374144920153</v>
      </c>
      <c r="Z114" s="15">
        <v>0</v>
      </c>
      <c r="AA114" s="15">
        <v>1035.6300000000001</v>
      </c>
      <c r="AB114" s="15">
        <v>0</v>
      </c>
      <c r="AC114" s="15">
        <v>-5.1925855079848944</v>
      </c>
      <c r="AD114" s="15">
        <v>101.46148426206082</v>
      </c>
      <c r="AE114" s="15">
        <v>-1.6245566793245305E-3</v>
      </c>
      <c r="AF114" s="15">
        <v>1.8753597260156091E-4</v>
      </c>
      <c r="AG114" s="15">
        <v>4.0488112271998966E-4</v>
      </c>
      <c r="AH114" s="15">
        <v>0</v>
      </c>
      <c r="AI114" s="15">
        <v>101.46076874999999</v>
      </c>
      <c r="AJ114" s="15">
        <v>0</v>
      </c>
      <c r="AK114" s="15">
        <v>1.7476516451248572E-3</v>
      </c>
      <c r="AL114" s="15">
        <v>0</v>
      </c>
      <c r="AM114" s="15">
        <v>0</v>
      </c>
      <c r="AN114" s="15">
        <v>-19.539684826766646</v>
      </c>
      <c r="AO114" s="15">
        <v>928.97593022995443</v>
      </c>
      <c r="AP114" s="15">
        <v>0</v>
      </c>
      <c r="AQ114" s="15">
        <v>0</v>
      </c>
      <c r="AR114" s="15">
        <v>0</v>
      </c>
      <c r="AS114" s="15">
        <v>0</v>
      </c>
      <c r="AT114" s="15">
        <v>0</v>
      </c>
      <c r="AU114" s="15">
        <v>254.70103176874585</v>
      </c>
      <c r="AV114" s="15">
        <v>56.852144906917204</v>
      </c>
      <c r="AW114" s="15">
        <v>56.852144906917204</v>
      </c>
      <c r="AX114" s="15">
        <v>0</v>
      </c>
      <c r="AY114" s="15">
        <v>0</v>
      </c>
      <c r="AZ114" s="15">
        <v>50.26538305870848</v>
      </c>
      <c r="BA114" s="15">
        <v>0</v>
      </c>
      <c r="BB114" s="15">
        <v>20.943909607795199</v>
      </c>
      <c r="BC114" s="15">
        <v>29.321473450913278</v>
      </c>
      <c r="BD114" s="15">
        <v>0</v>
      </c>
      <c r="BE114" s="15">
        <v>147.58350380312018</v>
      </c>
      <c r="BF114" s="15">
        <v>51.783685544954452</v>
      </c>
      <c r="BG114" s="15">
        <v>0</v>
      </c>
      <c r="BH114" s="15">
        <v>95.799818258165729</v>
      </c>
      <c r="BI114" s="15">
        <v>0</v>
      </c>
      <c r="BJ114" s="15">
        <v>254.70103176874585</v>
      </c>
      <c r="BK114" s="51">
        <v>356.16251603080667</v>
      </c>
      <c r="BL114" s="51">
        <v>-108.10705007660793</v>
      </c>
      <c r="BM114" s="51">
        <v>0.59868345124198952</v>
      </c>
    </row>
    <row r="115" spans="1:65" s="56" customFormat="1" x14ac:dyDescent="0.4">
      <c r="A115" s="15" t="s">
        <v>10682</v>
      </c>
      <c r="B115" s="15" t="s">
        <v>10437</v>
      </c>
      <c r="C115" s="15" t="s">
        <v>10619</v>
      </c>
      <c r="D115" s="15" t="s">
        <v>10304</v>
      </c>
      <c r="E115" s="15" t="s">
        <v>10798</v>
      </c>
      <c r="F115" s="15">
        <v>772545</v>
      </c>
      <c r="G115" s="15">
        <v>0.89712457766125608</v>
      </c>
      <c r="H115" s="15">
        <v>200</v>
      </c>
      <c r="I115" s="119">
        <v>928.97652264704971</v>
      </c>
      <c r="J115" s="120">
        <v>0.5986825226200605</v>
      </c>
      <c r="K115" s="15">
        <v>30</v>
      </c>
      <c r="L115" s="15">
        <v>442.01972734931405</v>
      </c>
      <c r="M115" s="15">
        <v>64.864864723390966</v>
      </c>
      <c r="N115" s="15">
        <v>3233803.6957437308</v>
      </c>
      <c r="O115" s="15">
        <v>604266.94168482558</v>
      </c>
      <c r="P115" s="15">
        <v>1222026.1208392181</v>
      </c>
      <c r="Q115" s="15">
        <v>1407510.6332196873</v>
      </c>
      <c r="R115" s="15">
        <v>257895.84473556257</v>
      </c>
      <c r="S115" s="15">
        <v>540414.67926144158</v>
      </c>
      <c r="T115" s="15">
        <v>609200.10922268289</v>
      </c>
      <c r="U115" s="15">
        <v>0</v>
      </c>
      <c r="V115" s="15">
        <v>0</v>
      </c>
      <c r="W115" s="15">
        <v>0</v>
      </c>
      <c r="X115" s="15">
        <v>98174723018.71434</v>
      </c>
      <c r="Y115" s="15">
        <v>1030.4374144920153</v>
      </c>
      <c r="Z115" s="15">
        <v>0</v>
      </c>
      <c r="AA115" s="15">
        <v>1035.6300000000001</v>
      </c>
      <c r="AB115" s="15">
        <v>0</v>
      </c>
      <c r="AC115" s="15">
        <v>-5.1925855079848944</v>
      </c>
      <c r="AD115" s="15">
        <v>101.46089184496554</v>
      </c>
      <c r="AE115" s="15">
        <v>-1.6245566793245305E-3</v>
      </c>
      <c r="AF115" s="15">
        <v>0</v>
      </c>
      <c r="AG115" s="15">
        <v>0</v>
      </c>
      <c r="AH115" s="15">
        <v>0</v>
      </c>
      <c r="AI115" s="15">
        <v>101.46076874999999</v>
      </c>
      <c r="AJ115" s="15">
        <v>0</v>
      </c>
      <c r="AK115" s="15">
        <v>1.7476516451248572E-3</v>
      </c>
      <c r="AL115" s="15">
        <v>0</v>
      </c>
      <c r="AM115" s="15">
        <v>0</v>
      </c>
      <c r="AN115" s="15">
        <v>-19.539570737726734</v>
      </c>
      <c r="AO115" s="15">
        <v>928.97652264704971</v>
      </c>
      <c r="AP115" s="15">
        <v>0</v>
      </c>
      <c r="AQ115" s="15">
        <v>0</v>
      </c>
      <c r="AR115" s="15">
        <v>0</v>
      </c>
      <c r="AS115" s="15">
        <v>0</v>
      </c>
      <c r="AT115" s="15">
        <v>0</v>
      </c>
      <c r="AU115" s="15">
        <v>254.70111618818197</v>
      </c>
      <c r="AV115" s="15">
        <v>56.852144906917204</v>
      </c>
      <c r="AW115" s="15">
        <v>56.852144906917204</v>
      </c>
      <c r="AX115" s="15">
        <v>0</v>
      </c>
      <c r="AY115" s="15">
        <v>0</v>
      </c>
      <c r="AZ115" s="15">
        <v>50.26538305870848</v>
      </c>
      <c r="BA115" s="15">
        <v>0</v>
      </c>
      <c r="BB115" s="15">
        <v>20.943909607795199</v>
      </c>
      <c r="BC115" s="15">
        <v>29.321473450913278</v>
      </c>
      <c r="BD115" s="15">
        <v>0</v>
      </c>
      <c r="BE115" s="15">
        <v>147.58358822255627</v>
      </c>
      <c r="BF115" s="15">
        <v>51.783715165809213</v>
      </c>
      <c r="BG115" s="15">
        <v>0</v>
      </c>
      <c r="BH115" s="15">
        <v>95.799873056747046</v>
      </c>
      <c r="BI115" s="15">
        <v>0</v>
      </c>
      <c r="BJ115" s="15">
        <v>254.70111618818197</v>
      </c>
      <c r="BK115" s="55">
        <v>356.16200803314752</v>
      </c>
      <c r="BL115" s="55">
        <v>-108.10695224525618</v>
      </c>
      <c r="BM115" s="55">
        <v>0.5986825226200605</v>
      </c>
    </row>
    <row r="116" spans="1:65" x14ac:dyDescent="0.4">
      <c r="A116" s="15" t="s">
        <v>10682</v>
      </c>
      <c r="B116" s="15" t="s">
        <v>10437</v>
      </c>
      <c r="C116" s="15" t="s">
        <v>10619</v>
      </c>
      <c r="D116" s="15" t="s">
        <v>10305</v>
      </c>
      <c r="E116" s="15" t="s">
        <v>10799</v>
      </c>
      <c r="F116" s="15">
        <v>772545</v>
      </c>
      <c r="G116" s="15">
        <v>0.89712457766125608</v>
      </c>
      <c r="H116" s="15">
        <v>200</v>
      </c>
      <c r="I116" s="119">
        <v>929.04766087879034</v>
      </c>
      <c r="J116" s="120">
        <v>0.57981811368130809</v>
      </c>
      <c r="K116" s="15">
        <v>30</v>
      </c>
      <c r="L116" s="15">
        <v>312.07023208845737</v>
      </c>
      <c r="M116" s="15">
        <v>53.7641131873199</v>
      </c>
      <c r="N116" s="15">
        <v>3233803.6957437308</v>
      </c>
      <c r="O116" s="15">
        <v>455917.81404442986</v>
      </c>
      <c r="P116" s="15">
        <v>1275007.9521393594</v>
      </c>
      <c r="Q116" s="15">
        <v>1502877.9295599414</v>
      </c>
      <c r="R116" s="15">
        <v>257895.84473556257</v>
      </c>
      <c r="S116" s="15">
        <v>635781.97560169618</v>
      </c>
      <c r="T116" s="15">
        <v>609200.10922268289</v>
      </c>
      <c r="U116" s="15">
        <v>0</v>
      </c>
      <c r="V116" s="15">
        <v>0</v>
      </c>
      <c r="W116" s="15">
        <v>0</v>
      </c>
      <c r="X116" s="15">
        <v>0</v>
      </c>
      <c r="Y116" s="15">
        <v>1030.5070649235536</v>
      </c>
      <c r="Z116" s="15">
        <v>0</v>
      </c>
      <c r="AA116" s="15">
        <v>1035.6300000000001</v>
      </c>
      <c r="AB116" s="15">
        <v>0</v>
      </c>
      <c r="AC116" s="15">
        <v>-5.1229350764466259</v>
      </c>
      <c r="AD116" s="15">
        <v>101.45940404476323</v>
      </c>
      <c r="AE116" s="15">
        <v>-1.36470523667965E-3</v>
      </c>
      <c r="AF116" s="15">
        <v>0</v>
      </c>
      <c r="AG116" s="15">
        <v>0</v>
      </c>
      <c r="AH116" s="15">
        <v>0</v>
      </c>
      <c r="AI116" s="15">
        <v>101.46076874999999</v>
      </c>
      <c r="AJ116" s="15">
        <v>0</v>
      </c>
      <c r="AK116" s="15">
        <v>0</v>
      </c>
      <c r="AL116" s="15">
        <v>0</v>
      </c>
      <c r="AM116" s="15">
        <v>0</v>
      </c>
      <c r="AN116" s="15">
        <v>-19.804936531644977</v>
      </c>
      <c r="AO116" s="15">
        <v>929.04766087879034</v>
      </c>
      <c r="AP116" s="15">
        <v>0</v>
      </c>
      <c r="AQ116" s="15">
        <v>0</v>
      </c>
      <c r="AR116" s="15">
        <v>0</v>
      </c>
      <c r="AS116" s="15">
        <v>0</v>
      </c>
      <c r="AT116" s="15">
        <v>0</v>
      </c>
      <c r="AU116" s="15">
        <v>237.21925820600859</v>
      </c>
      <c r="AV116" s="15">
        <v>54.530037047430554</v>
      </c>
      <c r="AW116" s="15">
        <v>54.530037047430554</v>
      </c>
      <c r="AX116" s="15">
        <v>0</v>
      </c>
      <c r="AY116" s="15">
        <v>0</v>
      </c>
      <c r="AZ116" s="15">
        <v>35.106876780315218</v>
      </c>
      <c r="BA116" s="15">
        <v>0</v>
      </c>
      <c r="BB116" s="15">
        <v>14.62786532513134</v>
      </c>
      <c r="BC116" s="15">
        <v>20.479011455183876</v>
      </c>
      <c r="BD116" s="15">
        <v>0</v>
      </c>
      <c r="BE116" s="15">
        <v>147.5823443782628</v>
      </c>
      <c r="BF116" s="15">
        <v>51.783278729215027</v>
      </c>
      <c r="BG116" s="15">
        <v>0</v>
      </c>
      <c r="BH116" s="15">
        <v>95.79906564904779</v>
      </c>
      <c r="BI116" s="15">
        <v>0</v>
      </c>
      <c r="BJ116" s="15">
        <v>237.21925820600859</v>
      </c>
      <c r="BK116" s="15">
        <v>338.67866225077182</v>
      </c>
      <c r="BL116" s="15">
        <v>-106.15039800668536</v>
      </c>
      <c r="BM116" s="15">
        <v>0.57981811368130809</v>
      </c>
    </row>
    <row r="117" spans="1:65" x14ac:dyDescent="0.4">
      <c r="A117" s="15" t="s">
        <v>10682</v>
      </c>
      <c r="B117" s="15" t="s">
        <v>10437</v>
      </c>
      <c r="C117" s="15" t="s">
        <v>10619</v>
      </c>
      <c r="D117" s="15" t="s">
        <v>10306</v>
      </c>
      <c r="E117" s="15" t="s">
        <v>10800</v>
      </c>
      <c r="F117" s="15">
        <v>772545</v>
      </c>
      <c r="G117" s="15">
        <v>0.89712457766125608</v>
      </c>
      <c r="H117" s="15">
        <v>200</v>
      </c>
      <c r="I117" s="119">
        <v>928.75465388627867</v>
      </c>
      <c r="J117" s="120">
        <v>0.59082883532192387</v>
      </c>
      <c r="K117" s="15">
        <v>30</v>
      </c>
      <c r="L117" s="15">
        <v>478.18003568948973</v>
      </c>
      <c r="M117" s="15">
        <v>66.079953111701499</v>
      </c>
      <c r="N117" s="15">
        <v>3233803.6957437308</v>
      </c>
      <c r="O117" s="15">
        <v>741228.22961065988</v>
      </c>
      <c r="P117" s="15">
        <v>1089145.0847264887</v>
      </c>
      <c r="Q117" s="15">
        <v>1403430.3814065827</v>
      </c>
      <c r="R117" s="15">
        <v>257895.84473556257</v>
      </c>
      <c r="S117" s="15">
        <v>0</v>
      </c>
      <c r="T117" s="15">
        <v>1145534.5366710201</v>
      </c>
      <c r="U117" s="15">
        <v>0</v>
      </c>
      <c r="V117" s="15">
        <v>0</v>
      </c>
      <c r="W117" s="15">
        <v>0</v>
      </c>
      <c r="X117" s="15">
        <v>0</v>
      </c>
      <c r="Y117" s="15">
        <v>1030.2142231877851</v>
      </c>
      <c r="Z117" s="15">
        <v>0</v>
      </c>
      <c r="AA117" s="15">
        <v>1035.6300000000001</v>
      </c>
      <c r="AB117" s="15">
        <v>0</v>
      </c>
      <c r="AC117" s="15">
        <v>-5.415776812215058</v>
      </c>
      <c r="AD117" s="15">
        <v>101.45956930150646</v>
      </c>
      <c r="AE117" s="15">
        <v>-1.1994484935361172E-3</v>
      </c>
      <c r="AF117" s="15">
        <v>0</v>
      </c>
      <c r="AG117" s="15">
        <v>0</v>
      </c>
      <c r="AH117" s="15">
        <v>0</v>
      </c>
      <c r="AI117" s="15">
        <v>101.46076874999999</v>
      </c>
      <c r="AJ117" s="15">
        <v>0</v>
      </c>
      <c r="AK117" s="15">
        <v>0</v>
      </c>
      <c r="AL117" s="15">
        <v>0</v>
      </c>
      <c r="AM117" s="15">
        <v>0</v>
      </c>
      <c r="AN117" s="15">
        <v>-18.734075058755863</v>
      </c>
      <c r="AO117" s="15">
        <v>928.75465388627867</v>
      </c>
      <c r="AP117" s="15">
        <v>0</v>
      </c>
      <c r="AQ117" s="15">
        <v>0</v>
      </c>
      <c r="AR117" s="15">
        <v>0</v>
      </c>
      <c r="AS117" s="15">
        <v>0</v>
      </c>
      <c r="AT117" s="15">
        <v>0</v>
      </c>
      <c r="AU117" s="15">
        <v>247.27546115394006</v>
      </c>
      <c r="AV117" s="15">
        <v>63.198616947698774</v>
      </c>
      <c r="AW117" s="15">
        <v>63.198616947698774</v>
      </c>
      <c r="AX117" s="15">
        <v>0</v>
      </c>
      <c r="AY117" s="15">
        <v>0</v>
      </c>
      <c r="AZ117" s="15">
        <v>36.493180808156382</v>
      </c>
      <c r="BA117" s="15">
        <v>0</v>
      </c>
      <c r="BB117" s="15">
        <v>15.205492003398492</v>
      </c>
      <c r="BC117" s="15">
        <v>21.287688804757888</v>
      </c>
      <c r="BD117" s="15">
        <v>0</v>
      </c>
      <c r="BE117" s="15">
        <v>147.58366339808489</v>
      </c>
      <c r="BF117" s="15">
        <v>51.783741543187688</v>
      </c>
      <c r="BG117" s="15">
        <v>0</v>
      </c>
      <c r="BH117" s="15">
        <v>95.799921854897207</v>
      </c>
      <c r="BI117" s="15">
        <v>0</v>
      </c>
      <c r="BJ117" s="15">
        <v>247.27546115394006</v>
      </c>
      <c r="BK117" s="15">
        <v>348.73503045544652</v>
      </c>
      <c r="BL117" s="15">
        <v>-102.32157389089552</v>
      </c>
      <c r="BM117" s="15">
        <v>0.59082883532192387</v>
      </c>
    </row>
    <row r="118" spans="1:65" x14ac:dyDescent="0.4">
      <c r="A118" s="15" t="s">
        <v>10682</v>
      </c>
      <c r="B118" s="15" t="s">
        <v>10437</v>
      </c>
      <c r="C118" s="15" t="s">
        <v>10619</v>
      </c>
      <c r="D118" s="15" t="s">
        <v>10307</v>
      </c>
      <c r="E118" s="15" t="s">
        <v>10801</v>
      </c>
      <c r="F118" s="15">
        <v>772545</v>
      </c>
      <c r="G118" s="15">
        <v>0.89712457766125608</v>
      </c>
      <c r="H118" s="15">
        <v>200</v>
      </c>
      <c r="I118" s="119">
        <v>652.03345105558401</v>
      </c>
      <c r="J118" s="120">
        <v>1.3386847696838209</v>
      </c>
      <c r="K118" s="15">
        <v>30</v>
      </c>
      <c r="L118" s="15">
        <v>1044.3905914212166</v>
      </c>
      <c r="M118" s="15">
        <v>107.90266087286879</v>
      </c>
      <c r="N118" s="15">
        <v>3233803.6957437308</v>
      </c>
      <c r="O118" s="15">
        <v>2363262.9445114313</v>
      </c>
      <c r="P118" s="15">
        <v>595181.57020163361</v>
      </c>
      <c r="Q118" s="15">
        <v>275359.18103066558</v>
      </c>
      <c r="R118" s="15">
        <v>275359.18103066558</v>
      </c>
      <c r="S118" s="15">
        <v>0</v>
      </c>
      <c r="T118" s="15">
        <v>0</v>
      </c>
      <c r="U118" s="15">
        <v>2107646003.8253543</v>
      </c>
      <c r="V118" s="15">
        <v>0</v>
      </c>
      <c r="W118" s="15">
        <v>0</v>
      </c>
      <c r="X118" s="15">
        <v>0</v>
      </c>
      <c r="Y118" s="15">
        <v>1029.2114282038938</v>
      </c>
      <c r="Z118" s="15">
        <v>0</v>
      </c>
      <c r="AA118" s="15">
        <v>1035.6300000000001</v>
      </c>
      <c r="AB118" s="15">
        <v>0</v>
      </c>
      <c r="AC118" s="15">
        <v>-6.4185717961063746</v>
      </c>
      <c r="AD118" s="15">
        <v>377.17797714830976</v>
      </c>
      <c r="AE118" s="15">
        <v>4.4680191499986968E-3</v>
      </c>
      <c r="AF118" s="15">
        <v>0</v>
      </c>
      <c r="AG118" s="15">
        <v>0</v>
      </c>
      <c r="AH118" s="15">
        <v>4.8811586552847909E-3</v>
      </c>
      <c r="AI118" s="15">
        <v>123.00035822944253</v>
      </c>
      <c r="AJ118" s="15">
        <v>254.16826974106195</v>
      </c>
      <c r="AK118" s="15">
        <v>0</v>
      </c>
      <c r="AL118" s="15">
        <v>0</v>
      </c>
      <c r="AM118" s="15">
        <v>0</v>
      </c>
      <c r="AN118" s="15">
        <v>-58.763536364446836</v>
      </c>
      <c r="AO118" s="15">
        <v>652.03345105558401</v>
      </c>
      <c r="AP118" s="15">
        <v>9.3491778052834876E-3</v>
      </c>
      <c r="AQ118" s="15">
        <v>4.4680191499986968E-3</v>
      </c>
      <c r="AR118" s="15">
        <v>0</v>
      </c>
      <c r="AS118" s="15">
        <v>0</v>
      </c>
      <c r="AT118" s="15">
        <v>4.8811586552847909E-3</v>
      </c>
      <c r="AU118" s="15">
        <v>295.67992392637632</v>
      </c>
      <c r="AV118" s="15">
        <v>92.567807926695409</v>
      </c>
      <c r="AW118" s="15">
        <v>92.567807926695409</v>
      </c>
      <c r="AX118" s="15">
        <v>0</v>
      </c>
      <c r="AY118" s="15">
        <v>0</v>
      </c>
      <c r="AZ118" s="15">
        <v>55.5248438185493</v>
      </c>
      <c r="BA118" s="15">
        <v>0</v>
      </c>
      <c r="BB118" s="15">
        <v>23.135351591062207</v>
      </c>
      <c r="BC118" s="15">
        <v>32.389492227487089</v>
      </c>
      <c r="BD118" s="15">
        <v>0</v>
      </c>
      <c r="BE118" s="15">
        <v>147.58727218113157</v>
      </c>
      <c r="BF118" s="15">
        <v>51.785007782853178</v>
      </c>
      <c r="BG118" s="15">
        <v>0</v>
      </c>
      <c r="BH118" s="15">
        <v>95.802264398278382</v>
      </c>
      <c r="BI118" s="15">
        <v>0</v>
      </c>
      <c r="BJ118" s="15">
        <v>295.68927310418161</v>
      </c>
      <c r="BK118" s="15">
        <v>672.86725025249143</v>
      </c>
      <c r="BL118" s="15">
        <v>-136.99088363894114</v>
      </c>
      <c r="BM118" s="15">
        <v>1.3386847696838209</v>
      </c>
    </row>
    <row r="119" spans="1:65" x14ac:dyDescent="0.4">
      <c r="A119" s="15" t="s">
        <v>10682</v>
      </c>
      <c r="B119" s="15" t="s">
        <v>10437</v>
      </c>
      <c r="C119" s="15" t="s">
        <v>10619</v>
      </c>
      <c r="D119" s="15" t="s">
        <v>10308</v>
      </c>
      <c r="E119" s="15" t="s">
        <v>10802</v>
      </c>
      <c r="F119" s="15">
        <v>772545</v>
      </c>
      <c r="G119" s="15">
        <v>0.89712457766125608</v>
      </c>
      <c r="H119" s="15">
        <v>200</v>
      </c>
      <c r="I119" s="119">
        <v>652.03345105558401</v>
      </c>
      <c r="J119" s="120">
        <v>1.3386847696838209</v>
      </c>
      <c r="K119" s="15">
        <v>30</v>
      </c>
      <c r="L119" s="15">
        <v>1044.3905914212166</v>
      </c>
      <c r="M119" s="15">
        <v>107.90266087286879</v>
      </c>
      <c r="N119" s="15">
        <v>3233803.6957437308</v>
      </c>
      <c r="O119" s="15">
        <v>2363262.9445114313</v>
      </c>
      <c r="P119" s="15">
        <v>595181.57020163361</v>
      </c>
      <c r="Q119" s="15">
        <v>275359.18103066558</v>
      </c>
      <c r="R119" s="15">
        <v>275359.18103066558</v>
      </c>
      <c r="S119" s="15">
        <v>0</v>
      </c>
      <c r="T119" s="15">
        <v>0</v>
      </c>
      <c r="U119" s="15">
        <v>2107646003.8253543</v>
      </c>
      <c r="V119" s="15">
        <v>0</v>
      </c>
      <c r="W119" s="15">
        <v>0</v>
      </c>
      <c r="X119" s="15">
        <v>0</v>
      </c>
      <c r="Y119" s="15">
        <v>1029.2114282038938</v>
      </c>
      <c r="Z119" s="15">
        <v>0</v>
      </c>
      <c r="AA119" s="15">
        <v>1035.6300000000001</v>
      </c>
      <c r="AB119" s="15">
        <v>0</v>
      </c>
      <c r="AC119" s="15">
        <v>-6.4185717961063746</v>
      </c>
      <c r="AD119" s="15">
        <v>377.17797714830976</v>
      </c>
      <c r="AE119" s="15">
        <v>4.4680191499986968E-3</v>
      </c>
      <c r="AF119" s="15">
        <v>0</v>
      </c>
      <c r="AG119" s="15">
        <v>0</v>
      </c>
      <c r="AH119" s="15">
        <v>4.8811586552847909E-3</v>
      </c>
      <c r="AI119" s="15">
        <v>123.00035822944253</v>
      </c>
      <c r="AJ119" s="15">
        <v>254.16826974106195</v>
      </c>
      <c r="AK119" s="15">
        <v>0</v>
      </c>
      <c r="AL119" s="15">
        <v>0</v>
      </c>
      <c r="AM119" s="15">
        <v>0</v>
      </c>
      <c r="AN119" s="15">
        <v>-58.763536364446836</v>
      </c>
      <c r="AO119" s="15">
        <v>652.03345105558401</v>
      </c>
      <c r="AP119" s="15">
        <v>9.3491778052834876E-3</v>
      </c>
      <c r="AQ119" s="15">
        <v>4.4680191499986968E-3</v>
      </c>
      <c r="AR119" s="15">
        <v>0</v>
      </c>
      <c r="AS119" s="15">
        <v>0</v>
      </c>
      <c r="AT119" s="15">
        <v>4.8811586552847909E-3</v>
      </c>
      <c r="AU119" s="15">
        <v>295.67992392637632</v>
      </c>
      <c r="AV119" s="15">
        <v>92.567807926695409</v>
      </c>
      <c r="AW119" s="15">
        <v>92.567807926695409</v>
      </c>
      <c r="AX119" s="15">
        <v>0</v>
      </c>
      <c r="AY119" s="15">
        <v>0</v>
      </c>
      <c r="AZ119" s="15">
        <v>55.5248438185493</v>
      </c>
      <c r="BA119" s="15">
        <v>0</v>
      </c>
      <c r="BB119" s="15">
        <v>23.135351591062207</v>
      </c>
      <c r="BC119" s="15">
        <v>32.389492227487089</v>
      </c>
      <c r="BD119" s="15">
        <v>0</v>
      </c>
      <c r="BE119" s="15">
        <v>147.58727218113157</v>
      </c>
      <c r="BF119" s="15">
        <v>51.785007782853178</v>
      </c>
      <c r="BG119" s="15">
        <v>0</v>
      </c>
      <c r="BH119" s="15">
        <v>95.802264398278382</v>
      </c>
      <c r="BI119" s="15">
        <v>0</v>
      </c>
      <c r="BJ119" s="15">
        <v>295.68927310418161</v>
      </c>
      <c r="BK119" s="15">
        <v>672.86725025249143</v>
      </c>
      <c r="BL119" s="15">
        <v>-136.99088363894114</v>
      </c>
      <c r="BM119" s="15">
        <v>1.3386847696838209</v>
      </c>
    </row>
    <row r="120" spans="1:65" s="56" customFormat="1" x14ac:dyDescent="0.4">
      <c r="A120" s="55" t="s">
        <v>10682</v>
      </c>
      <c r="B120" s="55" t="s">
        <v>10437</v>
      </c>
      <c r="C120" s="55" t="s">
        <v>10803</v>
      </c>
      <c r="D120" s="55" t="s">
        <v>10307</v>
      </c>
      <c r="E120" s="55" t="s">
        <v>10804</v>
      </c>
      <c r="F120" s="55">
        <v>772545</v>
      </c>
      <c r="G120" s="55">
        <v>0.89712457766125608</v>
      </c>
      <c r="H120" s="55">
        <v>200</v>
      </c>
      <c r="I120" s="55">
        <v>652.03345105558401</v>
      </c>
      <c r="J120" s="92">
        <v>1.3386847696838209</v>
      </c>
      <c r="K120" s="55">
        <v>30</v>
      </c>
      <c r="L120" s="55">
        <v>1044.3905914212166</v>
      </c>
      <c r="M120" s="55">
        <v>107.90266087286879</v>
      </c>
      <c r="N120" s="55">
        <v>3233803.6957437308</v>
      </c>
      <c r="O120" s="55">
        <v>2363262.9445114313</v>
      </c>
      <c r="P120" s="55">
        <v>595181.57020163361</v>
      </c>
      <c r="Q120" s="55">
        <v>275359.18103066558</v>
      </c>
      <c r="R120" s="55">
        <v>275359.18103066558</v>
      </c>
      <c r="S120" s="55">
        <v>0</v>
      </c>
      <c r="T120" s="55">
        <v>0</v>
      </c>
      <c r="U120" s="55">
        <v>2107646003.8253543</v>
      </c>
      <c r="V120" s="55">
        <v>0</v>
      </c>
      <c r="W120" s="55">
        <v>0</v>
      </c>
      <c r="X120" s="55">
        <v>0</v>
      </c>
      <c r="Y120" s="55">
        <v>1029.2114282038938</v>
      </c>
      <c r="Z120" s="55">
        <v>0</v>
      </c>
      <c r="AA120" s="55">
        <v>1035.6300000000001</v>
      </c>
      <c r="AB120" s="55">
        <v>0</v>
      </c>
      <c r="AC120" s="55">
        <v>-6.4185717961063746</v>
      </c>
      <c r="AD120" s="55">
        <v>377.17797714830976</v>
      </c>
      <c r="AE120" s="55">
        <v>4.4680191499986968E-3</v>
      </c>
      <c r="AF120" s="55">
        <v>0</v>
      </c>
      <c r="AG120" s="55">
        <v>0</v>
      </c>
      <c r="AH120" s="55">
        <v>4.8811586552847909E-3</v>
      </c>
      <c r="AI120" s="55">
        <v>123.00035822944253</v>
      </c>
      <c r="AJ120" s="55">
        <v>254.16826974106195</v>
      </c>
      <c r="AK120" s="55">
        <v>0</v>
      </c>
      <c r="AL120" s="55">
        <v>0</v>
      </c>
      <c r="AM120" s="55">
        <v>0</v>
      </c>
      <c r="AN120" s="55">
        <v>-58.763536364446836</v>
      </c>
      <c r="AO120" s="55">
        <v>652.03345105558401</v>
      </c>
      <c r="AP120" s="55">
        <v>9.3491778052834876E-3</v>
      </c>
      <c r="AQ120" s="55">
        <v>4.4680191499986968E-3</v>
      </c>
      <c r="AR120" s="55">
        <v>0</v>
      </c>
      <c r="AS120" s="55">
        <v>0</v>
      </c>
      <c r="AT120" s="55">
        <v>4.8811586552847909E-3</v>
      </c>
      <c r="AU120" s="55">
        <v>295.67992392637632</v>
      </c>
      <c r="AV120" s="55">
        <v>92.567807926695409</v>
      </c>
      <c r="AW120" s="55">
        <v>92.567807926695409</v>
      </c>
      <c r="AX120" s="55">
        <v>0</v>
      </c>
      <c r="AY120" s="55">
        <v>0</v>
      </c>
      <c r="AZ120" s="55">
        <v>55.5248438185493</v>
      </c>
      <c r="BA120" s="55">
        <v>0</v>
      </c>
      <c r="BB120" s="55">
        <v>23.135351591062207</v>
      </c>
      <c r="BC120" s="55">
        <v>32.389492227487089</v>
      </c>
      <c r="BD120" s="55">
        <v>0</v>
      </c>
      <c r="BE120" s="55">
        <v>147.58727218113157</v>
      </c>
      <c r="BF120" s="55">
        <v>51.785007782853178</v>
      </c>
      <c r="BG120" s="55">
        <v>0</v>
      </c>
      <c r="BH120" s="55">
        <v>95.802264398278382</v>
      </c>
      <c r="BI120" s="55">
        <v>0</v>
      </c>
      <c r="BJ120" s="55">
        <v>295.68927310418161</v>
      </c>
      <c r="BK120" s="55">
        <v>672.86725025249143</v>
      </c>
      <c r="BL120" s="55">
        <v>-136.99088363894114</v>
      </c>
      <c r="BM120" s="55">
        <v>1.3386847696838209</v>
      </c>
    </row>
    <row r="121" spans="1:65" x14ac:dyDescent="0.4">
      <c r="A121" s="15" t="s">
        <v>10682</v>
      </c>
      <c r="B121" s="15" t="s">
        <v>10437</v>
      </c>
      <c r="C121" s="15" t="s">
        <v>10621</v>
      </c>
      <c r="D121" s="15" t="s">
        <v>10302</v>
      </c>
      <c r="E121" s="15" t="s">
        <v>10805</v>
      </c>
      <c r="F121" s="15">
        <v>580870</v>
      </c>
      <c r="G121" s="15">
        <v>0.89712441257810971</v>
      </c>
      <c r="H121" s="15">
        <v>200</v>
      </c>
      <c r="I121" s="119">
        <v>382.36199720524615</v>
      </c>
      <c r="J121" s="120">
        <v>1.4169499619378501</v>
      </c>
      <c r="K121" s="15">
        <v>30</v>
      </c>
      <c r="L121" s="15">
        <v>346.6917984723101</v>
      </c>
      <c r="M121" s="15">
        <v>88.20278538944207</v>
      </c>
      <c r="N121" s="15">
        <v>2431468.9850971363</v>
      </c>
      <c r="O121" s="15">
        <v>454343.07882075821</v>
      </c>
      <c r="P121" s="15">
        <v>918830.85411458835</v>
      </c>
      <c r="Q121" s="15">
        <v>1058295.0521617897</v>
      </c>
      <c r="R121" s="15">
        <v>193909.6515614966</v>
      </c>
      <c r="S121" s="15">
        <v>406333.11584276904</v>
      </c>
      <c r="T121" s="15">
        <v>458052.28475752409</v>
      </c>
      <c r="U121" s="15">
        <v>0</v>
      </c>
      <c r="V121" s="15">
        <v>295266895.08666182</v>
      </c>
      <c r="W121" s="15">
        <v>0</v>
      </c>
      <c r="X121" s="15">
        <v>0</v>
      </c>
      <c r="Y121" s="15">
        <v>528.22649423092992</v>
      </c>
      <c r="Z121" s="15">
        <v>0</v>
      </c>
      <c r="AA121" s="15">
        <v>50.872999999999998</v>
      </c>
      <c r="AB121" s="15">
        <v>484.95</v>
      </c>
      <c r="AC121" s="15">
        <v>-7.5965057690700135</v>
      </c>
      <c r="AD121" s="15">
        <v>145.86449702568376</v>
      </c>
      <c r="AE121" s="15">
        <v>1.4296815683635365E-3</v>
      </c>
      <c r="AF121" s="15">
        <v>0</v>
      </c>
      <c r="AG121" s="15">
        <v>0</v>
      </c>
      <c r="AH121" s="15">
        <v>4.1981011908164808E-3</v>
      </c>
      <c r="AI121" s="15">
        <v>101.46076875000001</v>
      </c>
      <c r="AJ121" s="15">
        <v>44.398100492924776</v>
      </c>
      <c r="AK121" s="15">
        <v>0</v>
      </c>
      <c r="AL121" s="15">
        <v>0</v>
      </c>
      <c r="AM121" s="15">
        <v>0</v>
      </c>
      <c r="AN121" s="15">
        <v>-19.201525209075292</v>
      </c>
      <c r="AO121" s="15">
        <v>382.36199720524615</v>
      </c>
      <c r="AP121" s="15">
        <v>5.627782759180017E-3</v>
      </c>
      <c r="AQ121" s="15">
        <v>1.4296815683635365E-3</v>
      </c>
      <c r="AR121" s="15">
        <v>0</v>
      </c>
      <c r="AS121" s="15">
        <v>0</v>
      </c>
      <c r="AT121" s="15">
        <v>4.1981011908164808E-3</v>
      </c>
      <c r="AU121" s="15">
        <v>195.9176925780109</v>
      </c>
      <c r="AV121" s="15">
        <v>62.583526910914259</v>
      </c>
      <c r="AW121" s="15">
        <v>62.583526910914259</v>
      </c>
      <c r="AX121" s="15">
        <v>0</v>
      </c>
      <c r="AY121" s="15">
        <v>0</v>
      </c>
      <c r="AZ121" s="15">
        <v>56.970402620163803</v>
      </c>
      <c r="BA121" s="15">
        <v>0</v>
      </c>
      <c r="BB121" s="15">
        <v>23.737667758401585</v>
      </c>
      <c r="BC121" s="15">
        <v>33.232734861762218</v>
      </c>
      <c r="BD121" s="15">
        <v>0</v>
      </c>
      <c r="BE121" s="15">
        <v>76.363763046932831</v>
      </c>
      <c r="BF121" s="15">
        <v>26.794302823485204</v>
      </c>
      <c r="BG121" s="15">
        <v>0</v>
      </c>
      <c r="BH121" s="15">
        <v>49.569460223447621</v>
      </c>
      <c r="BI121" s="15">
        <v>0</v>
      </c>
      <c r="BJ121" s="15">
        <v>195.92332036077008</v>
      </c>
      <c r="BK121" s="15">
        <v>341.78781738645387</v>
      </c>
      <c r="BL121" s="15">
        <v>-72.320661611605829</v>
      </c>
      <c r="BM121" s="15">
        <v>1.4169499619378501</v>
      </c>
    </row>
    <row r="122" spans="1:65" s="56" customFormat="1" x14ac:dyDescent="0.4">
      <c r="A122" s="15" t="s">
        <v>10682</v>
      </c>
      <c r="B122" s="15" t="s">
        <v>10437</v>
      </c>
      <c r="C122" s="15" t="s">
        <v>10621</v>
      </c>
      <c r="D122" s="15" t="s">
        <v>10303</v>
      </c>
      <c r="E122" s="15" t="s">
        <v>10806</v>
      </c>
      <c r="F122" s="15">
        <v>580870</v>
      </c>
      <c r="G122" s="15">
        <v>0.89712441257810971</v>
      </c>
      <c r="H122" s="15">
        <v>200</v>
      </c>
      <c r="I122" s="119">
        <v>426.76423779435737</v>
      </c>
      <c r="J122" s="120">
        <v>1.1654698921527524</v>
      </c>
      <c r="K122" s="15">
        <v>30</v>
      </c>
      <c r="L122" s="15">
        <v>346.6917984723101</v>
      </c>
      <c r="M122" s="15">
        <v>88.20278538944207</v>
      </c>
      <c r="N122" s="15">
        <v>2431468.9850971363</v>
      </c>
      <c r="O122" s="15">
        <v>454343.07882075821</v>
      </c>
      <c r="P122" s="15">
        <v>918830.85411458835</v>
      </c>
      <c r="Q122" s="15">
        <v>1058295.0521617897</v>
      </c>
      <c r="R122" s="15">
        <v>193909.6515614966</v>
      </c>
      <c r="S122" s="15">
        <v>406333.11584276904</v>
      </c>
      <c r="T122" s="15">
        <v>458052.28475752409</v>
      </c>
      <c r="U122" s="15">
        <v>0</v>
      </c>
      <c r="V122" s="15">
        <v>0</v>
      </c>
      <c r="W122" s="15">
        <v>73816723.771665454</v>
      </c>
      <c r="X122" s="15">
        <v>0</v>
      </c>
      <c r="Y122" s="15">
        <v>528.22649423092992</v>
      </c>
      <c r="Z122" s="15">
        <v>0</v>
      </c>
      <c r="AA122" s="15">
        <v>50.872999999999998</v>
      </c>
      <c r="AB122" s="15">
        <v>484.95</v>
      </c>
      <c r="AC122" s="15">
        <v>-7.5965057690700135</v>
      </c>
      <c r="AD122" s="15">
        <v>101.46225643657255</v>
      </c>
      <c r="AE122" s="15">
        <v>-1.624556679324531E-3</v>
      </c>
      <c r="AF122" s="15">
        <v>2.4941898292796651E-4</v>
      </c>
      <c r="AG122" s="15">
        <v>5.384835582990039E-4</v>
      </c>
      <c r="AH122" s="15">
        <v>0</v>
      </c>
      <c r="AI122" s="15">
        <v>101.46076875000001</v>
      </c>
      <c r="AJ122" s="15">
        <v>0</v>
      </c>
      <c r="AK122" s="15">
        <v>2.3243407107048069E-3</v>
      </c>
      <c r="AL122" s="15">
        <v>0</v>
      </c>
      <c r="AM122" s="15">
        <v>0</v>
      </c>
      <c r="AN122" s="15">
        <v>-13.356437751905222</v>
      </c>
      <c r="AO122" s="15">
        <v>426.76423779435737</v>
      </c>
      <c r="AP122" s="15">
        <v>0</v>
      </c>
      <c r="AQ122" s="15">
        <v>0</v>
      </c>
      <c r="AR122" s="15">
        <v>0</v>
      </c>
      <c r="AS122" s="15">
        <v>0</v>
      </c>
      <c r="AT122" s="15">
        <v>0</v>
      </c>
      <c r="AU122" s="15">
        <v>195.91861376026873</v>
      </c>
      <c r="AV122" s="15">
        <v>62.583526910914259</v>
      </c>
      <c r="AW122" s="15">
        <v>62.583526910914259</v>
      </c>
      <c r="AX122" s="15">
        <v>0</v>
      </c>
      <c r="AY122" s="15">
        <v>0</v>
      </c>
      <c r="AZ122" s="15">
        <v>56.970402620163803</v>
      </c>
      <c r="BA122" s="15">
        <v>0</v>
      </c>
      <c r="BB122" s="15">
        <v>23.737667758401585</v>
      </c>
      <c r="BC122" s="15">
        <v>33.232734861762218</v>
      </c>
      <c r="BD122" s="15">
        <v>0</v>
      </c>
      <c r="BE122" s="15">
        <v>76.364684229190658</v>
      </c>
      <c r="BF122" s="15">
        <v>26.794626045330059</v>
      </c>
      <c r="BG122" s="15">
        <v>0</v>
      </c>
      <c r="BH122" s="15">
        <v>49.570058183860603</v>
      </c>
      <c r="BI122" s="15">
        <v>0</v>
      </c>
      <c r="BJ122" s="15">
        <v>195.91861376026873</v>
      </c>
      <c r="BK122" s="55">
        <v>297.38087019684127</v>
      </c>
      <c r="BL122" s="55">
        <v>-66.474954580036083</v>
      </c>
      <c r="BM122" s="55">
        <v>1.1654698921527524</v>
      </c>
    </row>
    <row r="123" spans="1:65" s="56" customFormat="1" x14ac:dyDescent="0.4">
      <c r="A123" s="15" t="s">
        <v>10682</v>
      </c>
      <c r="B123" s="15" t="s">
        <v>10437</v>
      </c>
      <c r="C123" s="15" t="s">
        <v>10621</v>
      </c>
      <c r="D123" s="15" t="s">
        <v>10304</v>
      </c>
      <c r="E123" s="15" t="s">
        <v>10807</v>
      </c>
      <c r="F123" s="15">
        <v>580870</v>
      </c>
      <c r="G123" s="15">
        <v>0.89712441257810971</v>
      </c>
      <c r="H123" s="15">
        <v>200</v>
      </c>
      <c r="I123" s="119">
        <v>426.76502569689859</v>
      </c>
      <c r="J123" s="120">
        <v>1.1654661573033087</v>
      </c>
      <c r="K123" s="15">
        <v>30</v>
      </c>
      <c r="L123" s="15">
        <v>346.6917984723101</v>
      </c>
      <c r="M123" s="15">
        <v>88.20278538944207</v>
      </c>
      <c r="N123" s="15">
        <v>2431468.9850971363</v>
      </c>
      <c r="O123" s="15">
        <v>454343.07882075821</v>
      </c>
      <c r="P123" s="15">
        <v>918830.85411458835</v>
      </c>
      <c r="Q123" s="15">
        <v>1058295.0521617897</v>
      </c>
      <c r="R123" s="15">
        <v>193909.6515614966</v>
      </c>
      <c r="S123" s="15">
        <v>406333.11584276904</v>
      </c>
      <c r="T123" s="15">
        <v>458052.28475752409</v>
      </c>
      <c r="U123" s="15">
        <v>0</v>
      </c>
      <c r="V123" s="15">
        <v>0</v>
      </c>
      <c r="W123" s="15">
        <v>0</v>
      </c>
      <c r="X123" s="15">
        <v>73816723771.665451</v>
      </c>
      <c r="Y123" s="15">
        <v>528.22649423092992</v>
      </c>
      <c r="Z123" s="15">
        <v>0</v>
      </c>
      <c r="AA123" s="15">
        <v>50.872999999999998</v>
      </c>
      <c r="AB123" s="15">
        <v>484.95</v>
      </c>
      <c r="AC123" s="15">
        <v>-7.5965057690700135</v>
      </c>
      <c r="AD123" s="15">
        <v>101.46146853403133</v>
      </c>
      <c r="AE123" s="15">
        <v>-1.624556679324531E-3</v>
      </c>
      <c r="AF123" s="15">
        <v>0</v>
      </c>
      <c r="AG123" s="15">
        <v>0</v>
      </c>
      <c r="AH123" s="15">
        <v>0</v>
      </c>
      <c r="AI123" s="15">
        <v>101.46076875000001</v>
      </c>
      <c r="AJ123" s="15">
        <v>0</v>
      </c>
      <c r="AK123" s="15">
        <v>2.3243407107048069E-3</v>
      </c>
      <c r="AL123" s="15">
        <v>0</v>
      </c>
      <c r="AM123" s="15">
        <v>0</v>
      </c>
      <c r="AN123" s="15">
        <v>-13.356334032831588</v>
      </c>
      <c r="AO123" s="15">
        <v>426.76502569689859</v>
      </c>
      <c r="AP123" s="15">
        <v>0</v>
      </c>
      <c r="AQ123" s="15">
        <v>0</v>
      </c>
      <c r="AR123" s="15">
        <v>0</v>
      </c>
      <c r="AS123" s="15">
        <v>0</v>
      </c>
      <c r="AT123" s="15">
        <v>0</v>
      </c>
      <c r="AU123" s="15">
        <v>195.91872603638086</v>
      </c>
      <c r="AV123" s="15">
        <v>62.583526910914259</v>
      </c>
      <c r="AW123" s="15">
        <v>62.583526910914259</v>
      </c>
      <c r="AX123" s="15">
        <v>0</v>
      </c>
      <c r="AY123" s="15">
        <v>0</v>
      </c>
      <c r="AZ123" s="15">
        <v>56.970402620163803</v>
      </c>
      <c r="BA123" s="15">
        <v>0</v>
      </c>
      <c r="BB123" s="15">
        <v>23.737667758401585</v>
      </c>
      <c r="BC123" s="15">
        <v>33.232734861762218</v>
      </c>
      <c r="BD123" s="15">
        <v>0</v>
      </c>
      <c r="BE123" s="15">
        <v>76.364796505302792</v>
      </c>
      <c r="BF123" s="15">
        <v>26.79466544045712</v>
      </c>
      <c r="BG123" s="15">
        <v>0</v>
      </c>
      <c r="BH123" s="15">
        <v>49.570131064845668</v>
      </c>
      <c r="BI123" s="15">
        <v>0</v>
      </c>
      <c r="BJ123" s="15">
        <v>195.91872603638086</v>
      </c>
      <c r="BK123" s="55">
        <v>297.38019457041219</v>
      </c>
      <c r="BL123" s="55">
        <v>-66.474865640930446</v>
      </c>
      <c r="BM123" s="55">
        <v>1.1654661573033087</v>
      </c>
    </row>
    <row r="124" spans="1:65" s="52" customFormat="1" x14ac:dyDescent="0.4">
      <c r="A124" s="15" t="s">
        <v>10682</v>
      </c>
      <c r="B124" s="15" t="s">
        <v>10437</v>
      </c>
      <c r="C124" s="15" t="s">
        <v>10621</v>
      </c>
      <c r="D124" s="15" t="s">
        <v>10305</v>
      </c>
      <c r="E124" s="15" t="s">
        <v>10808</v>
      </c>
      <c r="F124" s="15">
        <v>580870</v>
      </c>
      <c r="G124" s="15">
        <v>0.89712441257810971</v>
      </c>
      <c r="H124" s="15">
        <v>200</v>
      </c>
      <c r="I124" s="119">
        <v>426.84262832040196</v>
      </c>
      <c r="J124" s="120">
        <v>1.126561049552411</v>
      </c>
      <c r="K124" s="15">
        <v>30</v>
      </c>
      <c r="L124" s="15">
        <v>249.62975407013695</v>
      </c>
      <c r="M124" s="15">
        <v>82.022289048094763</v>
      </c>
      <c r="N124" s="15">
        <v>2431468.9850971363</v>
      </c>
      <c r="O124" s="15">
        <v>342800.65486391977</v>
      </c>
      <c r="P124" s="15">
        <v>958667.43409917352</v>
      </c>
      <c r="Q124" s="15">
        <v>1130000.8961340431</v>
      </c>
      <c r="R124" s="15">
        <v>193909.6515614966</v>
      </c>
      <c r="S124" s="15">
        <v>478038.95981502254</v>
      </c>
      <c r="T124" s="15">
        <v>458052.28475752409</v>
      </c>
      <c r="U124" s="15">
        <v>0</v>
      </c>
      <c r="V124" s="15">
        <v>0</v>
      </c>
      <c r="W124" s="15">
        <v>0</v>
      </c>
      <c r="X124" s="15">
        <v>0</v>
      </c>
      <c r="Y124" s="15">
        <v>528.30203236516525</v>
      </c>
      <c r="Z124" s="15">
        <v>0</v>
      </c>
      <c r="AA124" s="15">
        <v>50.872999999999998</v>
      </c>
      <c r="AB124" s="15">
        <v>484.95</v>
      </c>
      <c r="AC124" s="15">
        <v>-7.520967634834764</v>
      </c>
      <c r="AD124" s="15">
        <v>101.45940404476329</v>
      </c>
      <c r="AE124" s="15">
        <v>-1.3647052366796504E-3</v>
      </c>
      <c r="AF124" s="15">
        <v>0</v>
      </c>
      <c r="AG124" s="15">
        <v>0</v>
      </c>
      <c r="AH124" s="15">
        <v>0</v>
      </c>
      <c r="AI124" s="15">
        <v>101.46076875000001</v>
      </c>
      <c r="AJ124" s="15">
        <v>0</v>
      </c>
      <c r="AK124" s="15">
        <v>0</v>
      </c>
      <c r="AL124" s="15">
        <v>0</v>
      </c>
      <c r="AM124" s="15">
        <v>0</v>
      </c>
      <c r="AN124" s="15">
        <v>-13.49020617703966</v>
      </c>
      <c r="AO124" s="15">
        <v>426.84262832040196</v>
      </c>
      <c r="AP124" s="15">
        <v>0</v>
      </c>
      <c r="AQ124" s="15">
        <v>0</v>
      </c>
      <c r="AR124" s="15">
        <v>0</v>
      </c>
      <c r="AS124" s="15">
        <v>0</v>
      </c>
      <c r="AT124" s="15">
        <v>0</v>
      </c>
      <c r="AU124" s="15">
        <v>179.40487530957839</v>
      </c>
      <c r="AV124" s="15">
        <v>60.277532206606828</v>
      </c>
      <c r="AW124" s="15">
        <v>60.277532206606828</v>
      </c>
      <c r="AX124" s="15">
        <v>0</v>
      </c>
      <c r="AY124" s="15">
        <v>0</v>
      </c>
      <c r="AZ124" s="15">
        <v>42.763587879361282</v>
      </c>
      <c r="BA124" s="15">
        <v>0</v>
      </c>
      <c r="BB124" s="15">
        <v>17.818161616400534</v>
      </c>
      <c r="BC124" s="15">
        <v>24.945426262960748</v>
      </c>
      <c r="BD124" s="15">
        <v>0</v>
      </c>
      <c r="BE124" s="15">
        <v>76.363755223610269</v>
      </c>
      <c r="BF124" s="15">
        <v>26.794300078459742</v>
      </c>
      <c r="BG124" s="15">
        <v>0</v>
      </c>
      <c r="BH124" s="15">
        <v>49.569455145150521</v>
      </c>
      <c r="BI124" s="15">
        <v>0</v>
      </c>
      <c r="BJ124" s="15">
        <v>179.40487530957839</v>
      </c>
      <c r="BK124" s="51">
        <v>280.86427935434165</v>
      </c>
      <c r="BL124" s="51">
        <v>-64.936490981177627</v>
      </c>
      <c r="BM124" s="51">
        <v>1.126561049552411</v>
      </c>
    </row>
    <row r="125" spans="1:65" x14ac:dyDescent="0.4">
      <c r="A125" s="15" t="s">
        <v>10682</v>
      </c>
      <c r="B125" s="15" t="s">
        <v>10437</v>
      </c>
      <c r="C125" s="15" t="s">
        <v>10621</v>
      </c>
      <c r="D125" s="15" t="s">
        <v>10306</v>
      </c>
      <c r="E125" s="15" t="s">
        <v>10809</v>
      </c>
      <c r="F125" s="15">
        <v>580870</v>
      </c>
      <c r="G125" s="15">
        <v>0.89712441257810971</v>
      </c>
      <c r="H125" s="15">
        <v>200</v>
      </c>
      <c r="I125" s="119">
        <v>426.5312010595722</v>
      </c>
      <c r="J125" s="120">
        <v>1.1558559467695437</v>
      </c>
      <c r="K125" s="15">
        <v>30</v>
      </c>
      <c r="L125" s="15">
        <v>378.25181143750092</v>
      </c>
      <c r="M125" s="15">
        <v>86.821519722745947</v>
      </c>
      <c r="N125" s="15">
        <v>2431468.9850971363</v>
      </c>
      <c r="O125" s="15">
        <v>557323.08474657743</v>
      </c>
      <c r="P125" s="15">
        <v>818918.75418071577</v>
      </c>
      <c r="Q125" s="15">
        <v>1055227.1461698434</v>
      </c>
      <c r="R125" s="15">
        <v>193909.6515614966</v>
      </c>
      <c r="S125" s="15">
        <v>0</v>
      </c>
      <c r="T125" s="15">
        <v>861317.49460834661</v>
      </c>
      <c r="U125" s="15">
        <v>0</v>
      </c>
      <c r="V125" s="15">
        <v>0</v>
      </c>
      <c r="W125" s="15">
        <v>0</v>
      </c>
      <c r="X125" s="15">
        <v>0</v>
      </c>
      <c r="Y125" s="15">
        <v>527.99067345135393</v>
      </c>
      <c r="Z125" s="15">
        <v>0</v>
      </c>
      <c r="AA125" s="15">
        <v>50.872999999999998</v>
      </c>
      <c r="AB125" s="15">
        <v>484.95</v>
      </c>
      <c r="AC125" s="15">
        <v>-7.8323265486460931</v>
      </c>
      <c r="AD125" s="15">
        <v>101.45947239178173</v>
      </c>
      <c r="AE125" s="15">
        <v>-1.2963582182842273E-3</v>
      </c>
      <c r="AF125" s="15">
        <v>0</v>
      </c>
      <c r="AG125" s="15">
        <v>0</v>
      </c>
      <c r="AH125" s="15">
        <v>0</v>
      </c>
      <c r="AI125" s="15">
        <v>101.46076875000001</v>
      </c>
      <c r="AJ125" s="15">
        <v>0</v>
      </c>
      <c r="AK125" s="15">
        <v>0</v>
      </c>
      <c r="AL125" s="15">
        <v>0</v>
      </c>
      <c r="AM125" s="15">
        <v>0</v>
      </c>
      <c r="AN125" s="15">
        <v>-12.953937985300186</v>
      </c>
      <c r="AO125" s="15">
        <v>426.5312010595722</v>
      </c>
      <c r="AP125" s="15">
        <v>0</v>
      </c>
      <c r="AQ125" s="15">
        <v>0</v>
      </c>
      <c r="AR125" s="15">
        <v>0</v>
      </c>
      <c r="AS125" s="15">
        <v>0</v>
      </c>
      <c r="AT125" s="15">
        <v>0</v>
      </c>
      <c r="AU125" s="15">
        <v>191.54915283568073</v>
      </c>
      <c r="AV125" s="15">
        <v>68.771024133592093</v>
      </c>
      <c r="AW125" s="15">
        <v>68.771024133592093</v>
      </c>
      <c r="AX125" s="15">
        <v>0</v>
      </c>
      <c r="AY125" s="15">
        <v>0</v>
      </c>
      <c r="AZ125" s="15">
        <v>46.413425009542216</v>
      </c>
      <c r="BA125" s="15">
        <v>0</v>
      </c>
      <c r="BB125" s="15">
        <v>19.338927087309258</v>
      </c>
      <c r="BC125" s="15">
        <v>27.074497922232958</v>
      </c>
      <c r="BD125" s="15">
        <v>0</v>
      </c>
      <c r="BE125" s="15">
        <v>76.364703692546414</v>
      </c>
      <c r="BF125" s="15">
        <v>26.79463287457769</v>
      </c>
      <c r="BG125" s="15">
        <v>0</v>
      </c>
      <c r="BH125" s="15">
        <v>49.570070817968727</v>
      </c>
      <c r="BI125" s="15">
        <v>0</v>
      </c>
      <c r="BJ125" s="15">
        <v>191.54915283568073</v>
      </c>
      <c r="BK125" s="15">
        <v>293.00862522746246</v>
      </c>
      <c r="BL125" s="15">
        <v>-63.945361402568771</v>
      </c>
      <c r="BM125" s="15">
        <v>1.1558559467695437</v>
      </c>
    </row>
    <row r="126" spans="1:65" x14ac:dyDescent="0.4">
      <c r="A126" s="15" t="s">
        <v>10682</v>
      </c>
      <c r="B126" s="15" t="s">
        <v>10437</v>
      </c>
      <c r="C126" s="15" t="s">
        <v>10621</v>
      </c>
      <c r="D126" s="15" t="s">
        <v>10307</v>
      </c>
      <c r="E126" s="15" t="s">
        <v>10810</v>
      </c>
      <c r="F126" s="15">
        <v>580870</v>
      </c>
      <c r="G126" s="15">
        <v>0.89712441257810971</v>
      </c>
      <c r="H126" s="15">
        <v>200</v>
      </c>
      <c r="I126" s="118">
        <v>149.33324422968906</v>
      </c>
      <c r="J126" s="120">
        <v>5.5090583482167279</v>
      </c>
      <c r="K126" s="15">
        <v>30</v>
      </c>
      <c r="L126" s="15">
        <v>848.75589667996132</v>
      </c>
      <c r="M126" s="15">
        <v>107.2148079290463</v>
      </c>
      <c r="N126" s="15">
        <v>2431468.9850971363</v>
      </c>
      <c r="O126" s="15">
        <v>1776916.9355492783</v>
      </c>
      <c r="P126" s="15">
        <v>447511.86670712801</v>
      </c>
      <c r="Q126" s="15">
        <v>207040.18284073015</v>
      </c>
      <c r="R126" s="15">
        <v>207040.18284073015</v>
      </c>
      <c r="S126" s="15">
        <v>0</v>
      </c>
      <c r="T126" s="15">
        <v>0</v>
      </c>
      <c r="U126" s="15">
        <v>1584720772.2009435</v>
      </c>
      <c r="V126" s="15">
        <v>0</v>
      </c>
      <c r="W126" s="15">
        <v>0</v>
      </c>
      <c r="X126" s="15">
        <v>0</v>
      </c>
      <c r="Y126" s="15">
        <v>526.50930447458722</v>
      </c>
      <c r="Z126" s="15">
        <v>0</v>
      </c>
      <c r="AA126" s="15">
        <v>50.872999999999998</v>
      </c>
      <c r="AB126" s="15">
        <v>484.95</v>
      </c>
      <c r="AC126" s="15">
        <v>-9.3136955254127329</v>
      </c>
      <c r="AD126" s="15">
        <v>377.17606024489817</v>
      </c>
      <c r="AE126" s="15">
        <v>4.4679873459110659E-3</v>
      </c>
      <c r="AF126" s="15">
        <v>0</v>
      </c>
      <c r="AG126" s="15">
        <v>0</v>
      </c>
      <c r="AH126" s="15">
        <v>6.4917960949406944E-3</v>
      </c>
      <c r="AI126" s="15">
        <v>123.00035822944254</v>
      </c>
      <c r="AJ126" s="15">
        <v>254.16474223201473</v>
      </c>
      <c r="AK126" s="15">
        <v>0</v>
      </c>
      <c r="AL126" s="15">
        <v>0</v>
      </c>
      <c r="AM126" s="15">
        <v>0</v>
      </c>
      <c r="AN126" s="15">
        <v>-40.496928336959321</v>
      </c>
      <c r="AO126" s="15">
        <v>149.33324422968906</v>
      </c>
      <c r="AP126" s="15">
        <v>1.095978344085176E-2</v>
      </c>
      <c r="AQ126" s="15">
        <v>4.4679873459110659E-3</v>
      </c>
      <c r="AR126" s="15">
        <v>0</v>
      </c>
      <c r="AS126" s="15">
        <v>0</v>
      </c>
      <c r="AT126" s="15">
        <v>6.4917960949406944E-3</v>
      </c>
      <c r="AU126" s="15">
        <v>245.49853576151702</v>
      </c>
      <c r="AV126" s="15">
        <v>100.82558810876036</v>
      </c>
      <c r="AW126" s="15">
        <v>100.82558810876036</v>
      </c>
      <c r="AX126" s="15">
        <v>0</v>
      </c>
      <c r="AY126" s="15">
        <v>0</v>
      </c>
      <c r="AZ126" s="15">
        <v>68.305732440735142</v>
      </c>
      <c r="BA126" s="15">
        <v>0</v>
      </c>
      <c r="BB126" s="15">
        <v>28.460721850306314</v>
      </c>
      <c r="BC126" s="15">
        <v>39.845010590428835</v>
      </c>
      <c r="BD126" s="15">
        <v>0</v>
      </c>
      <c r="BE126" s="15">
        <v>76.367215212021506</v>
      </c>
      <c r="BF126" s="15">
        <v>26.795514109481232</v>
      </c>
      <c r="BG126" s="15">
        <v>0</v>
      </c>
      <c r="BH126" s="15">
        <v>49.571701102540274</v>
      </c>
      <c r="BI126" s="15">
        <v>0</v>
      </c>
      <c r="BJ126" s="15">
        <v>245.50949554495787</v>
      </c>
      <c r="BK126" s="15">
        <v>622.68555578985604</v>
      </c>
      <c r="BL126" s="15">
        <v>-89.330733331912199</v>
      </c>
      <c r="BM126" s="15">
        <v>5.5090583482167279</v>
      </c>
    </row>
    <row r="127" spans="1:65" x14ac:dyDescent="0.4">
      <c r="A127" s="15" t="s">
        <v>10682</v>
      </c>
      <c r="B127" s="15" t="s">
        <v>10437</v>
      </c>
      <c r="C127" s="15" t="s">
        <v>10621</v>
      </c>
      <c r="D127" s="15" t="s">
        <v>10308</v>
      </c>
      <c r="E127" s="15" t="s">
        <v>10811</v>
      </c>
      <c r="F127" s="15">
        <v>580870</v>
      </c>
      <c r="G127" s="15">
        <v>0.89712441257810971</v>
      </c>
      <c r="H127" s="15">
        <v>200</v>
      </c>
      <c r="I127" s="118">
        <v>149.33324422968906</v>
      </c>
      <c r="J127" s="120">
        <v>5.5090583482167279</v>
      </c>
      <c r="K127" s="15">
        <v>30</v>
      </c>
      <c r="L127" s="15">
        <v>848.75589667996132</v>
      </c>
      <c r="M127" s="15">
        <v>107.2148079290463</v>
      </c>
      <c r="N127" s="15">
        <v>2431468.9850971363</v>
      </c>
      <c r="O127" s="15">
        <v>1776916.9355492783</v>
      </c>
      <c r="P127" s="15">
        <v>447511.86670712801</v>
      </c>
      <c r="Q127" s="15">
        <v>207040.18284073015</v>
      </c>
      <c r="R127" s="15">
        <v>207040.18284073015</v>
      </c>
      <c r="S127" s="15">
        <v>0</v>
      </c>
      <c r="T127" s="15">
        <v>0</v>
      </c>
      <c r="U127" s="15">
        <v>1584720772.2009435</v>
      </c>
      <c r="V127" s="15">
        <v>0</v>
      </c>
      <c r="W127" s="15">
        <v>0</v>
      </c>
      <c r="X127" s="15">
        <v>0</v>
      </c>
      <c r="Y127" s="15">
        <v>526.50930447458722</v>
      </c>
      <c r="Z127" s="15">
        <v>0</v>
      </c>
      <c r="AA127" s="15">
        <v>50.872999999999998</v>
      </c>
      <c r="AB127" s="15">
        <v>484.95</v>
      </c>
      <c r="AC127" s="15">
        <v>-9.3136955254127329</v>
      </c>
      <c r="AD127" s="15">
        <v>377.17606024489817</v>
      </c>
      <c r="AE127" s="15">
        <v>4.4679873459110659E-3</v>
      </c>
      <c r="AF127" s="15">
        <v>0</v>
      </c>
      <c r="AG127" s="15">
        <v>0</v>
      </c>
      <c r="AH127" s="15">
        <v>6.4917960949406944E-3</v>
      </c>
      <c r="AI127" s="15">
        <v>123.00035822944254</v>
      </c>
      <c r="AJ127" s="15">
        <v>254.16474223201473</v>
      </c>
      <c r="AK127" s="15">
        <v>0</v>
      </c>
      <c r="AL127" s="15">
        <v>0</v>
      </c>
      <c r="AM127" s="15">
        <v>0</v>
      </c>
      <c r="AN127" s="15">
        <v>-40.496928336959321</v>
      </c>
      <c r="AO127" s="15">
        <v>149.33324422968906</v>
      </c>
      <c r="AP127" s="15">
        <v>1.095978344085176E-2</v>
      </c>
      <c r="AQ127" s="15">
        <v>4.4679873459110659E-3</v>
      </c>
      <c r="AR127" s="15">
        <v>0</v>
      </c>
      <c r="AS127" s="15">
        <v>0</v>
      </c>
      <c r="AT127" s="15">
        <v>6.4917960949406944E-3</v>
      </c>
      <c r="AU127" s="15">
        <v>245.49853576151702</v>
      </c>
      <c r="AV127" s="15">
        <v>100.82558810876036</v>
      </c>
      <c r="AW127" s="15">
        <v>100.82558810876036</v>
      </c>
      <c r="AX127" s="15">
        <v>0</v>
      </c>
      <c r="AY127" s="15">
        <v>0</v>
      </c>
      <c r="AZ127" s="15">
        <v>68.305732440735142</v>
      </c>
      <c r="BA127" s="15">
        <v>0</v>
      </c>
      <c r="BB127" s="15">
        <v>28.460721850306314</v>
      </c>
      <c r="BC127" s="15">
        <v>39.845010590428835</v>
      </c>
      <c r="BD127" s="15">
        <v>0</v>
      </c>
      <c r="BE127" s="15">
        <v>76.367215212021506</v>
      </c>
      <c r="BF127" s="15">
        <v>26.795514109481232</v>
      </c>
      <c r="BG127" s="15">
        <v>0</v>
      </c>
      <c r="BH127" s="15">
        <v>49.571701102540274</v>
      </c>
      <c r="BI127" s="15">
        <v>0</v>
      </c>
      <c r="BJ127" s="15">
        <v>245.50949554495787</v>
      </c>
      <c r="BK127" s="15">
        <v>622.68555578985604</v>
      </c>
      <c r="BL127" s="15">
        <v>-89.330733331912199</v>
      </c>
      <c r="BM127" s="15">
        <v>5.5090583482167279</v>
      </c>
    </row>
    <row r="128" spans="1:65" s="56" customFormat="1" x14ac:dyDescent="0.4">
      <c r="A128" s="55" t="s">
        <v>10682</v>
      </c>
      <c r="B128" s="55" t="s">
        <v>10437</v>
      </c>
      <c r="C128" s="55" t="s">
        <v>10812</v>
      </c>
      <c r="D128" s="55" t="s">
        <v>10307</v>
      </c>
      <c r="E128" s="55" t="s">
        <v>10813</v>
      </c>
      <c r="F128" s="55">
        <v>580870</v>
      </c>
      <c r="G128" s="55">
        <v>0.89712441257810971</v>
      </c>
      <c r="H128" s="55">
        <v>200</v>
      </c>
      <c r="I128" s="55">
        <v>149.33324422968906</v>
      </c>
      <c r="J128" s="92">
        <v>5.5090583482167279</v>
      </c>
      <c r="K128" s="55">
        <v>30</v>
      </c>
      <c r="L128" s="55">
        <v>848.75589667996132</v>
      </c>
      <c r="M128" s="55">
        <v>107.2148079290463</v>
      </c>
      <c r="N128" s="55">
        <v>2431468.9850971363</v>
      </c>
      <c r="O128" s="55">
        <v>1776916.9355492783</v>
      </c>
      <c r="P128" s="55">
        <v>447511.86670712801</v>
      </c>
      <c r="Q128" s="55">
        <v>207040.18284073015</v>
      </c>
      <c r="R128" s="55">
        <v>207040.18284073015</v>
      </c>
      <c r="S128" s="55">
        <v>0</v>
      </c>
      <c r="T128" s="55">
        <v>0</v>
      </c>
      <c r="U128" s="55">
        <v>1584720772.2009435</v>
      </c>
      <c r="V128" s="55">
        <v>0</v>
      </c>
      <c r="W128" s="55">
        <v>0</v>
      </c>
      <c r="X128" s="55">
        <v>0</v>
      </c>
      <c r="Y128" s="55">
        <v>526.50930447458722</v>
      </c>
      <c r="Z128" s="55">
        <v>0</v>
      </c>
      <c r="AA128" s="55">
        <v>50.872999999999998</v>
      </c>
      <c r="AB128" s="55">
        <v>484.95</v>
      </c>
      <c r="AC128" s="55">
        <v>-9.3136955254127329</v>
      </c>
      <c r="AD128" s="55">
        <v>377.17606024489817</v>
      </c>
      <c r="AE128" s="55">
        <v>4.4679873459110659E-3</v>
      </c>
      <c r="AF128" s="55">
        <v>0</v>
      </c>
      <c r="AG128" s="55">
        <v>0</v>
      </c>
      <c r="AH128" s="55">
        <v>6.4917960949406944E-3</v>
      </c>
      <c r="AI128" s="55">
        <v>123.00035822944254</v>
      </c>
      <c r="AJ128" s="55">
        <v>254.16474223201473</v>
      </c>
      <c r="AK128" s="55">
        <v>0</v>
      </c>
      <c r="AL128" s="55">
        <v>0</v>
      </c>
      <c r="AM128" s="55">
        <v>0</v>
      </c>
      <c r="AN128" s="55">
        <v>-40.496928336959321</v>
      </c>
      <c r="AO128" s="55">
        <v>149.33324422968906</v>
      </c>
      <c r="AP128" s="55">
        <v>1.095978344085176E-2</v>
      </c>
      <c r="AQ128" s="55">
        <v>4.4679873459110659E-3</v>
      </c>
      <c r="AR128" s="55">
        <v>0</v>
      </c>
      <c r="AS128" s="55">
        <v>0</v>
      </c>
      <c r="AT128" s="55">
        <v>6.4917960949406944E-3</v>
      </c>
      <c r="AU128" s="55">
        <v>245.49853576151702</v>
      </c>
      <c r="AV128" s="55">
        <v>100.82558810876036</v>
      </c>
      <c r="AW128" s="55">
        <v>100.82558810876036</v>
      </c>
      <c r="AX128" s="55">
        <v>0</v>
      </c>
      <c r="AY128" s="55">
        <v>0</v>
      </c>
      <c r="AZ128" s="55">
        <v>68.305732440735142</v>
      </c>
      <c r="BA128" s="55">
        <v>0</v>
      </c>
      <c r="BB128" s="55">
        <v>28.460721850306314</v>
      </c>
      <c r="BC128" s="55">
        <v>39.845010590428835</v>
      </c>
      <c r="BD128" s="55">
        <v>0</v>
      </c>
      <c r="BE128" s="55">
        <v>76.367215212021506</v>
      </c>
      <c r="BF128" s="55">
        <v>26.795514109481232</v>
      </c>
      <c r="BG128" s="55">
        <v>0</v>
      </c>
      <c r="BH128" s="55">
        <v>49.571701102540274</v>
      </c>
      <c r="BI128" s="55">
        <v>0</v>
      </c>
      <c r="BJ128" s="55">
        <v>245.50949554495787</v>
      </c>
      <c r="BK128" s="55">
        <v>622.68555578985604</v>
      </c>
      <c r="BL128" s="55">
        <v>-89.330733331912199</v>
      </c>
      <c r="BM128" s="55">
        <v>5.5090583482167279</v>
      </c>
    </row>
    <row r="129" spans="1:65" s="52" customFormat="1" x14ac:dyDescent="0.4">
      <c r="A129" s="51" t="s">
        <v>10682</v>
      </c>
      <c r="B129" s="51" t="s">
        <v>10814</v>
      </c>
      <c r="C129" s="51" t="s">
        <v>9780</v>
      </c>
      <c r="D129" s="51" t="s">
        <v>9780</v>
      </c>
      <c r="E129" s="51" t="s">
        <v>10555</v>
      </c>
      <c r="F129" s="51">
        <f>F112+F120+F128</f>
        <v>3317141</v>
      </c>
      <c r="G129" s="51">
        <f>G112</f>
        <v>0.89712450607071414</v>
      </c>
      <c r="H129" s="51">
        <f>(H112*N112+H120*N120+H128*N128)/(N112+N120+N128)</f>
        <v>200</v>
      </c>
      <c r="I129" s="51">
        <f>(I112*N112+I120*N120+I128*N128)/(N112+N120+N128)</f>
        <v>606.81185774830374</v>
      </c>
      <c r="J129" s="93">
        <f>(H129+AD129+AE129+AF129+AG129+AH129+AU129)/(I129)</f>
        <v>1.3975761007733902</v>
      </c>
      <c r="K129" s="51">
        <f>K112</f>
        <v>30</v>
      </c>
      <c r="L129" s="51">
        <f t="shared" ref="L129:W129" si="6">L112+L120+L128</f>
        <v>4350.236357662634</v>
      </c>
      <c r="M129" s="51">
        <f t="shared" si="6"/>
        <v>579.07368156405096</v>
      </c>
      <c r="N129" s="51">
        <f t="shared" si="6"/>
        <v>13885251.956447801</v>
      </c>
      <c r="O129" s="51">
        <f t="shared" si="6"/>
        <v>10147338.710468961</v>
      </c>
      <c r="P129" s="51">
        <f t="shared" si="6"/>
        <v>2555580.6225842177</v>
      </c>
      <c r="Q129" s="51">
        <f t="shared" si="6"/>
        <v>1182332.6233946229</v>
      </c>
      <c r="R129" s="51">
        <f t="shared" si="6"/>
        <v>1182332.6233946229</v>
      </c>
      <c r="S129" s="51">
        <f t="shared" si="6"/>
        <v>0</v>
      </c>
      <c r="T129" s="51">
        <f t="shared" si="6"/>
        <v>0</v>
      </c>
      <c r="U129" s="51">
        <f t="shared" si="6"/>
        <v>9049774986.8471203</v>
      </c>
      <c r="V129" s="51">
        <f t="shared" si="6"/>
        <v>0</v>
      </c>
      <c r="W129" s="51">
        <f t="shared" si="6"/>
        <v>0</v>
      </c>
      <c r="X129" s="51">
        <f>(X112*N112+X120*N120+X128*N128)/(N112+N120+N128)</f>
        <v>0</v>
      </c>
      <c r="Y129" s="51">
        <f>(Y112*N112+Y120*N120+Y128*N128)/(N112+N120+N128)</f>
        <v>983.98784268494228</v>
      </c>
      <c r="Z129" s="51">
        <f>(Z112*N112+Z120*N120+Z128*N128)/(N112+N120+N128)</f>
        <v>0</v>
      </c>
      <c r="AA129" s="51">
        <f>(AA112*N112+AA120*N120+AA128*N128)/(N112+N120+N128)</f>
        <v>268.17135923712482</v>
      </c>
      <c r="AB129" s="51">
        <f>(AB112*N112+AB120*N120+AB128*N128)/(N112+N120+N128)</f>
        <v>720.019324263057</v>
      </c>
      <c r="AC129" s="51">
        <f>(AC112*N112+AC120*N120+AC128*N128)/(N112+N120+N128)</f>
        <v>-4.2028408152394352</v>
      </c>
      <c r="AD129" s="51">
        <f>(AD112*N112+AD120*N120+AD128*N128)/(N112+N120+N128)</f>
        <v>377.17598493663866</v>
      </c>
      <c r="AE129" s="51">
        <f>(AE112*N112+AE120*N120+AE128*N128)/(N112+N120+N128)</f>
        <v>4.3702982125726026E-3</v>
      </c>
      <c r="AF129" s="51">
        <f>(AF112*N112+AF120*N120+AF128*N128)/(N112+N120+N128)</f>
        <v>0</v>
      </c>
      <c r="AG129" s="51">
        <f>(AG112*N112+AG120*N120+AG128*N128)/(N112+N120+N128)</f>
        <v>0</v>
      </c>
      <c r="AH129" s="51">
        <f>(AH112*N112+AH120*N120+AH128*N128)/(N112+N120+N128)</f>
        <v>3.4103756018883428E-3</v>
      </c>
      <c r="AI129" s="51">
        <f>(AI112*N112+AI120*N120+AI128*N128)/(N112+N120+N128)</f>
        <v>123.00035822944251</v>
      </c>
      <c r="AJ129" s="51">
        <f>(AJ112*N112+AJ120*N120+AJ128*N128)/(N112+N120+N128)</f>
        <v>254.16784603338155</v>
      </c>
      <c r="AK129" s="51">
        <f>(AK112*N112+AK120*N120+AK128*N128)/(N112+N120+N128)</f>
        <v>0</v>
      </c>
      <c r="AL129" s="51">
        <f>(AL112*N112+AL120*N120+AL128*N128)/(N112+N120+N128)</f>
        <v>0</v>
      </c>
      <c r="AM129" s="51">
        <f>(AM112*N112+AM120*N120+AM128*N128)/(N112+N120+N128)</f>
        <v>0</v>
      </c>
      <c r="AN129" s="51">
        <f>(AN112*N112+AN120*N120+AN128*N128)/(N112+N120+N128)</f>
        <v>-143.50425462153416</v>
      </c>
      <c r="AO129" s="51">
        <f>(AO112*N112+AO120*N120+AO128*N128)/(N112+N120+N128)</f>
        <v>606.81185774830374</v>
      </c>
      <c r="AP129" s="51">
        <f>(AP112*N112+AP120*N120+AP128*N128)/(N112+N120+N128)</f>
        <v>7.780673814460945E-3</v>
      </c>
      <c r="AQ129" s="51">
        <f>(AQ112*N112+AQ120*N120+AQ128*N128)/(N112+N120+N128)</f>
        <v>4.3702982125726026E-3</v>
      </c>
      <c r="AR129" s="51">
        <f>(AR112*N112+AR120*N120+AR128*N128)/(N112+N120+N128)</f>
        <v>0</v>
      </c>
      <c r="AS129" s="51">
        <f>(AS112*N112+AS120*N120+AS128*N128)/(N112+N120+N128)</f>
        <v>0</v>
      </c>
      <c r="AT129" s="51">
        <f>(AT112*N112+AT120*N120+AT128*N128)/(N112+N120+N128)</f>
        <v>3.4103756018883428E-3</v>
      </c>
      <c r="AU129" s="51">
        <f>(AU112*N112+AU120*N120+AU128*N128)/(N112+N120+N128)</f>
        <v>270.88198444447823</v>
      </c>
      <c r="AV129" s="51">
        <f>(AV112*N112+AV120*N120+AV128*N128)/(N112+N120+N128)</f>
        <v>80.247170122856502</v>
      </c>
      <c r="AW129" s="51">
        <f>(AW112*N112+AW120*N120+AW128*N128)/(N112+N120+N128)</f>
        <v>80.247170122856502</v>
      </c>
      <c r="AX129" s="51">
        <f>(AX112*N112+AX120*N120+AX128*N128)/(N112+N120+N128)</f>
        <v>0</v>
      </c>
      <c r="AY129" s="51">
        <f>(AY112*N112+AY120*N120+AY128*N128)/(N112+N120+N128)</f>
        <v>0</v>
      </c>
      <c r="AZ129" s="51">
        <f>(AZ112*N112+AZ120*N120+AZ128*N128)/(N112+N120+N128)</f>
        <v>49.805653017970052</v>
      </c>
      <c r="BA129" s="51">
        <f>(BA112*N112+BA120*N120+BA128*N128)/(N112+N120+N128)</f>
        <v>0</v>
      </c>
      <c r="BB129" s="51">
        <f>(BB112*N112+BB120*N120+BB128*N128)/(N112+N120+N128)</f>
        <v>20.752355424154185</v>
      </c>
      <c r="BC129" s="51">
        <f>(BC112*N112+BC120*N120+BC128*N128)/(N112+N120+N128)</f>
        <v>29.053297593815863</v>
      </c>
      <c r="BD129" s="51">
        <f>(BD112*N112+BD120*N120+BD128*N128)/(N112+N120+N128)</f>
        <v>0</v>
      </c>
      <c r="BE129" s="51">
        <f>(BE112*N112+BE120*N120+BE128*N128)/(N112+N120+N128)</f>
        <v>140.82916130365166</v>
      </c>
      <c r="BF129" s="51">
        <f>(BF112*N112+BF120*N120+BF128*N128)/(N112+N120+N128)</f>
        <v>49.413740808298833</v>
      </c>
      <c r="BG129" s="51">
        <f>(BG112*N112+BG120*N120+BG128*N128)/(N112+N120+N128)</f>
        <v>0</v>
      </c>
      <c r="BH129" s="51">
        <f>(BH112*N112+BH120*N120+BH128*N128)/(N112+N120+N128)</f>
        <v>91.415420495352834</v>
      </c>
      <c r="BI129" s="51">
        <f>(BI112*N112+BI120*N120+BI128*N128)/(N112+N120+N128)</f>
        <v>0</v>
      </c>
      <c r="BJ129" s="51">
        <f>(BJ112*N112+BJ120*N120+BJ128*N128)/(N112+N120+N128)</f>
        <v>270.8897651182927</v>
      </c>
      <c r="BK129" s="51">
        <f>(BK112*N112+BK120*N120+BK128*N128)/(N112+N120+N128)</f>
        <v>648.06575005493141</v>
      </c>
      <c r="BL129" s="51">
        <f>(BL112*N112+BL120*N120+BL128*N128)/(N112+N120+N128)</f>
        <v>-323.35496660641115</v>
      </c>
      <c r="BM129" s="51">
        <f>(BM112*N112+BM120*N120+BM128*N128)/(N112+N120+N128)</f>
        <v>1.9677439784382582</v>
      </c>
    </row>
    <row r="130" spans="1:65" s="56" customFormat="1" x14ac:dyDescent="0.4">
      <c r="A130" s="15" t="s">
        <v>10693</v>
      </c>
      <c r="B130" s="15" t="s">
        <v>10437</v>
      </c>
      <c r="C130" s="15" t="s">
        <v>10618</v>
      </c>
      <c r="D130" s="15" t="s">
        <v>10302</v>
      </c>
      <c r="E130" s="15" t="s">
        <v>10815</v>
      </c>
      <c r="F130" s="15">
        <v>1963726</v>
      </c>
      <c r="G130" s="15">
        <v>0.89712450607071414</v>
      </c>
      <c r="H130" s="15">
        <v>200</v>
      </c>
      <c r="I130" s="119">
        <v>935.6836311678112</v>
      </c>
      <c r="J130" s="120">
        <v>0.64322226972437591</v>
      </c>
      <c r="K130" s="15">
        <v>30</v>
      </c>
      <c r="L130" s="15">
        <v>848.511130751113</v>
      </c>
      <c r="M130" s="15">
        <v>379.26895083755807</v>
      </c>
      <c r="N130" s="15">
        <v>8219979.275606934</v>
      </c>
      <c r="O130" s="15">
        <v>1535981.2174502737</v>
      </c>
      <c r="P130" s="15">
        <v>3106258.2434331989</v>
      </c>
      <c r="Q130" s="15">
        <v>3577739.8147234609</v>
      </c>
      <c r="R130" s="15">
        <v>655543.34722965304</v>
      </c>
      <c r="S130" s="15">
        <v>1373675.671658596</v>
      </c>
      <c r="T130" s="15">
        <v>1548520.7958352126</v>
      </c>
      <c r="U130" s="15">
        <v>0</v>
      </c>
      <c r="V130" s="15">
        <v>998198115.32089341</v>
      </c>
      <c r="W130" s="15">
        <v>0</v>
      </c>
      <c r="X130" s="15">
        <v>0</v>
      </c>
      <c r="Y130" s="15">
        <v>1101.8584118738061</v>
      </c>
      <c r="Z130" s="15">
        <v>0</v>
      </c>
      <c r="AA130" s="15">
        <v>30.524000000000001</v>
      </c>
      <c r="AB130" s="15">
        <v>1072.8140000000001</v>
      </c>
      <c r="AC130" s="15">
        <v>-1.4795881261940915</v>
      </c>
      <c r="AD130" s="15">
        <v>166.17478070599486</v>
      </c>
      <c r="AE130" s="15">
        <v>1.1097715531791384E-3</v>
      </c>
      <c r="AF130" s="15">
        <v>0</v>
      </c>
      <c r="AG130" s="15">
        <v>0</v>
      </c>
      <c r="AH130" s="15">
        <v>1.2417978804473253E-3</v>
      </c>
      <c r="AI130" s="15">
        <v>101.46076874999997</v>
      </c>
      <c r="AJ130" s="15">
        <v>44.401685151561146</v>
      </c>
      <c r="AK130" s="15">
        <v>0</v>
      </c>
      <c r="AL130" s="15">
        <v>0</v>
      </c>
      <c r="AM130" s="15">
        <v>20.309975235000003</v>
      </c>
      <c r="AN130" s="15">
        <v>-112.31151275418937</v>
      </c>
      <c r="AO130" s="15">
        <v>935.6836311678112</v>
      </c>
      <c r="AP130" s="15">
        <v>2.3515694336264637E-3</v>
      </c>
      <c r="AQ130" s="15">
        <v>1.1097715531791384E-3</v>
      </c>
      <c r="AR130" s="15">
        <v>0</v>
      </c>
      <c r="AS130" s="15">
        <v>0</v>
      </c>
      <c r="AT130" s="15">
        <v>1.2417978804473253E-3</v>
      </c>
      <c r="AU130" s="15">
        <v>235.67541670827686</v>
      </c>
      <c r="AV130" s="15">
        <v>43.099875438362425</v>
      </c>
      <c r="AW130" s="15">
        <v>43.099875438362425</v>
      </c>
      <c r="AX130" s="15">
        <v>0</v>
      </c>
      <c r="AY130" s="15">
        <v>0</v>
      </c>
      <c r="AZ130" s="15">
        <v>35.338639284902207</v>
      </c>
      <c r="BA130" s="15">
        <v>0</v>
      </c>
      <c r="BB130" s="15">
        <v>14.72443303537592</v>
      </c>
      <c r="BC130" s="15">
        <v>20.614206249526287</v>
      </c>
      <c r="BD130" s="15">
        <v>0</v>
      </c>
      <c r="BE130" s="15">
        <v>157.23690198501222</v>
      </c>
      <c r="BF130" s="15">
        <v>55.170842801758674</v>
      </c>
      <c r="BG130" s="15">
        <v>0</v>
      </c>
      <c r="BH130" s="15">
        <v>102.06605918325354</v>
      </c>
      <c r="BI130" s="15">
        <v>0</v>
      </c>
      <c r="BJ130" s="15">
        <v>235.67776827771047</v>
      </c>
      <c r="BK130" s="55">
        <v>401.85254898370533</v>
      </c>
      <c r="BL130" s="55">
        <v>-407.77032907248048</v>
      </c>
      <c r="BM130" s="55">
        <v>0.64322226972437591</v>
      </c>
    </row>
    <row r="131" spans="1:65" s="52" customFormat="1" x14ac:dyDescent="0.4">
      <c r="A131" s="15" t="s">
        <v>10693</v>
      </c>
      <c r="B131" s="15" t="s">
        <v>10437</v>
      </c>
      <c r="C131" s="15" t="s">
        <v>10618</v>
      </c>
      <c r="D131" s="15" t="s">
        <v>10303</v>
      </c>
      <c r="E131" s="15" t="s">
        <v>10816</v>
      </c>
      <c r="F131" s="15">
        <v>1963726</v>
      </c>
      <c r="G131" s="15">
        <v>0.89712450607071414</v>
      </c>
      <c r="H131" s="15">
        <v>200</v>
      </c>
      <c r="I131" s="119">
        <v>980.08713394662072</v>
      </c>
      <c r="J131" s="120">
        <v>0.56877307834501101</v>
      </c>
      <c r="K131" s="15">
        <v>30</v>
      </c>
      <c r="L131" s="15">
        <v>848.511130751113</v>
      </c>
      <c r="M131" s="15">
        <v>379.26895083755807</v>
      </c>
      <c r="N131" s="15">
        <v>8219979.275606934</v>
      </c>
      <c r="O131" s="15">
        <v>1535981.2174502737</v>
      </c>
      <c r="P131" s="15">
        <v>3106258.2434331989</v>
      </c>
      <c r="Q131" s="15">
        <v>3577739.8147234609</v>
      </c>
      <c r="R131" s="15">
        <v>655543.34722965304</v>
      </c>
      <c r="S131" s="15">
        <v>1373675.671658596</v>
      </c>
      <c r="T131" s="15">
        <v>1548520.7958352126</v>
      </c>
      <c r="U131" s="15">
        <v>0</v>
      </c>
      <c r="V131" s="15">
        <v>0</v>
      </c>
      <c r="W131" s="15">
        <v>249549528.83022335</v>
      </c>
      <c r="X131" s="15">
        <v>0</v>
      </c>
      <c r="Y131" s="15">
        <v>1101.8584118738061</v>
      </c>
      <c r="Z131" s="15">
        <v>0</v>
      </c>
      <c r="AA131" s="15">
        <v>30.524000000000001</v>
      </c>
      <c r="AB131" s="15">
        <v>1072.8140000000001</v>
      </c>
      <c r="AC131" s="15">
        <v>-1.4795881261940915</v>
      </c>
      <c r="AD131" s="15">
        <v>121.77127792718534</v>
      </c>
      <c r="AE131" s="15">
        <v>-1.2610408003686973E-3</v>
      </c>
      <c r="AF131" s="15">
        <v>7.3778108307827128E-5</v>
      </c>
      <c r="AG131" s="15">
        <v>1.5928337859368868E-4</v>
      </c>
      <c r="AH131" s="15">
        <v>0</v>
      </c>
      <c r="AI131" s="15">
        <v>101.46076874999997</v>
      </c>
      <c r="AJ131" s="15">
        <v>0</v>
      </c>
      <c r="AK131" s="15">
        <v>1.561921498631685E-3</v>
      </c>
      <c r="AL131" s="15">
        <v>0</v>
      </c>
      <c r="AM131" s="15">
        <v>20.309975235000003</v>
      </c>
      <c r="AN131" s="15">
        <v>-82.300794235497563</v>
      </c>
      <c r="AO131" s="15">
        <v>980.08713394662072</v>
      </c>
      <c r="AP131" s="15">
        <v>0</v>
      </c>
      <c r="AQ131" s="15">
        <v>0</v>
      </c>
      <c r="AR131" s="15">
        <v>0</v>
      </c>
      <c r="AS131" s="15">
        <v>0</v>
      </c>
      <c r="AT131" s="15">
        <v>0</v>
      </c>
      <c r="AU131" s="15">
        <v>235.67589829397329</v>
      </c>
      <c r="AV131" s="15">
        <v>43.099875438362425</v>
      </c>
      <c r="AW131" s="15">
        <v>43.099875438362425</v>
      </c>
      <c r="AX131" s="15">
        <v>0</v>
      </c>
      <c r="AY131" s="15">
        <v>0</v>
      </c>
      <c r="AZ131" s="15">
        <v>35.338639284902207</v>
      </c>
      <c r="BA131" s="15">
        <v>0</v>
      </c>
      <c r="BB131" s="15">
        <v>14.72443303537592</v>
      </c>
      <c r="BC131" s="15">
        <v>20.614206249526287</v>
      </c>
      <c r="BD131" s="15">
        <v>0</v>
      </c>
      <c r="BE131" s="15">
        <v>157.23738357070866</v>
      </c>
      <c r="BF131" s="15">
        <v>55.171011779196022</v>
      </c>
      <c r="BG131" s="15">
        <v>0</v>
      </c>
      <c r="BH131" s="15">
        <v>102.06637179151264</v>
      </c>
      <c r="BI131" s="15">
        <v>0</v>
      </c>
      <c r="BJ131" s="15">
        <v>235.67589829397329</v>
      </c>
      <c r="BK131" s="51">
        <v>357.44717622115866</v>
      </c>
      <c r="BL131" s="51">
        <v>-377.75834669954162</v>
      </c>
      <c r="BM131" s="51">
        <v>0.56877307834501101</v>
      </c>
    </row>
    <row r="132" spans="1:65" s="56" customFormat="1" x14ac:dyDescent="0.4">
      <c r="A132" s="15" t="s">
        <v>10693</v>
      </c>
      <c r="B132" s="15" t="s">
        <v>10437</v>
      </c>
      <c r="C132" s="15" t="s">
        <v>10618</v>
      </c>
      <c r="D132" s="15" t="s">
        <v>10304</v>
      </c>
      <c r="E132" s="15" t="s">
        <v>10817</v>
      </c>
      <c r="F132" s="15">
        <v>1963726</v>
      </c>
      <c r="G132" s="15">
        <v>0.89712450607071414</v>
      </c>
      <c r="H132" s="15">
        <v>200</v>
      </c>
      <c r="I132" s="119">
        <v>980.08736700810778</v>
      </c>
      <c r="J132" s="120">
        <v>0.56877273918205906</v>
      </c>
      <c r="K132" s="15">
        <v>30</v>
      </c>
      <c r="L132" s="15">
        <v>848.511130751113</v>
      </c>
      <c r="M132" s="15">
        <v>379.26895083755807</v>
      </c>
      <c r="N132" s="15">
        <v>8219979.275606934</v>
      </c>
      <c r="O132" s="15">
        <v>1535981.2174502737</v>
      </c>
      <c r="P132" s="15">
        <v>3106258.2434331989</v>
      </c>
      <c r="Q132" s="15">
        <v>3577739.8147234609</v>
      </c>
      <c r="R132" s="15">
        <v>655543.34722965304</v>
      </c>
      <c r="S132" s="15">
        <v>1373675.671658596</v>
      </c>
      <c r="T132" s="15">
        <v>1548520.7958352126</v>
      </c>
      <c r="U132" s="15">
        <v>0</v>
      </c>
      <c r="V132" s="15">
        <v>0</v>
      </c>
      <c r="W132" s="15">
        <v>0</v>
      </c>
      <c r="X132" s="15">
        <v>249549528830.22336</v>
      </c>
      <c r="Y132" s="15">
        <v>1101.8584118738061</v>
      </c>
      <c r="Z132" s="15">
        <v>0</v>
      </c>
      <c r="AA132" s="15">
        <v>30.524000000000001</v>
      </c>
      <c r="AB132" s="15">
        <v>1072.8140000000001</v>
      </c>
      <c r="AC132" s="15">
        <v>-1.4795881261940915</v>
      </c>
      <c r="AD132" s="15">
        <v>121.77104486569829</v>
      </c>
      <c r="AE132" s="15">
        <v>-1.2610408003686973E-3</v>
      </c>
      <c r="AF132" s="15">
        <v>0</v>
      </c>
      <c r="AG132" s="15">
        <v>0</v>
      </c>
      <c r="AH132" s="15">
        <v>0</v>
      </c>
      <c r="AI132" s="15">
        <v>101.46076874999997</v>
      </c>
      <c r="AJ132" s="15">
        <v>0</v>
      </c>
      <c r="AK132" s="15">
        <v>1.561921498631685E-3</v>
      </c>
      <c r="AL132" s="15">
        <v>0</v>
      </c>
      <c r="AM132" s="15">
        <v>20.309975235000003</v>
      </c>
      <c r="AN132" s="15">
        <v>-82.300636717683716</v>
      </c>
      <c r="AO132" s="15">
        <v>980.08736700810778</v>
      </c>
      <c r="AP132" s="15">
        <v>0</v>
      </c>
      <c r="AQ132" s="15">
        <v>0</v>
      </c>
      <c r="AR132" s="15">
        <v>0</v>
      </c>
      <c r="AS132" s="15">
        <v>0</v>
      </c>
      <c r="AT132" s="15">
        <v>0</v>
      </c>
      <c r="AU132" s="15">
        <v>235.67593150523521</v>
      </c>
      <c r="AV132" s="15">
        <v>43.099875438362425</v>
      </c>
      <c r="AW132" s="15">
        <v>43.099875438362425</v>
      </c>
      <c r="AX132" s="15">
        <v>0</v>
      </c>
      <c r="AY132" s="15">
        <v>0</v>
      </c>
      <c r="AZ132" s="15">
        <v>35.338639284902207</v>
      </c>
      <c r="BA132" s="15">
        <v>0</v>
      </c>
      <c r="BB132" s="15">
        <v>14.72443303537592</v>
      </c>
      <c r="BC132" s="15">
        <v>20.614206249526287</v>
      </c>
      <c r="BD132" s="15">
        <v>0</v>
      </c>
      <c r="BE132" s="15">
        <v>157.23741678197058</v>
      </c>
      <c r="BF132" s="15">
        <v>55.171023432270374</v>
      </c>
      <c r="BG132" s="15">
        <v>0</v>
      </c>
      <c r="BH132" s="15">
        <v>102.06639334970019</v>
      </c>
      <c r="BI132" s="15">
        <v>0</v>
      </c>
      <c r="BJ132" s="15">
        <v>235.67593150523521</v>
      </c>
      <c r="BK132" s="55">
        <v>357.4469763709335</v>
      </c>
      <c r="BL132" s="55">
        <v>-377.75821162801623</v>
      </c>
      <c r="BM132" s="55">
        <v>0.56877273918205906</v>
      </c>
    </row>
    <row r="133" spans="1:65" x14ac:dyDescent="0.4">
      <c r="A133" s="15" t="s">
        <v>10693</v>
      </c>
      <c r="B133" s="15" t="s">
        <v>10437</v>
      </c>
      <c r="C133" s="15" t="s">
        <v>10618</v>
      </c>
      <c r="D133" s="15" t="s">
        <v>10305</v>
      </c>
      <c r="E133" s="15" t="s">
        <v>10818</v>
      </c>
      <c r="F133" s="15">
        <v>1963726</v>
      </c>
      <c r="G133" s="15">
        <v>0.89712450607071414</v>
      </c>
      <c r="H133" s="15">
        <v>200</v>
      </c>
      <c r="I133" s="119">
        <v>980.10969312370094</v>
      </c>
      <c r="J133" s="120">
        <v>0.55878113752476577</v>
      </c>
      <c r="K133" s="15">
        <v>30</v>
      </c>
      <c r="L133" s="15">
        <v>549.78166614592033</v>
      </c>
      <c r="M133" s="15">
        <v>367.69531730562898</v>
      </c>
      <c r="N133" s="15">
        <v>8219979.275606934</v>
      </c>
      <c r="O133" s="15">
        <v>1158893.7781714434</v>
      </c>
      <c r="P133" s="15">
        <v>3240932.3288899241</v>
      </c>
      <c r="Q133" s="15">
        <v>3820153.1685455665</v>
      </c>
      <c r="R133" s="15">
        <v>655543.34722965304</v>
      </c>
      <c r="S133" s="15">
        <v>1616089.0254807011</v>
      </c>
      <c r="T133" s="15">
        <v>1548520.7958352126</v>
      </c>
      <c r="U133" s="15">
        <v>0</v>
      </c>
      <c r="V133" s="15">
        <v>0</v>
      </c>
      <c r="W133" s="15">
        <v>0</v>
      </c>
      <c r="X133" s="15">
        <v>0</v>
      </c>
      <c r="Y133" s="15">
        <v>1101.8794648353792</v>
      </c>
      <c r="Z133" s="15">
        <v>0</v>
      </c>
      <c r="AA133" s="15">
        <v>30.524000000000001</v>
      </c>
      <c r="AB133" s="15">
        <v>1072.8140000000001</v>
      </c>
      <c r="AC133" s="15">
        <v>-1.4585351646210911</v>
      </c>
      <c r="AD133" s="15">
        <v>121.76977171167823</v>
      </c>
      <c r="AE133" s="15">
        <v>-9.7227332189778464E-4</v>
      </c>
      <c r="AF133" s="15">
        <v>0</v>
      </c>
      <c r="AG133" s="15">
        <v>0</v>
      </c>
      <c r="AH133" s="15">
        <v>0</v>
      </c>
      <c r="AI133" s="15">
        <v>101.46076874999997</v>
      </c>
      <c r="AJ133" s="15">
        <v>0</v>
      </c>
      <c r="AK133" s="15">
        <v>0</v>
      </c>
      <c r="AL133" s="15">
        <v>0</v>
      </c>
      <c r="AM133" s="15">
        <v>20.309975235000003</v>
      </c>
      <c r="AN133" s="15">
        <v>-83.487717447876875</v>
      </c>
      <c r="AO133" s="15">
        <v>980.10969312370094</v>
      </c>
      <c r="AP133" s="15">
        <v>0</v>
      </c>
      <c r="AQ133" s="15">
        <v>0</v>
      </c>
      <c r="AR133" s="15">
        <v>0</v>
      </c>
      <c r="AS133" s="15">
        <v>0</v>
      </c>
      <c r="AT133" s="15">
        <v>0</v>
      </c>
      <c r="AU133" s="15">
        <v>225.89703751103249</v>
      </c>
      <c r="AV133" s="15">
        <v>41.261868351815657</v>
      </c>
      <c r="AW133" s="15">
        <v>41.261868351815657</v>
      </c>
      <c r="AX133" s="15">
        <v>0</v>
      </c>
      <c r="AY133" s="15">
        <v>0</v>
      </c>
      <c r="AZ133" s="15">
        <v>27.398511535685699</v>
      </c>
      <c r="BA133" s="15">
        <v>0</v>
      </c>
      <c r="BB133" s="15">
        <v>11.416046473202377</v>
      </c>
      <c r="BC133" s="15">
        <v>15.982465062483325</v>
      </c>
      <c r="BD133" s="15">
        <v>0</v>
      </c>
      <c r="BE133" s="15">
        <v>157.23665762353113</v>
      </c>
      <c r="BF133" s="15">
        <v>55.170757060888121</v>
      </c>
      <c r="BG133" s="15">
        <v>0</v>
      </c>
      <c r="BH133" s="15">
        <v>102.06590056264301</v>
      </c>
      <c r="BI133" s="15">
        <v>0</v>
      </c>
      <c r="BJ133" s="15">
        <v>225.89703751103249</v>
      </c>
      <c r="BK133" s="15">
        <v>347.66680922271075</v>
      </c>
      <c r="BL133" s="15">
        <v>-376.49098746960118</v>
      </c>
      <c r="BM133" s="15">
        <v>0.55878113752476577</v>
      </c>
    </row>
    <row r="134" spans="1:65" x14ac:dyDescent="0.4">
      <c r="A134" s="15" t="s">
        <v>10693</v>
      </c>
      <c r="B134" s="15" t="s">
        <v>10437</v>
      </c>
      <c r="C134" s="15" t="s">
        <v>10618</v>
      </c>
      <c r="D134" s="15" t="s">
        <v>10306</v>
      </c>
      <c r="E134" s="15" t="s">
        <v>10819</v>
      </c>
      <c r="F134" s="15">
        <v>1963726</v>
      </c>
      <c r="G134" s="15">
        <v>0.89712450607071414</v>
      </c>
      <c r="H134" s="15">
        <v>200</v>
      </c>
      <c r="I134" s="119">
        <v>962.15882075777131</v>
      </c>
      <c r="J134" s="120">
        <v>0.59832282406030657</v>
      </c>
      <c r="K134" s="15">
        <v>30</v>
      </c>
      <c r="L134" s="15">
        <v>1117.8797163063678</v>
      </c>
      <c r="M134" s="15">
        <v>377.66096264131778</v>
      </c>
      <c r="N134" s="15">
        <v>8219979.275606934</v>
      </c>
      <c r="O134" s="15">
        <v>1884121.9997100541</v>
      </c>
      <c r="P134" s="15">
        <v>2768489.020024416</v>
      </c>
      <c r="Q134" s="15">
        <v>3567368.2558724657</v>
      </c>
      <c r="R134" s="15">
        <v>655543.34722965304</v>
      </c>
      <c r="S134" s="15">
        <v>0</v>
      </c>
      <c r="T134" s="15">
        <v>2911824.9086428126</v>
      </c>
      <c r="U134" s="15">
        <v>0</v>
      </c>
      <c r="V134" s="15">
        <v>0</v>
      </c>
      <c r="W134" s="15">
        <v>0</v>
      </c>
      <c r="X134" s="15">
        <v>0</v>
      </c>
      <c r="Y134" s="15">
        <v>1101.8082726286109</v>
      </c>
      <c r="Z134" s="15">
        <v>0</v>
      </c>
      <c r="AA134" s="15">
        <v>30.524000000000001</v>
      </c>
      <c r="AB134" s="15">
        <v>1072.8140000000001</v>
      </c>
      <c r="AC134" s="15">
        <v>-1.5297273713893313</v>
      </c>
      <c r="AD134" s="15">
        <v>139.64945187083958</v>
      </c>
      <c r="AE134" s="15">
        <v>-2.01599166043896E-3</v>
      </c>
      <c r="AF134" s="15">
        <v>0</v>
      </c>
      <c r="AG134" s="15">
        <v>0</v>
      </c>
      <c r="AH134" s="15">
        <v>0</v>
      </c>
      <c r="AI134" s="15">
        <v>101.46076874999997</v>
      </c>
      <c r="AJ134" s="15">
        <v>0</v>
      </c>
      <c r="AK134" s="15">
        <v>0</v>
      </c>
      <c r="AL134" s="15">
        <v>0</v>
      </c>
      <c r="AM134" s="15">
        <v>38.19069911250002</v>
      </c>
      <c r="AN134" s="15">
        <v>-91.29041846457055</v>
      </c>
      <c r="AO134" s="15">
        <v>962.15882075777131</v>
      </c>
      <c r="AP134" s="15">
        <v>0</v>
      </c>
      <c r="AQ134" s="15">
        <v>0</v>
      </c>
      <c r="AR134" s="15">
        <v>0</v>
      </c>
      <c r="AS134" s="15">
        <v>0</v>
      </c>
      <c r="AT134" s="15">
        <v>0</v>
      </c>
      <c r="AU134" s="15">
        <v>236.03213095948442</v>
      </c>
      <c r="AV134" s="15">
        <v>47.502535960107764</v>
      </c>
      <c r="AW134" s="15">
        <v>47.502535960107764</v>
      </c>
      <c r="AX134" s="15">
        <v>0</v>
      </c>
      <c r="AY134" s="15">
        <v>0</v>
      </c>
      <c r="AZ134" s="15">
        <v>31.291684065292522</v>
      </c>
      <c r="BA134" s="15">
        <v>0</v>
      </c>
      <c r="BB134" s="15">
        <v>13.038201693871885</v>
      </c>
      <c r="BC134" s="15">
        <v>18.253482371420638</v>
      </c>
      <c r="BD134" s="15">
        <v>0</v>
      </c>
      <c r="BE134" s="15">
        <v>157.23791093408414</v>
      </c>
      <c r="BF134" s="15">
        <v>55.171196818976888</v>
      </c>
      <c r="BG134" s="15">
        <v>0</v>
      </c>
      <c r="BH134" s="15">
        <v>102.06671411510725</v>
      </c>
      <c r="BI134" s="15">
        <v>0</v>
      </c>
      <c r="BJ134" s="15">
        <v>236.03213095948442</v>
      </c>
      <c r="BK134" s="15">
        <v>375.68158283032403</v>
      </c>
      <c r="BL134" s="15">
        <v>-377.32953008317918</v>
      </c>
      <c r="BM134" s="15">
        <v>0.59832282406030657</v>
      </c>
    </row>
    <row r="135" spans="1:65" x14ac:dyDescent="0.4">
      <c r="A135" s="15" t="s">
        <v>10693</v>
      </c>
      <c r="B135" s="15" t="s">
        <v>10437</v>
      </c>
      <c r="C135" s="15" t="s">
        <v>10618</v>
      </c>
      <c r="D135" s="15" t="s">
        <v>10307</v>
      </c>
      <c r="E135" s="15" t="s">
        <v>10820</v>
      </c>
      <c r="F135" s="15">
        <v>1963726</v>
      </c>
      <c r="G135" s="15">
        <v>0.89712450607071414</v>
      </c>
      <c r="H135" s="15">
        <v>200</v>
      </c>
      <c r="I135" s="119">
        <v>620.45575478681303</v>
      </c>
      <c r="J135" s="120">
        <v>1.5306551678787148</v>
      </c>
      <c r="K135" s="15">
        <v>30</v>
      </c>
      <c r="L135" s="15">
        <v>2457.089869561456</v>
      </c>
      <c r="M135" s="15">
        <v>363.95621276213581</v>
      </c>
      <c r="N135" s="15">
        <v>8219979.275606934</v>
      </c>
      <c r="O135" s="15">
        <v>6007158.8304082518</v>
      </c>
      <c r="P135" s="15">
        <v>1512887.1856754562</v>
      </c>
      <c r="Q135" s="15">
        <v>699933.25952322735</v>
      </c>
      <c r="R135" s="15">
        <v>699933.25952322735</v>
      </c>
      <c r="S135" s="15">
        <v>0</v>
      </c>
      <c r="T135" s="15">
        <v>0</v>
      </c>
      <c r="U135" s="15">
        <v>5357408210.8208227</v>
      </c>
      <c r="V135" s="15">
        <v>0</v>
      </c>
      <c r="W135" s="15">
        <v>0</v>
      </c>
      <c r="X135" s="15">
        <v>0</v>
      </c>
      <c r="Y135" s="15">
        <v>1101.5186352365758</v>
      </c>
      <c r="Z135" s="15">
        <v>0</v>
      </c>
      <c r="AA135" s="15">
        <v>30.524000000000001</v>
      </c>
      <c r="AB135" s="15">
        <v>1072.8140000000001</v>
      </c>
      <c r="AC135" s="15">
        <v>-1.8193647634243568</v>
      </c>
      <c r="AD135" s="15">
        <v>481.06288044976282</v>
      </c>
      <c r="AE135" s="15">
        <v>4.3029576016131339E-3</v>
      </c>
      <c r="AF135" s="15">
        <v>0</v>
      </c>
      <c r="AG135" s="15">
        <v>0</v>
      </c>
      <c r="AH135" s="15">
        <v>1.9202742741443247E-3</v>
      </c>
      <c r="AI135" s="15">
        <v>123.0003582294425</v>
      </c>
      <c r="AJ135" s="15">
        <v>358.05629898844427</v>
      </c>
      <c r="AK135" s="15">
        <v>0</v>
      </c>
      <c r="AL135" s="15">
        <v>0</v>
      </c>
      <c r="AM135" s="15">
        <v>0</v>
      </c>
      <c r="AN135" s="15">
        <v>-264.41255218349943</v>
      </c>
      <c r="AO135" s="15">
        <v>620.45575478681303</v>
      </c>
      <c r="AP135" s="15">
        <v>6.2232318757574588E-3</v>
      </c>
      <c r="AQ135" s="15">
        <v>4.3029576016131339E-3</v>
      </c>
      <c r="AR135" s="15">
        <v>0</v>
      </c>
      <c r="AS135" s="15">
        <v>0</v>
      </c>
      <c r="AT135" s="15">
        <v>1.9202742741443247E-3</v>
      </c>
      <c r="AU135" s="15">
        <v>268.6347038228854</v>
      </c>
      <c r="AV135" s="15">
        <v>69.313041684627791</v>
      </c>
      <c r="AW135" s="15">
        <v>69.313041684627791</v>
      </c>
      <c r="AX135" s="15">
        <v>0</v>
      </c>
      <c r="AY135" s="15">
        <v>0</v>
      </c>
      <c r="AZ135" s="15">
        <v>42.083357430895489</v>
      </c>
      <c r="BA135" s="15">
        <v>0</v>
      </c>
      <c r="BB135" s="15">
        <v>17.534732262873121</v>
      </c>
      <c r="BC135" s="15">
        <v>24.548625168022365</v>
      </c>
      <c r="BD135" s="15">
        <v>0</v>
      </c>
      <c r="BE135" s="15">
        <v>157.23830470736209</v>
      </c>
      <c r="BF135" s="15">
        <v>55.171334985039323</v>
      </c>
      <c r="BG135" s="15">
        <v>0</v>
      </c>
      <c r="BH135" s="15">
        <v>102.06696972232275</v>
      </c>
      <c r="BI135" s="15">
        <v>0</v>
      </c>
      <c r="BJ135" s="15">
        <v>268.64092705476116</v>
      </c>
      <c r="BK135" s="15">
        <v>749.70380750452398</v>
      </c>
      <c r="BL135" s="15">
        <v>-522.99747219299684</v>
      </c>
      <c r="BM135" s="15">
        <v>1.5306551678787148</v>
      </c>
    </row>
    <row r="136" spans="1:65" x14ac:dyDescent="0.4">
      <c r="A136" s="15" t="s">
        <v>10693</v>
      </c>
      <c r="B136" s="15" t="s">
        <v>10437</v>
      </c>
      <c r="C136" s="15" t="s">
        <v>10618</v>
      </c>
      <c r="D136" s="15" t="s">
        <v>10308</v>
      </c>
      <c r="E136" s="15" t="s">
        <v>10821</v>
      </c>
      <c r="F136" s="15">
        <v>1963726</v>
      </c>
      <c r="G136" s="15">
        <v>0.89712450607071414</v>
      </c>
      <c r="H136" s="15">
        <v>200</v>
      </c>
      <c r="I136" s="119">
        <v>620.45575478681303</v>
      </c>
      <c r="J136" s="120">
        <v>1.5306551678787148</v>
      </c>
      <c r="K136" s="15">
        <v>30</v>
      </c>
      <c r="L136" s="15">
        <v>2457.089869561456</v>
      </c>
      <c r="M136" s="15">
        <v>363.95621276213581</v>
      </c>
      <c r="N136" s="15">
        <v>8219979.275606934</v>
      </c>
      <c r="O136" s="15">
        <v>6007158.8304082518</v>
      </c>
      <c r="P136" s="15">
        <v>1512887.1856754562</v>
      </c>
      <c r="Q136" s="15">
        <v>699933.25952322735</v>
      </c>
      <c r="R136" s="15">
        <v>699933.25952322735</v>
      </c>
      <c r="S136" s="15">
        <v>0</v>
      </c>
      <c r="T136" s="15">
        <v>0</v>
      </c>
      <c r="U136" s="15">
        <v>5357408210.8208227</v>
      </c>
      <c r="V136" s="15">
        <v>0</v>
      </c>
      <c r="W136" s="15">
        <v>0</v>
      </c>
      <c r="X136" s="15">
        <v>0</v>
      </c>
      <c r="Y136" s="15">
        <v>1101.5186352365758</v>
      </c>
      <c r="Z136" s="15">
        <v>0</v>
      </c>
      <c r="AA136" s="15">
        <v>30.524000000000001</v>
      </c>
      <c r="AB136" s="15">
        <v>1072.8140000000001</v>
      </c>
      <c r="AC136" s="15">
        <v>-1.8193647634243568</v>
      </c>
      <c r="AD136" s="15">
        <v>481.06288044976282</v>
      </c>
      <c r="AE136" s="15">
        <v>4.3029576016131339E-3</v>
      </c>
      <c r="AF136" s="15">
        <v>0</v>
      </c>
      <c r="AG136" s="15">
        <v>0</v>
      </c>
      <c r="AH136" s="15">
        <v>1.9202742741443247E-3</v>
      </c>
      <c r="AI136" s="15">
        <v>123.0003582294425</v>
      </c>
      <c r="AJ136" s="15">
        <v>358.05629898844427</v>
      </c>
      <c r="AK136" s="15">
        <v>0</v>
      </c>
      <c r="AL136" s="15">
        <v>0</v>
      </c>
      <c r="AM136" s="15">
        <v>0</v>
      </c>
      <c r="AN136" s="15">
        <v>-264.41255218349943</v>
      </c>
      <c r="AO136" s="15">
        <v>620.45575478681303</v>
      </c>
      <c r="AP136" s="15">
        <v>6.2232318757574588E-3</v>
      </c>
      <c r="AQ136" s="15">
        <v>4.3029576016131339E-3</v>
      </c>
      <c r="AR136" s="15">
        <v>0</v>
      </c>
      <c r="AS136" s="15">
        <v>0</v>
      </c>
      <c r="AT136" s="15">
        <v>1.9202742741443247E-3</v>
      </c>
      <c r="AU136" s="15">
        <v>268.6347038228854</v>
      </c>
      <c r="AV136" s="15">
        <v>69.313041684627791</v>
      </c>
      <c r="AW136" s="15">
        <v>69.313041684627791</v>
      </c>
      <c r="AX136" s="15">
        <v>0</v>
      </c>
      <c r="AY136" s="15">
        <v>0</v>
      </c>
      <c r="AZ136" s="15">
        <v>42.083357430895489</v>
      </c>
      <c r="BA136" s="15">
        <v>0</v>
      </c>
      <c r="BB136" s="15">
        <v>17.534732262873121</v>
      </c>
      <c r="BC136" s="15">
        <v>24.548625168022365</v>
      </c>
      <c r="BD136" s="15">
        <v>0</v>
      </c>
      <c r="BE136" s="15">
        <v>157.23830470736209</v>
      </c>
      <c r="BF136" s="15">
        <v>55.171334985039323</v>
      </c>
      <c r="BG136" s="15">
        <v>0</v>
      </c>
      <c r="BH136" s="15">
        <v>102.06696972232275</v>
      </c>
      <c r="BI136" s="15">
        <v>0</v>
      </c>
      <c r="BJ136" s="15">
        <v>268.64092705476116</v>
      </c>
      <c r="BK136" s="15">
        <v>749.70380750452398</v>
      </c>
      <c r="BL136" s="15">
        <v>-522.99747219299684</v>
      </c>
      <c r="BM136" s="15">
        <v>1.5306551678787148</v>
      </c>
    </row>
    <row r="137" spans="1:65" s="56" customFormat="1" x14ac:dyDescent="0.4">
      <c r="A137" s="55" t="s">
        <v>10693</v>
      </c>
      <c r="B137" s="55" t="s">
        <v>10437</v>
      </c>
      <c r="C137" s="55" t="s">
        <v>10794</v>
      </c>
      <c r="D137" s="55" t="s">
        <v>10307</v>
      </c>
      <c r="E137" s="55" t="s">
        <v>10822</v>
      </c>
      <c r="F137" s="55">
        <v>1963726</v>
      </c>
      <c r="G137" s="55">
        <v>0.89712450607071414</v>
      </c>
      <c r="H137" s="55">
        <v>200</v>
      </c>
      <c r="I137" s="55">
        <v>620.45575478681303</v>
      </c>
      <c r="J137" s="92">
        <v>1.5306551678787148</v>
      </c>
      <c r="K137" s="55">
        <v>30</v>
      </c>
      <c r="L137" s="55">
        <v>2457.089869561456</v>
      </c>
      <c r="M137" s="55">
        <v>363.95621276213581</v>
      </c>
      <c r="N137" s="55">
        <v>8219979.275606934</v>
      </c>
      <c r="O137" s="55">
        <v>6007158.8304082518</v>
      </c>
      <c r="P137" s="55">
        <v>1512887.1856754562</v>
      </c>
      <c r="Q137" s="55">
        <v>699933.25952322735</v>
      </c>
      <c r="R137" s="55">
        <v>699933.25952322735</v>
      </c>
      <c r="S137" s="55">
        <v>0</v>
      </c>
      <c r="T137" s="55">
        <v>0</v>
      </c>
      <c r="U137" s="55">
        <v>5357408210.8208227</v>
      </c>
      <c r="V137" s="55">
        <v>0</v>
      </c>
      <c r="W137" s="55">
        <v>0</v>
      </c>
      <c r="X137" s="55">
        <v>0</v>
      </c>
      <c r="Y137" s="55">
        <v>1101.5186352365758</v>
      </c>
      <c r="Z137" s="55">
        <v>0</v>
      </c>
      <c r="AA137" s="55">
        <v>30.524000000000001</v>
      </c>
      <c r="AB137" s="55">
        <v>1072.8140000000001</v>
      </c>
      <c r="AC137" s="55">
        <v>-1.8193647634243568</v>
      </c>
      <c r="AD137" s="55">
        <v>481.06288044976282</v>
      </c>
      <c r="AE137" s="55">
        <v>4.3029576016131339E-3</v>
      </c>
      <c r="AF137" s="55">
        <v>0</v>
      </c>
      <c r="AG137" s="55">
        <v>0</v>
      </c>
      <c r="AH137" s="55">
        <v>1.9202742741443247E-3</v>
      </c>
      <c r="AI137" s="55">
        <v>123.0003582294425</v>
      </c>
      <c r="AJ137" s="55">
        <v>358.05629898844427</v>
      </c>
      <c r="AK137" s="55">
        <v>0</v>
      </c>
      <c r="AL137" s="55">
        <v>0</v>
      </c>
      <c r="AM137" s="55">
        <v>0</v>
      </c>
      <c r="AN137" s="55">
        <v>-264.41255218349943</v>
      </c>
      <c r="AO137" s="55">
        <v>620.45575478681303</v>
      </c>
      <c r="AP137" s="55">
        <v>6.2232318757574588E-3</v>
      </c>
      <c r="AQ137" s="55">
        <v>4.3029576016131339E-3</v>
      </c>
      <c r="AR137" s="55">
        <v>0</v>
      </c>
      <c r="AS137" s="55">
        <v>0</v>
      </c>
      <c r="AT137" s="55">
        <v>1.9202742741443247E-3</v>
      </c>
      <c r="AU137" s="55">
        <v>268.6347038228854</v>
      </c>
      <c r="AV137" s="55">
        <v>69.313041684627791</v>
      </c>
      <c r="AW137" s="55">
        <v>69.313041684627791</v>
      </c>
      <c r="AX137" s="55">
        <v>0</v>
      </c>
      <c r="AY137" s="55">
        <v>0</v>
      </c>
      <c r="AZ137" s="55">
        <v>42.083357430895489</v>
      </c>
      <c r="BA137" s="55">
        <v>0</v>
      </c>
      <c r="BB137" s="55">
        <v>17.534732262873121</v>
      </c>
      <c r="BC137" s="55">
        <v>24.548625168022365</v>
      </c>
      <c r="BD137" s="55">
        <v>0</v>
      </c>
      <c r="BE137" s="55">
        <v>157.23830470736209</v>
      </c>
      <c r="BF137" s="55">
        <v>55.171334985039323</v>
      </c>
      <c r="BG137" s="55">
        <v>0</v>
      </c>
      <c r="BH137" s="55">
        <v>102.06696972232275</v>
      </c>
      <c r="BI137" s="55">
        <v>0</v>
      </c>
      <c r="BJ137" s="55">
        <v>268.64092705476116</v>
      </c>
      <c r="BK137" s="55">
        <v>749.70380750452398</v>
      </c>
      <c r="BL137" s="55">
        <v>-522.99747219299684</v>
      </c>
      <c r="BM137" s="55">
        <v>1.5306551678787148</v>
      </c>
    </row>
    <row r="138" spans="1:65" x14ac:dyDescent="0.4">
      <c r="A138" s="15" t="s">
        <v>10693</v>
      </c>
      <c r="B138" s="15" t="s">
        <v>10437</v>
      </c>
      <c r="C138" s="15" t="s">
        <v>10619</v>
      </c>
      <c r="D138" s="15" t="s">
        <v>10302</v>
      </c>
      <c r="E138" s="15" t="s">
        <v>10823</v>
      </c>
      <c r="F138" s="15">
        <v>772545</v>
      </c>
      <c r="G138" s="15">
        <v>0.89712457766125608</v>
      </c>
      <c r="H138" s="15">
        <v>200</v>
      </c>
      <c r="I138" s="119">
        <v>864.26285116348447</v>
      </c>
      <c r="J138" s="120">
        <v>0.71839184091494024</v>
      </c>
      <c r="K138" s="15">
        <v>30</v>
      </c>
      <c r="L138" s="15">
        <v>442.01972734931405</v>
      </c>
      <c r="M138" s="15">
        <v>64.864864723390966</v>
      </c>
      <c r="N138" s="15">
        <v>3233803.6957437308</v>
      </c>
      <c r="O138" s="15">
        <v>604266.94168482558</v>
      </c>
      <c r="P138" s="15">
        <v>1222026.1208392181</v>
      </c>
      <c r="Q138" s="15">
        <v>1407510.6332196873</v>
      </c>
      <c r="R138" s="15">
        <v>257895.84473556257</v>
      </c>
      <c r="S138" s="15">
        <v>540414.67926144158</v>
      </c>
      <c r="T138" s="15">
        <v>609200.10922268289</v>
      </c>
      <c r="U138" s="15">
        <v>0</v>
      </c>
      <c r="V138" s="15">
        <v>392698892.07485735</v>
      </c>
      <c r="W138" s="15">
        <v>0</v>
      </c>
      <c r="X138" s="15">
        <v>0</v>
      </c>
      <c r="Y138" s="15">
        <v>1030.4374144920153</v>
      </c>
      <c r="Z138" s="15">
        <v>0</v>
      </c>
      <c r="AA138" s="15">
        <v>1035.6300000000001</v>
      </c>
      <c r="AB138" s="15">
        <v>0</v>
      </c>
      <c r="AC138" s="15">
        <v>-5.1925855079848944</v>
      </c>
      <c r="AD138" s="15">
        <v>166.17456332853078</v>
      </c>
      <c r="AE138" s="15">
        <v>1.4296815683635358E-3</v>
      </c>
      <c r="AF138" s="15">
        <v>0</v>
      </c>
      <c r="AG138" s="15">
        <v>0</v>
      </c>
      <c r="AH138" s="15">
        <v>3.1565159181445091E-3</v>
      </c>
      <c r="AI138" s="15">
        <v>101.46076874999999</v>
      </c>
      <c r="AJ138" s="15">
        <v>44.39923314604426</v>
      </c>
      <c r="AK138" s="15">
        <v>0</v>
      </c>
      <c r="AL138" s="15">
        <v>0</v>
      </c>
      <c r="AM138" s="15">
        <v>20.309975235000007</v>
      </c>
      <c r="AN138" s="15">
        <v>-32.002277684786506</v>
      </c>
      <c r="AO138" s="15">
        <v>864.26285116348447</v>
      </c>
      <c r="AP138" s="15">
        <v>4.586197486508045E-3</v>
      </c>
      <c r="AQ138" s="15">
        <v>1.4296815683635358E-3</v>
      </c>
      <c r="AR138" s="15">
        <v>0</v>
      </c>
      <c r="AS138" s="15">
        <v>0</v>
      </c>
      <c r="AT138" s="15">
        <v>3.1565159181445091E-3</v>
      </c>
      <c r="AU138" s="15">
        <v>254.70023115571331</v>
      </c>
      <c r="AV138" s="15">
        <v>56.852144906917204</v>
      </c>
      <c r="AW138" s="15">
        <v>56.852144906917204</v>
      </c>
      <c r="AX138" s="15">
        <v>0</v>
      </c>
      <c r="AY138" s="15">
        <v>0</v>
      </c>
      <c r="AZ138" s="15">
        <v>50.26538305870848</v>
      </c>
      <c r="BA138" s="15">
        <v>0</v>
      </c>
      <c r="BB138" s="15">
        <v>20.943909607795199</v>
      </c>
      <c r="BC138" s="15">
        <v>29.321473450913278</v>
      </c>
      <c r="BD138" s="15">
        <v>0</v>
      </c>
      <c r="BE138" s="15">
        <v>147.58270319008761</v>
      </c>
      <c r="BF138" s="15">
        <v>51.783404628100918</v>
      </c>
      <c r="BG138" s="15">
        <v>0</v>
      </c>
      <c r="BH138" s="15">
        <v>95.799298561986689</v>
      </c>
      <c r="BI138" s="15">
        <v>0</v>
      </c>
      <c r="BJ138" s="15">
        <v>254.70481735319981</v>
      </c>
      <c r="BK138" s="15">
        <v>420.87938068173059</v>
      </c>
      <c r="BL138" s="15">
        <v>-120.57037197114497</v>
      </c>
      <c r="BM138" s="15">
        <v>0.71839184091494024</v>
      </c>
    </row>
    <row r="139" spans="1:65" s="56" customFormat="1" x14ac:dyDescent="0.4">
      <c r="A139" s="15" t="s">
        <v>10693</v>
      </c>
      <c r="B139" s="15" t="s">
        <v>10437</v>
      </c>
      <c r="C139" s="15" t="s">
        <v>10619</v>
      </c>
      <c r="D139" s="15" t="s">
        <v>10303</v>
      </c>
      <c r="E139" s="15" t="s">
        <v>10824</v>
      </c>
      <c r="F139" s="15">
        <v>772545</v>
      </c>
      <c r="G139" s="15">
        <v>0.89712457766125608</v>
      </c>
      <c r="H139" s="15">
        <v>200</v>
      </c>
      <c r="I139" s="119">
        <v>908.66373241106351</v>
      </c>
      <c r="J139" s="120">
        <v>0.63442029574578696</v>
      </c>
      <c r="K139" s="15">
        <v>30</v>
      </c>
      <c r="L139" s="15">
        <v>442.01972734931405</v>
      </c>
      <c r="M139" s="15">
        <v>64.864864723390966</v>
      </c>
      <c r="N139" s="15">
        <v>3233803.6957437308</v>
      </c>
      <c r="O139" s="15">
        <v>604266.94168482558</v>
      </c>
      <c r="P139" s="15">
        <v>1222026.1208392181</v>
      </c>
      <c r="Q139" s="15">
        <v>1407510.6332196873</v>
      </c>
      <c r="R139" s="15">
        <v>257895.84473556257</v>
      </c>
      <c r="S139" s="15">
        <v>540414.67926144158</v>
      </c>
      <c r="T139" s="15">
        <v>609200.10922268289</v>
      </c>
      <c r="U139" s="15">
        <v>0</v>
      </c>
      <c r="V139" s="15">
        <v>0</v>
      </c>
      <c r="W139" s="15">
        <v>98174723.018714339</v>
      </c>
      <c r="X139" s="15">
        <v>0</v>
      </c>
      <c r="Y139" s="15">
        <v>1030.4374144920153</v>
      </c>
      <c r="Z139" s="15">
        <v>0</v>
      </c>
      <c r="AA139" s="15">
        <v>1035.6300000000001</v>
      </c>
      <c r="AB139" s="15">
        <v>0</v>
      </c>
      <c r="AC139" s="15">
        <v>-5.1925855079848944</v>
      </c>
      <c r="AD139" s="15">
        <v>121.77368208095174</v>
      </c>
      <c r="AE139" s="15">
        <v>-1.6245566793245305E-3</v>
      </c>
      <c r="AF139" s="15">
        <v>1.8753597260156091E-4</v>
      </c>
      <c r="AG139" s="15">
        <v>4.0488112271998966E-4</v>
      </c>
      <c r="AH139" s="15">
        <v>0</v>
      </c>
      <c r="AI139" s="15">
        <v>101.46076874999999</v>
      </c>
      <c r="AJ139" s="15">
        <v>0</v>
      </c>
      <c r="AK139" s="15">
        <v>3.9702355358724357E-3</v>
      </c>
      <c r="AL139" s="15">
        <v>0</v>
      </c>
      <c r="AM139" s="15">
        <v>20.309975235000007</v>
      </c>
      <c r="AN139" s="15">
        <v>-23.451454365786439</v>
      </c>
      <c r="AO139" s="15">
        <v>908.66373241106351</v>
      </c>
      <c r="AP139" s="15">
        <v>0</v>
      </c>
      <c r="AQ139" s="15">
        <v>0</v>
      </c>
      <c r="AR139" s="15">
        <v>0</v>
      </c>
      <c r="AS139" s="15">
        <v>0</v>
      </c>
      <c r="AT139" s="15">
        <v>0</v>
      </c>
      <c r="AU139" s="15">
        <v>254.70103176874585</v>
      </c>
      <c r="AV139" s="15">
        <v>56.852144906917204</v>
      </c>
      <c r="AW139" s="15">
        <v>56.852144906917204</v>
      </c>
      <c r="AX139" s="15">
        <v>0</v>
      </c>
      <c r="AY139" s="15">
        <v>0</v>
      </c>
      <c r="AZ139" s="15">
        <v>50.26538305870848</v>
      </c>
      <c r="BA139" s="15">
        <v>0</v>
      </c>
      <c r="BB139" s="15">
        <v>20.943909607795199</v>
      </c>
      <c r="BC139" s="15">
        <v>29.321473450913278</v>
      </c>
      <c r="BD139" s="15">
        <v>0</v>
      </c>
      <c r="BE139" s="15">
        <v>147.58350380312015</v>
      </c>
      <c r="BF139" s="15">
        <v>51.783685544954437</v>
      </c>
      <c r="BG139" s="15">
        <v>0</v>
      </c>
      <c r="BH139" s="15">
        <v>95.799818258165715</v>
      </c>
      <c r="BI139" s="15">
        <v>0</v>
      </c>
      <c r="BJ139" s="15">
        <v>254.70103176874585</v>
      </c>
      <c r="BK139" s="55">
        <v>376.47471384969759</v>
      </c>
      <c r="BL139" s="55">
        <v>-112.01881961562769</v>
      </c>
      <c r="BM139" s="55">
        <v>0.63442029574578696</v>
      </c>
    </row>
    <row r="140" spans="1:65" s="56" customFormat="1" x14ac:dyDescent="0.4">
      <c r="A140" s="15" t="s">
        <v>10693</v>
      </c>
      <c r="B140" s="15" t="s">
        <v>10437</v>
      </c>
      <c r="C140" s="15" t="s">
        <v>10619</v>
      </c>
      <c r="D140" s="15" t="s">
        <v>10304</v>
      </c>
      <c r="E140" s="15" t="s">
        <v>10825</v>
      </c>
      <c r="F140" s="15">
        <v>772545</v>
      </c>
      <c r="G140" s="15">
        <v>0.89712457766125608</v>
      </c>
      <c r="H140" s="15">
        <v>200</v>
      </c>
      <c r="I140" s="119">
        <v>908.66432482815878</v>
      </c>
      <c r="J140" s="120">
        <v>0.6344193230663675</v>
      </c>
      <c r="K140" s="15">
        <v>30</v>
      </c>
      <c r="L140" s="15">
        <v>442.01972734931405</v>
      </c>
      <c r="M140" s="15">
        <v>64.864864723390966</v>
      </c>
      <c r="N140" s="15">
        <v>3233803.6957437308</v>
      </c>
      <c r="O140" s="15">
        <v>604266.94168482558</v>
      </c>
      <c r="P140" s="15">
        <v>1222026.1208392181</v>
      </c>
      <c r="Q140" s="15">
        <v>1407510.6332196873</v>
      </c>
      <c r="R140" s="15">
        <v>257895.84473556257</v>
      </c>
      <c r="S140" s="15">
        <v>540414.67926144158</v>
      </c>
      <c r="T140" s="15">
        <v>609200.10922268289</v>
      </c>
      <c r="U140" s="15">
        <v>0</v>
      </c>
      <c r="V140" s="15">
        <v>0</v>
      </c>
      <c r="W140" s="15">
        <v>0</v>
      </c>
      <c r="X140" s="15">
        <v>98174723018.71434</v>
      </c>
      <c r="Y140" s="15">
        <v>1030.4374144920153</v>
      </c>
      <c r="Z140" s="15">
        <v>0</v>
      </c>
      <c r="AA140" s="15">
        <v>1035.6300000000001</v>
      </c>
      <c r="AB140" s="15">
        <v>0</v>
      </c>
      <c r="AC140" s="15">
        <v>-5.1925855079848944</v>
      </c>
      <c r="AD140" s="15">
        <v>121.77308966385647</v>
      </c>
      <c r="AE140" s="15">
        <v>-1.6245566793245305E-3</v>
      </c>
      <c r="AF140" s="15">
        <v>0</v>
      </c>
      <c r="AG140" s="15">
        <v>0</v>
      </c>
      <c r="AH140" s="15">
        <v>0</v>
      </c>
      <c r="AI140" s="15">
        <v>101.46076874999999</v>
      </c>
      <c r="AJ140" s="15">
        <v>0</v>
      </c>
      <c r="AK140" s="15">
        <v>3.9702355358724357E-3</v>
      </c>
      <c r="AL140" s="15">
        <v>0</v>
      </c>
      <c r="AM140" s="15">
        <v>20.309975235000007</v>
      </c>
      <c r="AN140" s="15">
        <v>-23.451340276746524</v>
      </c>
      <c r="AO140" s="15">
        <v>908.66432482815878</v>
      </c>
      <c r="AP140" s="15">
        <v>0</v>
      </c>
      <c r="AQ140" s="15">
        <v>0</v>
      </c>
      <c r="AR140" s="15">
        <v>0</v>
      </c>
      <c r="AS140" s="15">
        <v>0</v>
      </c>
      <c r="AT140" s="15">
        <v>0</v>
      </c>
      <c r="AU140" s="15">
        <v>254.70111618818191</v>
      </c>
      <c r="AV140" s="15">
        <v>56.852144906917204</v>
      </c>
      <c r="AW140" s="15">
        <v>56.852144906917204</v>
      </c>
      <c r="AX140" s="15">
        <v>0</v>
      </c>
      <c r="AY140" s="15">
        <v>0</v>
      </c>
      <c r="AZ140" s="15">
        <v>50.26538305870848</v>
      </c>
      <c r="BA140" s="15">
        <v>0</v>
      </c>
      <c r="BB140" s="15">
        <v>20.943909607795199</v>
      </c>
      <c r="BC140" s="15">
        <v>29.321473450913278</v>
      </c>
      <c r="BD140" s="15">
        <v>0</v>
      </c>
      <c r="BE140" s="15">
        <v>147.58358822255622</v>
      </c>
      <c r="BF140" s="15">
        <v>51.783715165809205</v>
      </c>
      <c r="BG140" s="15">
        <v>0</v>
      </c>
      <c r="BH140" s="15">
        <v>95.799873056747018</v>
      </c>
      <c r="BI140" s="15">
        <v>0</v>
      </c>
      <c r="BJ140" s="15">
        <v>254.70111618818191</v>
      </c>
      <c r="BK140" s="55">
        <v>376.47420585203838</v>
      </c>
      <c r="BL140" s="55">
        <v>-112.01872178427598</v>
      </c>
      <c r="BM140" s="55">
        <v>0.6344193230663675</v>
      </c>
    </row>
    <row r="141" spans="1:65" s="52" customFormat="1" x14ac:dyDescent="0.4">
      <c r="A141" s="15" t="s">
        <v>10693</v>
      </c>
      <c r="B141" s="15" t="s">
        <v>10437</v>
      </c>
      <c r="C141" s="15" t="s">
        <v>10619</v>
      </c>
      <c r="D141" s="15" t="s">
        <v>10305</v>
      </c>
      <c r="E141" s="15" t="s">
        <v>10826</v>
      </c>
      <c r="F141" s="15">
        <v>772545</v>
      </c>
      <c r="G141" s="15">
        <v>0.89712457766125608</v>
      </c>
      <c r="H141" s="15">
        <v>200</v>
      </c>
      <c r="I141" s="119">
        <v>908.73768564379031</v>
      </c>
      <c r="J141" s="120">
        <v>0.61512650604971819</v>
      </c>
      <c r="K141" s="15">
        <v>30</v>
      </c>
      <c r="L141" s="15">
        <v>312.07023208845737</v>
      </c>
      <c r="M141" s="15">
        <v>53.7641131873199</v>
      </c>
      <c r="N141" s="15">
        <v>3233803.6957437308</v>
      </c>
      <c r="O141" s="15">
        <v>455917.81404442986</v>
      </c>
      <c r="P141" s="15">
        <v>1275007.9521393594</v>
      </c>
      <c r="Q141" s="15">
        <v>1502877.9295599414</v>
      </c>
      <c r="R141" s="15">
        <v>257895.84473556257</v>
      </c>
      <c r="S141" s="15">
        <v>635781.97560169618</v>
      </c>
      <c r="T141" s="15">
        <v>609200.10922268289</v>
      </c>
      <c r="U141" s="15">
        <v>0</v>
      </c>
      <c r="V141" s="15">
        <v>0</v>
      </c>
      <c r="W141" s="15">
        <v>0</v>
      </c>
      <c r="X141" s="15">
        <v>0</v>
      </c>
      <c r="Y141" s="15">
        <v>1030.5070649235536</v>
      </c>
      <c r="Z141" s="15">
        <v>0</v>
      </c>
      <c r="AA141" s="15">
        <v>1035.6300000000001</v>
      </c>
      <c r="AB141" s="15">
        <v>0</v>
      </c>
      <c r="AC141" s="15">
        <v>-5.1229350764466259</v>
      </c>
      <c r="AD141" s="15">
        <v>121.76937927976326</v>
      </c>
      <c r="AE141" s="15">
        <v>-1.36470523667965E-3</v>
      </c>
      <c r="AF141" s="15">
        <v>0</v>
      </c>
      <c r="AG141" s="15">
        <v>0</v>
      </c>
      <c r="AH141" s="15">
        <v>0</v>
      </c>
      <c r="AI141" s="15">
        <v>101.46076874999999</v>
      </c>
      <c r="AJ141" s="15">
        <v>0</v>
      </c>
      <c r="AK141" s="15">
        <v>0</v>
      </c>
      <c r="AL141" s="15">
        <v>0</v>
      </c>
      <c r="AM141" s="15">
        <v>20.309975235000007</v>
      </c>
      <c r="AN141" s="15">
        <v>-23.769455880792663</v>
      </c>
      <c r="AO141" s="15">
        <v>908.73768564379031</v>
      </c>
      <c r="AP141" s="15">
        <v>0</v>
      </c>
      <c r="AQ141" s="15">
        <v>0</v>
      </c>
      <c r="AR141" s="15">
        <v>0</v>
      </c>
      <c r="AS141" s="15">
        <v>0</v>
      </c>
      <c r="AT141" s="15">
        <v>0</v>
      </c>
      <c r="AU141" s="15">
        <v>237.21925820600859</v>
      </c>
      <c r="AV141" s="15">
        <v>54.530037047430554</v>
      </c>
      <c r="AW141" s="15">
        <v>54.530037047430554</v>
      </c>
      <c r="AX141" s="15">
        <v>0</v>
      </c>
      <c r="AY141" s="15">
        <v>0</v>
      </c>
      <c r="AZ141" s="15">
        <v>35.106876780315218</v>
      </c>
      <c r="BA141" s="15">
        <v>0</v>
      </c>
      <c r="BB141" s="15">
        <v>14.62786532513134</v>
      </c>
      <c r="BC141" s="15">
        <v>20.479011455183876</v>
      </c>
      <c r="BD141" s="15">
        <v>0</v>
      </c>
      <c r="BE141" s="15">
        <v>147.5823443782628</v>
      </c>
      <c r="BF141" s="15">
        <v>51.783278729215027</v>
      </c>
      <c r="BG141" s="15">
        <v>0</v>
      </c>
      <c r="BH141" s="15">
        <v>95.79906564904779</v>
      </c>
      <c r="BI141" s="15">
        <v>0</v>
      </c>
      <c r="BJ141" s="15">
        <v>237.21925820600859</v>
      </c>
      <c r="BK141" s="51">
        <v>358.98863748577185</v>
      </c>
      <c r="BL141" s="51">
        <v>-110.11491735583306</v>
      </c>
      <c r="BM141" s="51">
        <v>0.61512650604971819</v>
      </c>
    </row>
    <row r="142" spans="1:65" x14ac:dyDescent="0.4">
      <c r="A142" s="15" t="s">
        <v>10693</v>
      </c>
      <c r="B142" s="15" t="s">
        <v>10437</v>
      </c>
      <c r="C142" s="15" t="s">
        <v>10619</v>
      </c>
      <c r="D142" s="15" t="s">
        <v>10306</v>
      </c>
      <c r="E142" s="15" t="s">
        <v>10827</v>
      </c>
      <c r="F142" s="15">
        <v>772545</v>
      </c>
      <c r="G142" s="15">
        <v>0.89712457766125608</v>
      </c>
      <c r="H142" s="15">
        <v>200</v>
      </c>
      <c r="I142" s="119">
        <v>890.56395477377862</v>
      </c>
      <c r="J142" s="120">
        <v>0.6590495005123328</v>
      </c>
      <c r="K142" s="15">
        <v>30</v>
      </c>
      <c r="L142" s="15">
        <v>478.18003568948973</v>
      </c>
      <c r="M142" s="15">
        <v>66.079953111701499</v>
      </c>
      <c r="N142" s="15">
        <v>3233803.6957437308</v>
      </c>
      <c r="O142" s="15">
        <v>741228.22961065988</v>
      </c>
      <c r="P142" s="15">
        <v>1089145.0847264887</v>
      </c>
      <c r="Q142" s="15">
        <v>1403430.3814065827</v>
      </c>
      <c r="R142" s="15">
        <v>257895.84473556257</v>
      </c>
      <c r="S142" s="15">
        <v>0</v>
      </c>
      <c r="T142" s="15">
        <v>1145534.5366710201</v>
      </c>
      <c r="U142" s="15">
        <v>0</v>
      </c>
      <c r="V142" s="15">
        <v>0</v>
      </c>
      <c r="W142" s="15">
        <v>0</v>
      </c>
      <c r="X142" s="15">
        <v>0</v>
      </c>
      <c r="Y142" s="15">
        <v>1030.2142231877851</v>
      </c>
      <c r="Z142" s="15">
        <v>0</v>
      </c>
      <c r="AA142" s="15">
        <v>1035.6300000000001</v>
      </c>
      <c r="AB142" s="15">
        <v>0</v>
      </c>
      <c r="AC142" s="15">
        <v>-5.415776812215058</v>
      </c>
      <c r="AD142" s="15">
        <v>139.65026841400652</v>
      </c>
      <c r="AE142" s="15">
        <v>-1.1994484935361172E-3</v>
      </c>
      <c r="AF142" s="15">
        <v>0</v>
      </c>
      <c r="AG142" s="15">
        <v>0</v>
      </c>
      <c r="AH142" s="15">
        <v>0</v>
      </c>
      <c r="AI142" s="15">
        <v>101.46076874999999</v>
      </c>
      <c r="AJ142" s="15">
        <v>0</v>
      </c>
      <c r="AK142" s="15">
        <v>0</v>
      </c>
      <c r="AL142" s="15">
        <v>0</v>
      </c>
      <c r="AM142" s="15">
        <v>38.19069911250002</v>
      </c>
      <c r="AN142" s="15">
        <v>-25.7858241312735</v>
      </c>
      <c r="AO142" s="15">
        <v>890.56395477377862</v>
      </c>
      <c r="AP142" s="15">
        <v>0</v>
      </c>
      <c r="AQ142" s="15">
        <v>0</v>
      </c>
      <c r="AR142" s="15">
        <v>0</v>
      </c>
      <c r="AS142" s="15">
        <v>0</v>
      </c>
      <c r="AT142" s="15">
        <v>0</v>
      </c>
      <c r="AU142" s="15">
        <v>247.27546115394006</v>
      </c>
      <c r="AV142" s="15">
        <v>63.198616947698774</v>
      </c>
      <c r="AW142" s="15">
        <v>63.198616947698774</v>
      </c>
      <c r="AX142" s="15">
        <v>0</v>
      </c>
      <c r="AY142" s="15">
        <v>0</v>
      </c>
      <c r="AZ142" s="15">
        <v>36.493180808156382</v>
      </c>
      <c r="BA142" s="15">
        <v>0</v>
      </c>
      <c r="BB142" s="15">
        <v>15.205492003398492</v>
      </c>
      <c r="BC142" s="15">
        <v>21.287688804757888</v>
      </c>
      <c r="BD142" s="15">
        <v>0</v>
      </c>
      <c r="BE142" s="15">
        <v>147.58366339808489</v>
      </c>
      <c r="BF142" s="15">
        <v>51.783741543187688</v>
      </c>
      <c r="BG142" s="15">
        <v>0</v>
      </c>
      <c r="BH142" s="15">
        <v>95.799921854897207</v>
      </c>
      <c r="BI142" s="15">
        <v>0</v>
      </c>
      <c r="BJ142" s="15">
        <v>247.27546115394006</v>
      </c>
      <c r="BK142" s="15">
        <v>386.92572956794658</v>
      </c>
      <c r="BL142" s="15">
        <v>-109.37332296341313</v>
      </c>
      <c r="BM142" s="15">
        <v>0.6590495005123328</v>
      </c>
    </row>
    <row r="143" spans="1:65" x14ac:dyDescent="0.4">
      <c r="A143" s="15" t="s">
        <v>10693</v>
      </c>
      <c r="B143" s="15" t="s">
        <v>10437</v>
      </c>
      <c r="C143" s="15" t="s">
        <v>10619</v>
      </c>
      <c r="D143" s="15" t="s">
        <v>10307</v>
      </c>
      <c r="E143" s="15" t="s">
        <v>10828</v>
      </c>
      <c r="F143" s="15">
        <v>772545</v>
      </c>
      <c r="G143" s="15">
        <v>0.89712457766125608</v>
      </c>
      <c r="H143" s="15">
        <v>200</v>
      </c>
      <c r="I143" s="119">
        <v>548.14670977434503</v>
      </c>
      <c r="J143" s="120">
        <v>1.7819207415033644</v>
      </c>
      <c r="K143" s="15">
        <v>30</v>
      </c>
      <c r="L143" s="15">
        <v>1044.3905914212166</v>
      </c>
      <c r="M143" s="15">
        <v>107.90266087286879</v>
      </c>
      <c r="N143" s="15">
        <v>3233803.6957437308</v>
      </c>
      <c r="O143" s="15">
        <v>2363262.9445114313</v>
      </c>
      <c r="P143" s="15">
        <v>595181.57020163361</v>
      </c>
      <c r="Q143" s="15">
        <v>275359.18103066558</v>
      </c>
      <c r="R143" s="15">
        <v>275359.18103066558</v>
      </c>
      <c r="S143" s="15">
        <v>0</v>
      </c>
      <c r="T143" s="15">
        <v>0</v>
      </c>
      <c r="U143" s="15">
        <v>2107646003.8253543</v>
      </c>
      <c r="V143" s="15">
        <v>0</v>
      </c>
      <c r="W143" s="15">
        <v>0</v>
      </c>
      <c r="X143" s="15">
        <v>0</v>
      </c>
      <c r="Y143" s="15">
        <v>1029.2114282038938</v>
      </c>
      <c r="Z143" s="15">
        <v>0</v>
      </c>
      <c r="AA143" s="15">
        <v>1035.6300000000001</v>
      </c>
      <c r="AB143" s="15">
        <v>0</v>
      </c>
      <c r="AC143" s="15">
        <v>-6.4185717961063746</v>
      </c>
      <c r="AD143" s="15">
        <v>481.06471842954875</v>
      </c>
      <c r="AE143" s="15">
        <v>4.4680191499986968E-3</v>
      </c>
      <c r="AF143" s="15">
        <v>0</v>
      </c>
      <c r="AG143" s="15">
        <v>0</v>
      </c>
      <c r="AH143" s="15">
        <v>4.8811586552847909E-3</v>
      </c>
      <c r="AI143" s="15">
        <v>123.00035822944253</v>
      </c>
      <c r="AJ143" s="15">
        <v>358.05501102230102</v>
      </c>
      <c r="AK143" s="15">
        <v>0</v>
      </c>
      <c r="AL143" s="15">
        <v>0</v>
      </c>
      <c r="AM143" s="15">
        <v>0</v>
      </c>
      <c r="AN143" s="15">
        <v>-74.948872383319227</v>
      </c>
      <c r="AO143" s="15">
        <v>548.14670977434503</v>
      </c>
      <c r="AP143" s="15">
        <v>9.3491778052834876E-3</v>
      </c>
      <c r="AQ143" s="15">
        <v>4.4680191499986968E-3</v>
      </c>
      <c r="AR143" s="15">
        <v>0</v>
      </c>
      <c r="AS143" s="15">
        <v>0</v>
      </c>
      <c r="AT143" s="15">
        <v>4.8811586552847909E-3</v>
      </c>
      <c r="AU143" s="15">
        <v>295.67992392637632</v>
      </c>
      <c r="AV143" s="15">
        <v>92.567807926695409</v>
      </c>
      <c r="AW143" s="15">
        <v>92.567807926695409</v>
      </c>
      <c r="AX143" s="15">
        <v>0</v>
      </c>
      <c r="AY143" s="15">
        <v>0</v>
      </c>
      <c r="AZ143" s="15">
        <v>55.5248438185493</v>
      </c>
      <c r="BA143" s="15">
        <v>0</v>
      </c>
      <c r="BB143" s="15">
        <v>23.135351591062207</v>
      </c>
      <c r="BC143" s="15">
        <v>32.389492227487089</v>
      </c>
      <c r="BD143" s="15">
        <v>0</v>
      </c>
      <c r="BE143" s="15">
        <v>147.58727218113157</v>
      </c>
      <c r="BF143" s="15">
        <v>51.785007782853178</v>
      </c>
      <c r="BG143" s="15">
        <v>0</v>
      </c>
      <c r="BH143" s="15">
        <v>95.802264398278382</v>
      </c>
      <c r="BI143" s="15">
        <v>0</v>
      </c>
      <c r="BJ143" s="15">
        <v>295.68927310418161</v>
      </c>
      <c r="BK143" s="15">
        <v>776.75399153373041</v>
      </c>
      <c r="BL143" s="15">
        <v>-153.17621965781353</v>
      </c>
      <c r="BM143" s="15">
        <v>1.7819207415033644</v>
      </c>
    </row>
    <row r="144" spans="1:65" x14ac:dyDescent="0.4">
      <c r="A144" s="15" t="s">
        <v>10693</v>
      </c>
      <c r="B144" s="15" t="s">
        <v>10437</v>
      </c>
      <c r="C144" s="15" t="s">
        <v>10619</v>
      </c>
      <c r="D144" s="15" t="s">
        <v>10308</v>
      </c>
      <c r="E144" s="15" t="s">
        <v>10829</v>
      </c>
      <c r="F144" s="15">
        <v>772545</v>
      </c>
      <c r="G144" s="15">
        <v>0.89712457766125608</v>
      </c>
      <c r="H144" s="15">
        <v>200</v>
      </c>
      <c r="I144" s="119">
        <v>548.14670977434503</v>
      </c>
      <c r="J144" s="120">
        <v>1.7819207415033644</v>
      </c>
      <c r="K144" s="15">
        <v>30</v>
      </c>
      <c r="L144" s="15">
        <v>1044.3905914212166</v>
      </c>
      <c r="M144" s="15">
        <v>107.90266087286879</v>
      </c>
      <c r="N144" s="15">
        <v>3233803.6957437308</v>
      </c>
      <c r="O144" s="15">
        <v>2363262.9445114313</v>
      </c>
      <c r="P144" s="15">
        <v>595181.57020163361</v>
      </c>
      <c r="Q144" s="15">
        <v>275359.18103066558</v>
      </c>
      <c r="R144" s="15">
        <v>275359.18103066558</v>
      </c>
      <c r="S144" s="15">
        <v>0</v>
      </c>
      <c r="T144" s="15">
        <v>0</v>
      </c>
      <c r="U144" s="15">
        <v>2107646003.8253543</v>
      </c>
      <c r="V144" s="15">
        <v>0</v>
      </c>
      <c r="W144" s="15">
        <v>0</v>
      </c>
      <c r="X144" s="15">
        <v>0</v>
      </c>
      <c r="Y144" s="15">
        <v>1029.2114282038938</v>
      </c>
      <c r="Z144" s="15">
        <v>0</v>
      </c>
      <c r="AA144" s="15">
        <v>1035.6300000000001</v>
      </c>
      <c r="AB144" s="15">
        <v>0</v>
      </c>
      <c r="AC144" s="15">
        <v>-6.4185717961063746</v>
      </c>
      <c r="AD144" s="15">
        <v>481.06471842954875</v>
      </c>
      <c r="AE144" s="15">
        <v>4.4680191499986968E-3</v>
      </c>
      <c r="AF144" s="15">
        <v>0</v>
      </c>
      <c r="AG144" s="15">
        <v>0</v>
      </c>
      <c r="AH144" s="15">
        <v>4.8811586552847909E-3</v>
      </c>
      <c r="AI144" s="15">
        <v>123.00035822944253</v>
      </c>
      <c r="AJ144" s="15">
        <v>358.05501102230102</v>
      </c>
      <c r="AK144" s="15">
        <v>0</v>
      </c>
      <c r="AL144" s="15">
        <v>0</v>
      </c>
      <c r="AM144" s="15">
        <v>0</v>
      </c>
      <c r="AN144" s="15">
        <v>-74.948872383319227</v>
      </c>
      <c r="AO144" s="15">
        <v>548.14670977434503</v>
      </c>
      <c r="AP144" s="15">
        <v>9.3491778052834876E-3</v>
      </c>
      <c r="AQ144" s="15">
        <v>4.4680191499986968E-3</v>
      </c>
      <c r="AR144" s="15">
        <v>0</v>
      </c>
      <c r="AS144" s="15">
        <v>0</v>
      </c>
      <c r="AT144" s="15">
        <v>4.8811586552847909E-3</v>
      </c>
      <c r="AU144" s="15">
        <v>295.67992392637632</v>
      </c>
      <c r="AV144" s="15">
        <v>92.567807926695409</v>
      </c>
      <c r="AW144" s="15">
        <v>92.567807926695409</v>
      </c>
      <c r="AX144" s="15">
        <v>0</v>
      </c>
      <c r="AY144" s="15">
        <v>0</v>
      </c>
      <c r="AZ144" s="15">
        <v>55.5248438185493</v>
      </c>
      <c r="BA144" s="15">
        <v>0</v>
      </c>
      <c r="BB144" s="15">
        <v>23.135351591062207</v>
      </c>
      <c r="BC144" s="15">
        <v>32.389492227487089</v>
      </c>
      <c r="BD144" s="15">
        <v>0</v>
      </c>
      <c r="BE144" s="15">
        <v>147.58727218113157</v>
      </c>
      <c r="BF144" s="15">
        <v>51.785007782853178</v>
      </c>
      <c r="BG144" s="15">
        <v>0</v>
      </c>
      <c r="BH144" s="15">
        <v>95.802264398278382</v>
      </c>
      <c r="BI144" s="15">
        <v>0</v>
      </c>
      <c r="BJ144" s="15">
        <v>295.68927310418161</v>
      </c>
      <c r="BK144" s="15">
        <v>776.75399153373041</v>
      </c>
      <c r="BL144" s="15">
        <v>-153.17621965781353</v>
      </c>
      <c r="BM144" s="15">
        <v>1.7819207415033644</v>
      </c>
    </row>
    <row r="145" spans="1:65" s="56" customFormat="1" x14ac:dyDescent="0.4">
      <c r="A145" s="55" t="s">
        <v>10693</v>
      </c>
      <c r="B145" s="55" t="s">
        <v>10437</v>
      </c>
      <c r="C145" s="55" t="s">
        <v>10803</v>
      </c>
      <c r="D145" s="55" t="s">
        <v>10307</v>
      </c>
      <c r="E145" s="55" t="s">
        <v>10830</v>
      </c>
      <c r="F145" s="55">
        <v>772545</v>
      </c>
      <c r="G145" s="55">
        <v>0.89712457766125608</v>
      </c>
      <c r="H145" s="55">
        <v>200</v>
      </c>
      <c r="I145" s="55">
        <v>548.14670977434503</v>
      </c>
      <c r="J145" s="92">
        <v>1.7819207415033644</v>
      </c>
      <c r="K145" s="55">
        <v>30</v>
      </c>
      <c r="L145" s="55">
        <v>1044.3905914212166</v>
      </c>
      <c r="M145" s="55">
        <v>107.90266087286879</v>
      </c>
      <c r="N145" s="55">
        <v>3233803.6957437308</v>
      </c>
      <c r="O145" s="55">
        <v>2363262.9445114313</v>
      </c>
      <c r="P145" s="55">
        <v>595181.57020163361</v>
      </c>
      <c r="Q145" s="55">
        <v>275359.18103066558</v>
      </c>
      <c r="R145" s="55">
        <v>275359.18103066558</v>
      </c>
      <c r="S145" s="55">
        <v>0</v>
      </c>
      <c r="T145" s="55">
        <v>0</v>
      </c>
      <c r="U145" s="55">
        <v>2107646003.8253543</v>
      </c>
      <c r="V145" s="55">
        <v>0</v>
      </c>
      <c r="W145" s="55">
        <v>0</v>
      </c>
      <c r="X145" s="55">
        <v>0</v>
      </c>
      <c r="Y145" s="55">
        <v>1029.2114282038938</v>
      </c>
      <c r="Z145" s="55">
        <v>0</v>
      </c>
      <c r="AA145" s="55">
        <v>1035.6300000000001</v>
      </c>
      <c r="AB145" s="55">
        <v>0</v>
      </c>
      <c r="AC145" s="55">
        <v>-6.4185717961063746</v>
      </c>
      <c r="AD145" s="55">
        <v>481.06471842954875</v>
      </c>
      <c r="AE145" s="55">
        <v>4.4680191499986968E-3</v>
      </c>
      <c r="AF145" s="55">
        <v>0</v>
      </c>
      <c r="AG145" s="55">
        <v>0</v>
      </c>
      <c r="AH145" s="55">
        <v>4.8811586552847909E-3</v>
      </c>
      <c r="AI145" s="55">
        <v>123.00035822944253</v>
      </c>
      <c r="AJ145" s="55">
        <v>358.05501102230102</v>
      </c>
      <c r="AK145" s="55">
        <v>0</v>
      </c>
      <c r="AL145" s="55">
        <v>0</v>
      </c>
      <c r="AM145" s="55">
        <v>0</v>
      </c>
      <c r="AN145" s="55">
        <v>-74.948872383319227</v>
      </c>
      <c r="AO145" s="55">
        <v>548.14670977434503</v>
      </c>
      <c r="AP145" s="55">
        <v>9.3491778052834876E-3</v>
      </c>
      <c r="AQ145" s="55">
        <v>4.4680191499986968E-3</v>
      </c>
      <c r="AR145" s="55">
        <v>0</v>
      </c>
      <c r="AS145" s="55">
        <v>0</v>
      </c>
      <c r="AT145" s="55">
        <v>4.8811586552847909E-3</v>
      </c>
      <c r="AU145" s="55">
        <v>295.67992392637632</v>
      </c>
      <c r="AV145" s="55">
        <v>92.567807926695409</v>
      </c>
      <c r="AW145" s="55">
        <v>92.567807926695409</v>
      </c>
      <c r="AX145" s="55">
        <v>0</v>
      </c>
      <c r="AY145" s="55">
        <v>0</v>
      </c>
      <c r="AZ145" s="55">
        <v>55.5248438185493</v>
      </c>
      <c r="BA145" s="55">
        <v>0</v>
      </c>
      <c r="BB145" s="55">
        <v>23.135351591062207</v>
      </c>
      <c r="BC145" s="55">
        <v>32.389492227487089</v>
      </c>
      <c r="BD145" s="55">
        <v>0</v>
      </c>
      <c r="BE145" s="55">
        <v>147.58727218113157</v>
      </c>
      <c r="BF145" s="55">
        <v>51.785007782853178</v>
      </c>
      <c r="BG145" s="55">
        <v>0</v>
      </c>
      <c r="BH145" s="55">
        <v>95.802264398278382</v>
      </c>
      <c r="BI145" s="55">
        <v>0</v>
      </c>
      <c r="BJ145" s="55">
        <v>295.68927310418161</v>
      </c>
      <c r="BK145" s="55">
        <v>776.75399153373041</v>
      </c>
      <c r="BL145" s="55">
        <v>-153.17621965781353</v>
      </c>
      <c r="BM145" s="55">
        <v>1.7819207415033644</v>
      </c>
    </row>
    <row r="146" spans="1:65" x14ac:dyDescent="0.4">
      <c r="A146" s="15" t="s">
        <v>10693</v>
      </c>
      <c r="B146" s="15" t="s">
        <v>10437</v>
      </c>
      <c r="C146" s="15" t="s">
        <v>10621</v>
      </c>
      <c r="D146" s="15" t="s">
        <v>10302</v>
      </c>
      <c r="E146" s="15" t="s">
        <v>10831</v>
      </c>
      <c r="F146" s="15">
        <v>580870</v>
      </c>
      <c r="G146" s="15">
        <v>0.89712441257810971</v>
      </c>
      <c r="H146" s="15">
        <v>200</v>
      </c>
      <c r="I146" s="119">
        <v>362.05202197024613</v>
      </c>
      <c r="J146" s="120">
        <v>1.5525332231610842</v>
      </c>
      <c r="K146" s="15">
        <v>30</v>
      </c>
      <c r="L146" s="15">
        <v>346.6917984723101</v>
      </c>
      <c r="M146" s="15">
        <v>88.20278538944207</v>
      </c>
      <c r="N146" s="15">
        <v>2431468.9850971363</v>
      </c>
      <c r="O146" s="15">
        <v>454343.07882075821</v>
      </c>
      <c r="P146" s="15">
        <v>918830.85411458835</v>
      </c>
      <c r="Q146" s="15">
        <v>1058295.0521617897</v>
      </c>
      <c r="R146" s="15">
        <v>193909.6515614966</v>
      </c>
      <c r="S146" s="15">
        <v>406333.11584276904</v>
      </c>
      <c r="T146" s="15">
        <v>458052.28475752409</v>
      </c>
      <c r="U146" s="15">
        <v>0</v>
      </c>
      <c r="V146" s="15">
        <v>295266895.08666182</v>
      </c>
      <c r="W146" s="15">
        <v>0</v>
      </c>
      <c r="X146" s="15">
        <v>0</v>
      </c>
      <c r="Y146" s="15">
        <v>528.22649423092992</v>
      </c>
      <c r="Z146" s="15">
        <v>0</v>
      </c>
      <c r="AA146" s="15">
        <v>50.872999999999998</v>
      </c>
      <c r="AB146" s="15">
        <v>484.95</v>
      </c>
      <c r="AC146" s="15">
        <v>-7.5965057690700135</v>
      </c>
      <c r="AD146" s="15">
        <v>166.17447226068379</v>
      </c>
      <c r="AE146" s="15">
        <v>1.4296815683635365E-3</v>
      </c>
      <c r="AF146" s="15">
        <v>0</v>
      </c>
      <c r="AG146" s="15">
        <v>0</v>
      </c>
      <c r="AH146" s="15">
        <v>4.1981011908164808E-3</v>
      </c>
      <c r="AI146" s="15">
        <v>101.46076875000001</v>
      </c>
      <c r="AJ146" s="15">
        <v>44.398100492924776</v>
      </c>
      <c r="AK146" s="15">
        <v>0</v>
      </c>
      <c r="AL146" s="15">
        <v>0</v>
      </c>
      <c r="AM146" s="15">
        <v>20.309975235000003</v>
      </c>
      <c r="AN146" s="15">
        <v>-21.875119602657438</v>
      </c>
      <c r="AO146" s="15">
        <v>362.05202197024613</v>
      </c>
      <c r="AP146" s="15">
        <v>5.627782759180017E-3</v>
      </c>
      <c r="AQ146" s="15">
        <v>1.4296815683635365E-3</v>
      </c>
      <c r="AR146" s="15">
        <v>0</v>
      </c>
      <c r="AS146" s="15">
        <v>0</v>
      </c>
      <c r="AT146" s="15">
        <v>4.1981011908164808E-3</v>
      </c>
      <c r="AU146" s="15">
        <v>195.9176925780109</v>
      </c>
      <c r="AV146" s="15">
        <v>62.583526910914259</v>
      </c>
      <c r="AW146" s="15">
        <v>62.583526910914259</v>
      </c>
      <c r="AX146" s="15">
        <v>0</v>
      </c>
      <c r="AY146" s="15">
        <v>0</v>
      </c>
      <c r="AZ146" s="15">
        <v>56.970402620163803</v>
      </c>
      <c r="BA146" s="15">
        <v>0</v>
      </c>
      <c r="BB146" s="15">
        <v>23.737667758401585</v>
      </c>
      <c r="BC146" s="15">
        <v>33.232734861762218</v>
      </c>
      <c r="BD146" s="15">
        <v>0</v>
      </c>
      <c r="BE146" s="15">
        <v>76.363763046932831</v>
      </c>
      <c r="BF146" s="15">
        <v>26.794302823485204</v>
      </c>
      <c r="BG146" s="15">
        <v>0</v>
      </c>
      <c r="BH146" s="15">
        <v>49.569460223447621</v>
      </c>
      <c r="BI146" s="15">
        <v>0</v>
      </c>
      <c r="BJ146" s="15">
        <v>195.92332036077008</v>
      </c>
      <c r="BK146" s="15">
        <v>362.09779262145389</v>
      </c>
      <c r="BL146" s="15">
        <v>-74.994256005187978</v>
      </c>
      <c r="BM146" s="15">
        <v>1.5525332231610842</v>
      </c>
    </row>
    <row r="147" spans="1:65" s="56" customFormat="1" x14ac:dyDescent="0.4">
      <c r="A147" s="15" t="s">
        <v>10693</v>
      </c>
      <c r="B147" s="15" t="s">
        <v>10437</v>
      </c>
      <c r="C147" s="15" t="s">
        <v>10621</v>
      </c>
      <c r="D147" s="15" t="s">
        <v>10303</v>
      </c>
      <c r="E147" s="15" t="s">
        <v>10832</v>
      </c>
      <c r="F147" s="15">
        <v>580870</v>
      </c>
      <c r="G147" s="15">
        <v>0.89712441257810971</v>
      </c>
      <c r="H147" s="15">
        <v>200</v>
      </c>
      <c r="I147" s="119">
        <v>406.45130656853695</v>
      </c>
      <c r="J147" s="120">
        <v>1.2736920586952687</v>
      </c>
      <c r="K147" s="15">
        <v>30</v>
      </c>
      <c r="L147" s="15">
        <v>346.6917984723101</v>
      </c>
      <c r="M147" s="15">
        <v>88.20278538944207</v>
      </c>
      <c r="N147" s="15">
        <v>2431468.9850971363</v>
      </c>
      <c r="O147" s="15">
        <v>454343.07882075821</v>
      </c>
      <c r="P147" s="15">
        <v>918830.85411458835</v>
      </c>
      <c r="Q147" s="15">
        <v>1058295.0521617897</v>
      </c>
      <c r="R147" s="15">
        <v>193909.6515614966</v>
      </c>
      <c r="S147" s="15">
        <v>406333.11584276904</v>
      </c>
      <c r="T147" s="15">
        <v>458052.28475752409</v>
      </c>
      <c r="U147" s="15">
        <v>0</v>
      </c>
      <c r="V147" s="15">
        <v>0</v>
      </c>
      <c r="W147" s="15">
        <v>73816723.771665454</v>
      </c>
      <c r="X147" s="15">
        <v>0</v>
      </c>
      <c r="Y147" s="15">
        <v>528.22649423092992</v>
      </c>
      <c r="Z147" s="15">
        <v>0</v>
      </c>
      <c r="AA147" s="15">
        <v>50.872999999999998</v>
      </c>
      <c r="AB147" s="15">
        <v>484.95</v>
      </c>
      <c r="AC147" s="15">
        <v>-7.5965057690700135</v>
      </c>
      <c r="AD147" s="15">
        <v>121.77518766239297</v>
      </c>
      <c r="AE147" s="15">
        <v>-1.624556679324531E-3</v>
      </c>
      <c r="AF147" s="15">
        <v>2.4941898292796651E-4</v>
      </c>
      <c r="AG147" s="15">
        <v>5.384835582990039E-4</v>
      </c>
      <c r="AH147" s="15">
        <v>0</v>
      </c>
      <c r="AI147" s="15">
        <v>101.46076875000001</v>
      </c>
      <c r="AJ147" s="15">
        <v>0</v>
      </c>
      <c r="AK147" s="15">
        <v>5.2803315310906429E-3</v>
      </c>
      <c r="AL147" s="15">
        <v>0</v>
      </c>
      <c r="AM147" s="15">
        <v>20.309975235000003</v>
      </c>
      <c r="AN147" s="15">
        <v>-16.0304212705549</v>
      </c>
      <c r="AO147" s="15">
        <v>406.45130656853695</v>
      </c>
      <c r="AP147" s="15">
        <v>0</v>
      </c>
      <c r="AQ147" s="15">
        <v>0</v>
      </c>
      <c r="AR147" s="15">
        <v>0</v>
      </c>
      <c r="AS147" s="15">
        <v>0</v>
      </c>
      <c r="AT147" s="15">
        <v>0</v>
      </c>
      <c r="AU147" s="15">
        <v>195.91861376026873</v>
      </c>
      <c r="AV147" s="15">
        <v>62.583526910914259</v>
      </c>
      <c r="AW147" s="15">
        <v>62.583526910914259</v>
      </c>
      <c r="AX147" s="15">
        <v>0</v>
      </c>
      <c r="AY147" s="15">
        <v>0</v>
      </c>
      <c r="AZ147" s="15">
        <v>56.970402620163803</v>
      </c>
      <c r="BA147" s="15">
        <v>0</v>
      </c>
      <c r="BB147" s="15">
        <v>23.737667758401585</v>
      </c>
      <c r="BC147" s="15">
        <v>33.232734861762218</v>
      </c>
      <c r="BD147" s="15">
        <v>0</v>
      </c>
      <c r="BE147" s="15">
        <v>76.364684229190658</v>
      </c>
      <c r="BF147" s="15">
        <v>26.794626045330059</v>
      </c>
      <c r="BG147" s="15">
        <v>0</v>
      </c>
      <c r="BH147" s="15">
        <v>49.570058183860603</v>
      </c>
      <c r="BI147" s="15">
        <v>0</v>
      </c>
      <c r="BJ147" s="15">
        <v>195.91861376026873</v>
      </c>
      <c r="BK147" s="55">
        <v>317.69380142266169</v>
      </c>
      <c r="BL147" s="55">
        <v>-69.148938098685775</v>
      </c>
      <c r="BM147" s="55">
        <v>1.2736920586952687</v>
      </c>
    </row>
    <row r="148" spans="1:65" s="52" customFormat="1" x14ac:dyDescent="0.4">
      <c r="A148" s="15" t="s">
        <v>10693</v>
      </c>
      <c r="B148" s="15" t="s">
        <v>10437</v>
      </c>
      <c r="C148" s="15" t="s">
        <v>10621</v>
      </c>
      <c r="D148" s="15" t="s">
        <v>10304</v>
      </c>
      <c r="E148" s="15" t="s">
        <v>10833</v>
      </c>
      <c r="F148" s="15">
        <v>580870</v>
      </c>
      <c r="G148" s="15">
        <v>0.89712441257810971</v>
      </c>
      <c r="H148" s="15">
        <v>200</v>
      </c>
      <c r="I148" s="119">
        <v>406.45209447107817</v>
      </c>
      <c r="J148" s="120">
        <v>1.2736879274048618</v>
      </c>
      <c r="K148" s="15">
        <v>30</v>
      </c>
      <c r="L148" s="15">
        <v>346.6917984723101</v>
      </c>
      <c r="M148" s="15">
        <v>88.20278538944207</v>
      </c>
      <c r="N148" s="15">
        <v>2431468.9850971363</v>
      </c>
      <c r="O148" s="15">
        <v>454343.07882075821</v>
      </c>
      <c r="P148" s="15">
        <v>918830.85411458835</v>
      </c>
      <c r="Q148" s="15">
        <v>1058295.0521617897</v>
      </c>
      <c r="R148" s="15">
        <v>193909.6515614966</v>
      </c>
      <c r="S148" s="15">
        <v>406333.11584276904</v>
      </c>
      <c r="T148" s="15">
        <v>458052.28475752409</v>
      </c>
      <c r="U148" s="15">
        <v>0</v>
      </c>
      <c r="V148" s="15">
        <v>0</v>
      </c>
      <c r="W148" s="15">
        <v>0</v>
      </c>
      <c r="X148" s="15">
        <v>73816723771.665451</v>
      </c>
      <c r="Y148" s="15">
        <v>528.22649423092992</v>
      </c>
      <c r="Z148" s="15">
        <v>0</v>
      </c>
      <c r="AA148" s="15">
        <v>50.872999999999998</v>
      </c>
      <c r="AB148" s="15">
        <v>484.95</v>
      </c>
      <c r="AC148" s="15">
        <v>-7.5965057690700135</v>
      </c>
      <c r="AD148" s="15">
        <v>121.77439975985175</v>
      </c>
      <c r="AE148" s="15">
        <v>-1.624556679324531E-3</v>
      </c>
      <c r="AF148" s="15">
        <v>0</v>
      </c>
      <c r="AG148" s="15">
        <v>0</v>
      </c>
      <c r="AH148" s="15">
        <v>0</v>
      </c>
      <c r="AI148" s="15">
        <v>101.46076875000001</v>
      </c>
      <c r="AJ148" s="15">
        <v>0</v>
      </c>
      <c r="AK148" s="15">
        <v>5.2803315310906429E-3</v>
      </c>
      <c r="AL148" s="15">
        <v>0</v>
      </c>
      <c r="AM148" s="15">
        <v>20.309975235000003</v>
      </c>
      <c r="AN148" s="15">
        <v>-16.030317551481268</v>
      </c>
      <c r="AO148" s="15">
        <v>406.45209447107817</v>
      </c>
      <c r="AP148" s="15">
        <v>0</v>
      </c>
      <c r="AQ148" s="15">
        <v>0</v>
      </c>
      <c r="AR148" s="15">
        <v>0</v>
      </c>
      <c r="AS148" s="15">
        <v>0</v>
      </c>
      <c r="AT148" s="15">
        <v>0</v>
      </c>
      <c r="AU148" s="15">
        <v>195.91872603638086</v>
      </c>
      <c r="AV148" s="15">
        <v>62.583526910914259</v>
      </c>
      <c r="AW148" s="15">
        <v>62.583526910914259</v>
      </c>
      <c r="AX148" s="15">
        <v>0</v>
      </c>
      <c r="AY148" s="15">
        <v>0</v>
      </c>
      <c r="AZ148" s="15">
        <v>56.970402620163803</v>
      </c>
      <c r="BA148" s="15">
        <v>0</v>
      </c>
      <c r="BB148" s="15">
        <v>23.737667758401585</v>
      </c>
      <c r="BC148" s="15">
        <v>33.232734861762218</v>
      </c>
      <c r="BD148" s="15">
        <v>0</v>
      </c>
      <c r="BE148" s="15">
        <v>76.364796505302792</v>
      </c>
      <c r="BF148" s="15">
        <v>26.79466544045712</v>
      </c>
      <c r="BG148" s="15">
        <v>0</v>
      </c>
      <c r="BH148" s="15">
        <v>49.570131064845668</v>
      </c>
      <c r="BI148" s="15">
        <v>0</v>
      </c>
      <c r="BJ148" s="15">
        <v>195.91872603638086</v>
      </c>
      <c r="BK148" s="51">
        <v>317.69312579623261</v>
      </c>
      <c r="BL148" s="51">
        <v>-69.148849159580138</v>
      </c>
      <c r="BM148" s="51">
        <v>1.2736879274048618</v>
      </c>
    </row>
    <row r="149" spans="1:65" s="56" customFormat="1" x14ac:dyDescent="0.4">
      <c r="A149" s="15" t="s">
        <v>10693</v>
      </c>
      <c r="B149" s="15" t="s">
        <v>10437</v>
      </c>
      <c r="C149" s="15" t="s">
        <v>10621</v>
      </c>
      <c r="D149" s="15" t="s">
        <v>10305</v>
      </c>
      <c r="E149" s="15" t="s">
        <v>10834</v>
      </c>
      <c r="F149" s="15">
        <v>580870</v>
      </c>
      <c r="G149" s="15">
        <v>0.89712441257810971</v>
      </c>
      <c r="H149" s="15">
        <v>200</v>
      </c>
      <c r="I149" s="119">
        <v>406.53265308540193</v>
      </c>
      <c r="J149" s="120">
        <v>1.2328019675311492</v>
      </c>
      <c r="K149" s="15">
        <v>30</v>
      </c>
      <c r="L149" s="15">
        <v>249.62975407013695</v>
      </c>
      <c r="M149" s="15">
        <v>82.022289048094763</v>
      </c>
      <c r="N149" s="15">
        <v>2431468.9850971363</v>
      </c>
      <c r="O149" s="15">
        <v>342800.65486391977</v>
      </c>
      <c r="P149" s="15">
        <v>958667.43409917352</v>
      </c>
      <c r="Q149" s="15">
        <v>1130000.8961340431</v>
      </c>
      <c r="R149" s="15">
        <v>193909.6515614966</v>
      </c>
      <c r="S149" s="15">
        <v>478038.95981502254</v>
      </c>
      <c r="T149" s="15">
        <v>458052.28475752409</v>
      </c>
      <c r="U149" s="15">
        <v>0</v>
      </c>
      <c r="V149" s="15">
        <v>0</v>
      </c>
      <c r="W149" s="15">
        <v>0</v>
      </c>
      <c r="X149" s="15">
        <v>0</v>
      </c>
      <c r="Y149" s="15">
        <v>528.30203236516525</v>
      </c>
      <c r="Z149" s="15">
        <v>0</v>
      </c>
      <c r="AA149" s="15">
        <v>50.872999999999998</v>
      </c>
      <c r="AB149" s="15">
        <v>484.95</v>
      </c>
      <c r="AC149" s="15">
        <v>-7.520967634834764</v>
      </c>
      <c r="AD149" s="15">
        <v>121.76937927976331</v>
      </c>
      <c r="AE149" s="15">
        <v>-1.3647052366796504E-3</v>
      </c>
      <c r="AF149" s="15">
        <v>0</v>
      </c>
      <c r="AG149" s="15">
        <v>0</v>
      </c>
      <c r="AH149" s="15">
        <v>0</v>
      </c>
      <c r="AI149" s="15">
        <v>101.46076875000001</v>
      </c>
      <c r="AJ149" s="15">
        <v>0</v>
      </c>
      <c r="AK149" s="15">
        <v>0</v>
      </c>
      <c r="AL149" s="15">
        <v>0</v>
      </c>
      <c r="AM149" s="15">
        <v>20.309975235000003</v>
      </c>
      <c r="AN149" s="15">
        <v>-16.190653276549913</v>
      </c>
      <c r="AO149" s="15">
        <v>406.53265308540193</v>
      </c>
      <c r="AP149" s="15">
        <v>0</v>
      </c>
      <c r="AQ149" s="15">
        <v>0</v>
      </c>
      <c r="AR149" s="15">
        <v>0</v>
      </c>
      <c r="AS149" s="15">
        <v>0</v>
      </c>
      <c r="AT149" s="15">
        <v>0</v>
      </c>
      <c r="AU149" s="15">
        <v>179.40487530957839</v>
      </c>
      <c r="AV149" s="15">
        <v>60.277532206606828</v>
      </c>
      <c r="AW149" s="15">
        <v>60.277532206606828</v>
      </c>
      <c r="AX149" s="15">
        <v>0</v>
      </c>
      <c r="AY149" s="15">
        <v>0</v>
      </c>
      <c r="AZ149" s="15">
        <v>42.763587879361282</v>
      </c>
      <c r="BA149" s="15">
        <v>0</v>
      </c>
      <c r="BB149" s="15">
        <v>17.818161616400534</v>
      </c>
      <c r="BC149" s="15">
        <v>24.945426262960748</v>
      </c>
      <c r="BD149" s="15">
        <v>0</v>
      </c>
      <c r="BE149" s="15">
        <v>76.363755223610269</v>
      </c>
      <c r="BF149" s="15">
        <v>26.794300078459742</v>
      </c>
      <c r="BG149" s="15">
        <v>0</v>
      </c>
      <c r="BH149" s="15">
        <v>49.569455145150521</v>
      </c>
      <c r="BI149" s="15">
        <v>0</v>
      </c>
      <c r="BJ149" s="15">
        <v>179.40487530957839</v>
      </c>
      <c r="BK149" s="55">
        <v>301.17425458934167</v>
      </c>
      <c r="BL149" s="55">
        <v>-67.63693808068787</v>
      </c>
      <c r="BM149" s="55">
        <v>1.2328019675311492</v>
      </c>
    </row>
    <row r="150" spans="1:65" x14ac:dyDescent="0.4">
      <c r="A150" s="15" t="s">
        <v>10693</v>
      </c>
      <c r="B150" s="15" t="s">
        <v>10437</v>
      </c>
      <c r="C150" s="15" t="s">
        <v>10621</v>
      </c>
      <c r="D150" s="15" t="s">
        <v>10306</v>
      </c>
      <c r="E150" s="15" t="s">
        <v>10835</v>
      </c>
      <c r="F150" s="15">
        <v>580870</v>
      </c>
      <c r="G150" s="15">
        <v>0.89712441257810971</v>
      </c>
      <c r="H150" s="15">
        <v>200</v>
      </c>
      <c r="I150" s="119">
        <v>388.3405019470722</v>
      </c>
      <c r="J150" s="120">
        <v>1.3678700049997896</v>
      </c>
      <c r="K150" s="15">
        <v>30</v>
      </c>
      <c r="L150" s="15">
        <v>378.25181143750092</v>
      </c>
      <c r="M150" s="15">
        <v>86.821519722745947</v>
      </c>
      <c r="N150" s="15">
        <v>2431468.9850971363</v>
      </c>
      <c r="O150" s="15">
        <v>557323.08474657743</v>
      </c>
      <c r="P150" s="15">
        <v>818918.75418071577</v>
      </c>
      <c r="Q150" s="15">
        <v>1055227.1461698434</v>
      </c>
      <c r="R150" s="15">
        <v>193909.6515614966</v>
      </c>
      <c r="S150" s="15">
        <v>0</v>
      </c>
      <c r="T150" s="15">
        <v>861317.49460834661</v>
      </c>
      <c r="U150" s="15">
        <v>0</v>
      </c>
      <c r="V150" s="15">
        <v>0</v>
      </c>
      <c r="W150" s="15">
        <v>0</v>
      </c>
      <c r="X150" s="15">
        <v>0</v>
      </c>
      <c r="Y150" s="15">
        <v>527.99067345135393</v>
      </c>
      <c r="Z150" s="15">
        <v>0</v>
      </c>
      <c r="AA150" s="15">
        <v>50.872999999999998</v>
      </c>
      <c r="AB150" s="15">
        <v>484.95</v>
      </c>
      <c r="AC150" s="15">
        <v>-7.8323265486460931</v>
      </c>
      <c r="AD150" s="15">
        <v>139.65017150428173</v>
      </c>
      <c r="AE150" s="15">
        <v>-1.2963582182842273E-3</v>
      </c>
      <c r="AF150" s="15">
        <v>0</v>
      </c>
      <c r="AG150" s="15">
        <v>0</v>
      </c>
      <c r="AH150" s="15">
        <v>0</v>
      </c>
      <c r="AI150" s="15">
        <v>101.46076875000001</v>
      </c>
      <c r="AJ150" s="15">
        <v>0</v>
      </c>
      <c r="AK150" s="15">
        <v>0</v>
      </c>
      <c r="AL150" s="15">
        <v>0</v>
      </c>
      <c r="AM150" s="15">
        <v>38.190699112499985</v>
      </c>
      <c r="AN150" s="15">
        <v>-17.82997307848737</v>
      </c>
      <c r="AO150" s="15">
        <v>388.3405019470722</v>
      </c>
      <c r="AP150" s="15">
        <v>0</v>
      </c>
      <c r="AQ150" s="15">
        <v>0</v>
      </c>
      <c r="AR150" s="15">
        <v>0</v>
      </c>
      <c r="AS150" s="15">
        <v>0</v>
      </c>
      <c r="AT150" s="15">
        <v>0</v>
      </c>
      <c r="AU150" s="15">
        <v>191.54915283568073</v>
      </c>
      <c r="AV150" s="15">
        <v>68.771024133592093</v>
      </c>
      <c r="AW150" s="15">
        <v>68.771024133592093</v>
      </c>
      <c r="AX150" s="15">
        <v>0</v>
      </c>
      <c r="AY150" s="15">
        <v>0</v>
      </c>
      <c r="AZ150" s="15">
        <v>46.413425009542216</v>
      </c>
      <c r="BA150" s="15">
        <v>0</v>
      </c>
      <c r="BB150" s="15">
        <v>19.338927087309258</v>
      </c>
      <c r="BC150" s="15">
        <v>27.074497922232958</v>
      </c>
      <c r="BD150" s="15">
        <v>0</v>
      </c>
      <c r="BE150" s="15">
        <v>76.364703692546414</v>
      </c>
      <c r="BF150" s="15">
        <v>26.79463287457769</v>
      </c>
      <c r="BG150" s="15">
        <v>0</v>
      </c>
      <c r="BH150" s="15">
        <v>49.570070817968727</v>
      </c>
      <c r="BI150" s="15">
        <v>0</v>
      </c>
      <c r="BJ150" s="15">
        <v>191.54915283568073</v>
      </c>
      <c r="BK150" s="15">
        <v>331.19932433996246</v>
      </c>
      <c r="BL150" s="15">
        <v>-68.821396495755948</v>
      </c>
      <c r="BM150" s="15">
        <v>1.3678700049997896</v>
      </c>
    </row>
    <row r="151" spans="1:65" x14ac:dyDescent="0.4">
      <c r="A151" s="15" t="s">
        <v>10693</v>
      </c>
      <c r="B151" s="15" t="s">
        <v>10437</v>
      </c>
      <c r="C151" s="15" t="s">
        <v>10621</v>
      </c>
      <c r="D151" s="15" t="s">
        <v>10307</v>
      </c>
      <c r="E151" s="15" t="s">
        <v>10836</v>
      </c>
      <c r="F151" s="15">
        <v>580870</v>
      </c>
      <c r="G151" s="15">
        <v>0.89712441257810971</v>
      </c>
      <c r="H151" s="15">
        <v>200</v>
      </c>
      <c r="I151" s="118">
        <v>45.446996697252146</v>
      </c>
      <c r="J151" s="120">
        <v>20.387965556771675</v>
      </c>
      <c r="K151" s="15">
        <v>30</v>
      </c>
      <c r="L151" s="15">
        <v>848.75589667996132</v>
      </c>
      <c r="M151" s="15">
        <v>107.2148079290463</v>
      </c>
      <c r="N151" s="15">
        <v>2431468.9850971363</v>
      </c>
      <c r="O151" s="15">
        <v>1776916.9355492783</v>
      </c>
      <c r="P151" s="15">
        <v>447511.86670712801</v>
      </c>
      <c r="Q151" s="15">
        <v>207040.18284073015</v>
      </c>
      <c r="R151" s="15">
        <v>207040.18284073015</v>
      </c>
      <c r="S151" s="15">
        <v>0</v>
      </c>
      <c r="T151" s="15">
        <v>0</v>
      </c>
      <c r="U151" s="15">
        <v>1584720772.2009435</v>
      </c>
      <c r="V151" s="15">
        <v>0</v>
      </c>
      <c r="W151" s="15">
        <v>0</v>
      </c>
      <c r="X151" s="15">
        <v>0</v>
      </c>
      <c r="Y151" s="15">
        <v>526.50930447458722</v>
      </c>
      <c r="Z151" s="15">
        <v>0</v>
      </c>
      <c r="AA151" s="15">
        <v>50.872999999999998</v>
      </c>
      <c r="AB151" s="15">
        <v>484.95</v>
      </c>
      <c r="AC151" s="15">
        <v>-9.3136955254127329</v>
      </c>
      <c r="AD151" s="15">
        <v>481.06230777733509</v>
      </c>
      <c r="AE151" s="15">
        <v>4.4679873459110659E-3</v>
      </c>
      <c r="AF151" s="15">
        <v>0</v>
      </c>
      <c r="AG151" s="15">
        <v>0</v>
      </c>
      <c r="AH151" s="15">
        <v>6.4917960949406944E-3</v>
      </c>
      <c r="AI151" s="15">
        <v>123.00035822944254</v>
      </c>
      <c r="AJ151" s="15">
        <v>358.05098976445169</v>
      </c>
      <c r="AK151" s="15">
        <v>0</v>
      </c>
      <c r="AL151" s="15">
        <v>0</v>
      </c>
      <c r="AM151" s="15">
        <v>0</v>
      </c>
      <c r="AN151" s="15">
        <v>-51.651066589490746</v>
      </c>
      <c r="AO151" s="15">
        <v>45.446996697252146</v>
      </c>
      <c r="AP151" s="15">
        <v>1.095978344085176E-2</v>
      </c>
      <c r="AQ151" s="15">
        <v>4.4679873459110659E-3</v>
      </c>
      <c r="AR151" s="15">
        <v>0</v>
      </c>
      <c r="AS151" s="15">
        <v>0</v>
      </c>
      <c r="AT151" s="15">
        <v>6.4917960949406944E-3</v>
      </c>
      <c r="AU151" s="15">
        <v>245.49853576151702</v>
      </c>
      <c r="AV151" s="15">
        <v>100.82558810876036</v>
      </c>
      <c r="AW151" s="15">
        <v>100.82558810876036</v>
      </c>
      <c r="AX151" s="15">
        <v>0</v>
      </c>
      <c r="AY151" s="15">
        <v>0</v>
      </c>
      <c r="AZ151" s="15">
        <v>68.305732440735142</v>
      </c>
      <c r="BA151" s="15">
        <v>0</v>
      </c>
      <c r="BB151" s="15">
        <v>28.460721850306314</v>
      </c>
      <c r="BC151" s="15">
        <v>39.845010590428835</v>
      </c>
      <c r="BD151" s="15">
        <v>0</v>
      </c>
      <c r="BE151" s="15">
        <v>76.36721521202152</v>
      </c>
      <c r="BF151" s="15">
        <v>26.795514109481235</v>
      </c>
      <c r="BG151" s="15">
        <v>0</v>
      </c>
      <c r="BH151" s="15">
        <v>49.571701102540281</v>
      </c>
      <c r="BI151" s="15">
        <v>0</v>
      </c>
      <c r="BJ151" s="15">
        <v>245.50949554495787</v>
      </c>
      <c r="BK151" s="15">
        <v>726.57180332229291</v>
      </c>
      <c r="BL151" s="15">
        <v>-100.48487158444362</v>
      </c>
      <c r="BM151" s="15">
        <v>20.387965556771675</v>
      </c>
    </row>
    <row r="152" spans="1:65" x14ac:dyDescent="0.4">
      <c r="A152" s="15" t="s">
        <v>10693</v>
      </c>
      <c r="B152" s="15" t="s">
        <v>10437</v>
      </c>
      <c r="C152" s="15" t="s">
        <v>10621</v>
      </c>
      <c r="D152" s="15" t="s">
        <v>10308</v>
      </c>
      <c r="E152" s="15" t="s">
        <v>10837</v>
      </c>
      <c r="F152" s="15">
        <v>580870</v>
      </c>
      <c r="G152" s="15">
        <v>0.89712441257810971</v>
      </c>
      <c r="H152" s="15">
        <v>200</v>
      </c>
      <c r="I152" s="118">
        <v>45.446996697252146</v>
      </c>
      <c r="J152" s="120">
        <v>20.387965556771675</v>
      </c>
      <c r="K152" s="15">
        <v>30</v>
      </c>
      <c r="L152" s="15">
        <v>848.75589667996132</v>
      </c>
      <c r="M152" s="15">
        <v>107.2148079290463</v>
      </c>
      <c r="N152" s="15">
        <v>2431468.9850971363</v>
      </c>
      <c r="O152" s="15">
        <v>1776916.9355492783</v>
      </c>
      <c r="P152" s="15">
        <v>447511.86670712801</v>
      </c>
      <c r="Q152" s="15">
        <v>207040.18284073015</v>
      </c>
      <c r="R152" s="15">
        <v>207040.18284073015</v>
      </c>
      <c r="S152" s="15">
        <v>0</v>
      </c>
      <c r="T152" s="15">
        <v>0</v>
      </c>
      <c r="U152" s="15">
        <v>1584720772.2009435</v>
      </c>
      <c r="V152" s="15">
        <v>0</v>
      </c>
      <c r="W152" s="15">
        <v>0</v>
      </c>
      <c r="X152" s="15">
        <v>0</v>
      </c>
      <c r="Y152" s="15">
        <v>526.50930447458722</v>
      </c>
      <c r="Z152" s="15">
        <v>0</v>
      </c>
      <c r="AA152" s="15">
        <v>50.872999999999998</v>
      </c>
      <c r="AB152" s="15">
        <v>484.95</v>
      </c>
      <c r="AC152" s="15">
        <v>-9.3136955254127329</v>
      </c>
      <c r="AD152" s="15">
        <v>481.06230777733509</v>
      </c>
      <c r="AE152" s="15">
        <v>4.4679873459110659E-3</v>
      </c>
      <c r="AF152" s="15">
        <v>0</v>
      </c>
      <c r="AG152" s="15">
        <v>0</v>
      </c>
      <c r="AH152" s="15">
        <v>6.4917960949406944E-3</v>
      </c>
      <c r="AI152" s="15">
        <v>123.00035822944254</v>
      </c>
      <c r="AJ152" s="15">
        <v>358.05098976445169</v>
      </c>
      <c r="AK152" s="15">
        <v>0</v>
      </c>
      <c r="AL152" s="15">
        <v>0</v>
      </c>
      <c r="AM152" s="15">
        <v>0</v>
      </c>
      <c r="AN152" s="15">
        <v>-51.651066589490746</v>
      </c>
      <c r="AO152" s="15">
        <v>45.446996697252146</v>
      </c>
      <c r="AP152" s="15">
        <v>1.095978344085176E-2</v>
      </c>
      <c r="AQ152" s="15">
        <v>4.4679873459110659E-3</v>
      </c>
      <c r="AR152" s="15">
        <v>0</v>
      </c>
      <c r="AS152" s="15">
        <v>0</v>
      </c>
      <c r="AT152" s="15">
        <v>6.4917960949406944E-3</v>
      </c>
      <c r="AU152" s="15">
        <v>245.49853576151702</v>
      </c>
      <c r="AV152" s="15">
        <v>100.82558810876036</v>
      </c>
      <c r="AW152" s="15">
        <v>100.82558810876036</v>
      </c>
      <c r="AX152" s="15">
        <v>0</v>
      </c>
      <c r="AY152" s="15">
        <v>0</v>
      </c>
      <c r="AZ152" s="15">
        <v>68.305732440735142</v>
      </c>
      <c r="BA152" s="15">
        <v>0</v>
      </c>
      <c r="BB152" s="15">
        <v>28.460721850306314</v>
      </c>
      <c r="BC152" s="15">
        <v>39.845010590428835</v>
      </c>
      <c r="BD152" s="15">
        <v>0</v>
      </c>
      <c r="BE152" s="15">
        <v>76.36721521202152</v>
      </c>
      <c r="BF152" s="15">
        <v>26.795514109481235</v>
      </c>
      <c r="BG152" s="15">
        <v>0</v>
      </c>
      <c r="BH152" s="15">
        <v>49.571701102540281</v>
      </c>
      <c r="BI152" s="15">
        <v>0</v>
      </c>
      <c r="BJ152" s="15">
        <v>245.50949554495787</v>
      </c>
      <c r="BK152" s="15">
        <v>726.57180332229291</v>
      </c>
      <c r="BL152" s="15">
        <v>-100.48487158444362</v>
      </c>
      <c r="BM152" s="15">
        <v>20.387965556771675</v>
      </c>
    </row>
    <row r="153" spans="1:65" s="56" customFormat="1" x14ac:dyDescent="0.4">
      <c r="A153" s="55" t="s">
        <v>10693</v>
      </c>
      <c r="B153" s="55" t="s">
        <v>10437</v>
      </c>
      <c r="C153" s="55" t="s">
        <v>10812</v>
      </c>
      <c r="D153" s="55" t="s">
        <v>10307</v>
      </c>
      <c r="E153" s="55" t="s">
        <v>10838</v>
      </c>
      <c r="F153" s="55">
        <v>580870</v>
      </c>
      <c r="G153" s="55">
        <v>0.89712441257810971</v>
      </c>
      <c r="H153" s="55">
        <v>200</v>
      </c>
      <c r="I153" s="55">
        <v>45.446996697252146</v>
      </c>
      <c r="J153" s="92">
        <v>20.387965556771675</v>
      </c>
      <c r="K153" s="55">
        <v>30</v>
      </c>
      <c r="L153" s="55">
        <v>848.75589667996132</v>
      </c>
      <c r="M153" s="55">
        <v>107.2148079290463</v>
      </c>
      <c r="N153" s="55">
        <v>2431468.9850971363</v>
      </c>
      <c r="O153" s="55">
        <v>1776916.9355492783</v>
      </c>
      <c r="P153" s="55">
        <v>447511.86670712801</v>
      </c>
      <c r="Q153" s="55">
        <v>207040.18284073015</v>
      </c>
      <c r="R153" s="55">
        <v>207040.18284073015</v>
      </c>
      <c r="S153" s="55">
        <v>0</v>
      </c>
      <c r="T153" s="55">
        <v>0</v>
      </c>
      <c r="U153" s="55">
        <v>1584720772.2009435</v>
      </c>
      <c r="V153" s="55">
        <v>0</v>
      </c>
      <c r="W153" s="55">
        <v>0</v>
      </c>
      <c r="X153" s="55">
        <v>0</v>
      </c>
      <c r="Y153" s="55">
        <v>526.50930447458722</v>
      </c>
      <c r="Z153" s="55">
        <v>0</v>
      </c>
      <c r="AA153" s="55">
        <v>50.872999999999998</v>
      </c>
      <c r="AB153" s="55">
        <v>484.95</v>
      </c>
      <c r="AC153" s="55">
        <v>-9.3136955254127329</v>
      </c>
      <c r="AD153" s="55">
        <v>481.06230777733509</v>
      </c>
      <c r="AE153" s="55">
        <v>4.4679873459110659E-3</v>
      </c>
      <c r="AF153" s="55">
        <v>0</v>
      </c>
      <c r="AG153" s="55">
        <v>0</v>
      </c>
      <c r="AH153" s="55">
        <v>6.4917960949406944E-3</v>
      </c>
      <c r="AI153" s="55">
        <v>123.00035822944254</v>
      </c>
      <c r="AJ153" s="55">
        <v>358.05098976445169</v>
      </c>
      <c r="AK153" s="55">
        <v>0</v>
      </c>
      <c r="AL153" s="55">
        <v>0</v>
      </c>
      <c r="AM153" s="55">
        <v>0</v>
      </c>
      <c r="AN153" s="55">
        <v>-51.651066589490746</v>
      </c>
      <c r="AO153" s="55">
        <v>45.446996697252146</v>
      </c>
      <c r="AP153" s="55">
        <v>1.095978344085176E-2</v>
      </c>
      <c r="AQ153" s="55">
        <v>4.4679873459110659E-3</v>
      </c>
      <c r="AR153" s="55">
        <v>0</v>
      </c>
      <c r="AS153" s="55">
        <v>0</v>
      </c>
      <c r="AT153" s="55">
        <v>6.4917960949406944E-3</v>
      </c>
      <c r="AU153" s="55">
        <v>245.49853576151702</v>
      </c>
      <c r="AV153" s="55">
        <v>100.82558810876036</v>
      </c>
      <c r="AW153" s="55">
        <v>100.82558810876036</v>
      </c>
      <c r="AX153" s="55">
        <v>0</v>
      </c>
      <c r="AY153" s="55">
        <v>0</v>
      </c>
      <c r="AZ153" s="55">
        <v>68.305732440735142</v>
      </c>
      <c r="BA153" s="55">
        <v>0</v>
      </c>
      <c r="BB153" s="55">
        <v>28.460721850306314</v>
      </c>
      <c r="BC153" s="55">
        <v>39.845010590428835</v>
      </c>
      <c r="BD153" s="55">
        <v>0</v>
      </c>
      <c r="BE153" s="55">
        <v>76.36721521202152</v>
      </c>
      <c r="BF153" s="55">
        <v>26.795514109481235</v>
      </c>
      <c r="BG153" s="55">
        <v>0</v>
      </c>
      <c r="BH153" s="55">
        <v>49.571701102540281</v>
      </c>
      <c r="BI153" s="55">
        <v>0</v>
      </c>
      <c r="BJ153" s="55">
        <v>245.50949554495787</v>
      </c>
      <c r="BK153" s="55">
        <v>726.57180332229291</v>
      </c>
      <c r="BL153" s="55">
        <v>-100.48487158444362</v>
      </c>
      <c r="BM153" s="55">
        <v>20.387965556771675</v>
      </c>
    </row>
    <row r="154" spans="1:65" s="52" customFormat="1" x14ac:dyDescent="0.4">
      <c r="A154" s="51" t="s">
        <v>10693</v>
      </c>
      <c r="B154" s="51" t="s">
        <v>10814</v>
      </c>
      <c r="C154" s="51" t="s">
        <v>9780</v>
      </c>
      <c r="D154" s="51" t="s">
        <v>9780</v>
      </c>
      <c r="E154" s="51" t="s">
        <v>10556</v>
      </c>
      <c r="F154" s="51">
        <f>F137+F145+F153</f>
        <v>3317141</v>
      </c>
      <c r="G154" s="51">
        <f>G137</f>
        <v>0.89712450607071414</v>
      </c>
      <c r="H154" s="51">
        <f>(H137*N137+H145*N145+H153*N153)/(N137+N145+N153)</f>
        <v>200</v>
      </c>
      <c r="I154" s="51">
        <f>(I137*N137+I145*N145+I153*N153)/(N137+N145+N153)</f>
        <v>502.92463446074714</v>
      </c>
      <c r="J154" s="93">
        <f>(H154+AD154+AE154+AF154+AG154+AH154+AU154)/(I154)</f>
        <v>1.892834250132138</v>
      </c>
      <c r="K154" s="51">
        <f>K137</f>
        <v>30</v>
      </c>
      <c r="L154" s="51">
        <f t="shared" ref="L154:W154" si="7">L137+L145+L153</f>
        <v>4350.236357662634</v>
      </c>
      <c r="M154" s="51">
        <f t="shared" si="7"/>
        <v>579.07368156405096</v>
      </c>
      <c r="N154" s="51">
        <f t="shared" si="7"/>
        <v>13885251.956447801</v>
      </c>
      <c r="O154" s="51">
        <f t="shared" si="7"/>
        <v>10147338.710468961</v>
      </c>
      <c r="P154" s="51">
        <f t="shared" si="7"/>
        <v>2555580.6225842177</v>
      </c>
      <c r="Q154" s="51">
        <f t="shared" si="7"/>
        <v>1182332.6233946229</v>
      </c>
      <c r="R154" s="51">
        <f t="shared" si="7"/>
        <v>1182332.6233946229</v>
      </c>
      <c r="S154" s="51">
        <f t="shared" si="7"/>
        <v>0</v>
      </c>
      <c r="T154" s="51">
        <f t="shared" si="7"/>
        <v>0</v>
      </c>
      <c r="U154" s="51">
        <f t="shared" si="7"/>
        <v>9049774986.8471203</v>
      </c>
      <c r="V154" s="51">
        <f t="shared" si="7"/>
        <v>0</v>
      </c>
      <c r="W154" s="51">
        <f t="shared" si="7"/>
        <v>0</v>
      </c>
      <c r="X154" s="51">
        <f>(X137*N137+X145*N145+X153*N153)/(N137+N145+N153)</f>
        <v>0</v>
      </c>
      <c r="Y154" s="51">
        <f>(Y137*N137+Y145*N145+Y153*N153)/(N137+N145+N153)</f>
        <v>983.98784268494228</v>
      </c>
      <c r="Z154" s="51">
        <f>(Z137*N137+Z145*N145+Z153*N153)/(N137+N145+N153)</f>
        <v>0</v>
      </c>
      <c r="AA154" s="51">
        <f>(AA137*N137+AA145*N145+AA153*N153)/(N137+N145+N153)</f>
        <v>268.17135923712482</v>
      </c>
      <c r="AB154" s="51">
        <f>(AB137*N137+AB145*N145+AB153*N153)/(N137+N145+N153)</f>
        <v>720.019324263057</v>
      </c>
      <c r="AC154" s="51">
        <f>(AC137*N137+AC145*N145+AC153*N153)/(N137+N145+N153)</f>
        <v>-4.2028408152394352</v>
      </c>
      <c r="AD154" s="51">
        <f>(AD137*N137+AD145*N145+AD153*N153)/(N137+N145+N153)</f>
        <v>481.06320822419514</v>
      </c>
      <c r="AE154" s="51">
        <f>(AE137*N137+AE145*N145+AE153*N153)/(N137+N145+N153)</f>
        <v>4.3702982125726026E-3</v>
      </c>
      <c r="AF154" s="51">
        <f>(AF137*N137+AF145*N145+AF153*N153)/(N137+N145+N153)</f>
        <v>0</v>
      </c>
      <c r="AG154" s="51">
        <f>(AG137*N137+AG145*N145+AG153*N153)/(N137+N145+N153)</f>
        <v>0</v>
      </c>
      <c r="AH154" s="51">
        <f>(AH137*N137+AH145*N145+AH153*N153)/(N137+N145+N153)</f>
        <v>3.4103756018883428E-3</v>
      </c>
      <c r="AI154" s="51">
        <f>(AI137*N137+AI145*N145+AI153*N153)/(N137+N145+N153)</f>
        <v>123.00035822944251</v>
      </c>
      <c r="AJ154" s="51">
        <f>(AJ137*N137+AJ145*N145+AJ153*N153)/(N137+N145+N153)</f>
        <v>358.05506932093806</v>
      </c>
      <c r="AK154" s="51">
        <f>(AK137*N137+AK145*N145+AK153*N153)/(N137+N145+N153)</f>
        <v>0</v>
      </c>
      <c r="AL154" s="51">
        <f>(AL137*N137+AL145*N145+AL153*N153)/(N137+N145+N153)</f>
        <v>0</v>
      </c>
      <c r="AM154" s="51">
        <f>(AM137*N137+AM145*N145+AM153*N153)/(N137+N145+N153)</f>
        <v>0</v>
      </c>
      <c r="AN154" s="51">
        <f>(AN137*N137+AN145*N145+AN153*N153)/(N137+N145+N153)</f>
        <v>-183.0304278305224</v>
      </c>
      <c r="AO154" s="51">
        <f>(AO137*N137+AO145*N145+AO153*N153)/(N137+N145+N153)</f>
        <v>502.92463446074714</v>
      </c>
      <c r="AP154" s="51">
        <f>(AP137*N137+AP145*N145+AP153*N153)/(N137+N145+N153)</f>
        <v>7.780673814460945E-3</v>
      </c>
      <c r="AQ154" s="51">
        <f>(AQ137*N137+AQ145*N145+AQ153*N153)/(N137+N145+N153)</f>
        <v>4.3702982125726026E-3</v>
      </c>
      <c r="AR154" s="51">
        <f>(AR137*N137+AR145*N145+AR153*N153)/(N137+N145+N153)</f>
        <v>0</v>
      </c>
      <c r="AS154" s="51">
        <f>(AS137*N137+AS145*N145+AS153*N153)/(N137+N145+N153)</f>
        <v>0</v>
      </c>
      <c r="AT154" s="51">
        <f>(AT137*N137+AT145*N145+AT153*N153)/(N137+N145+N153)</f>
        <v>3.4103756018883428E-3</v>
      </c>
      <c r="AU154" s="51">
        <f>(AU137*N137+AU145*N145+AU153*N153)/(N137+N145+N153)</f>
        <v>270.88198444447823</v>
      </c>
      <c r="AV154" s="51">
        <f>(AV137*N137+AV145*N145+AV153*N153)/(N137+N145+N153)</f>
        <v>80.247170122856502</v>
      </c>
      <c r="AW154" s="51">
        <f>(AW137*N137+AW145*N145+AW153*N153)/(N137+N145+N153)</f>
        <v>80.247170122856502</v>
      </c>
      <c r="AX154" s="51">
        <f>(AX137*N137+AX145*N145+AX153*N153)/(N137+N145+N153)</f>
        <v>0</v>
      </c>
      <c r="AY154" s="51">
        <f>(AY137*N137+AY145*N145+AY153*N153)/(N137+N145+N153)</f>
        <v>0</v>
      </c>
      <c r="AZ154" s="51">
        <f>(AZ137*N137+AZ145*N145+AZ153*N153)/(N137+N145+N153)</f>
        <v>49.805653017970052</v>
      </c>
      <c r="BA154" s="51">
        <f>(BA137*N137+BA145*N145+BA153*N153)/(N137+N145+N153)</f>
        <v>0</v>
      </c>
      <c r="BB154" s="51">
        <f>(BB137*N137+BB145*N145+BB153*N153)/(N137+N145+N153)</f>
        <v>20.752355424154185</v>
      </c>
      <c r="BC154" s="51">
        <f>(BC137*N137+BC145*N145+BC153*N153)/(N137+N145+N153)</f>
        <v>29.053297593815863</v>
      </c>
      <c r="BD154" s="51">
        <f>(BD137*N137+BD145*N145+BD153*N153)/(N137+N145+N153)</f>
        <v>0</v>
      </c>
      <c r="BE154" s="51">
        <f>(BE137*N137+BE145*N145+BE153*N153)/(N137+N145+N153)</f>
        <v>140.82916130365166</v>
      </c>
      <c r="BF154" s="51">
        <f>(BF137*N137+BF145*N145+BF153*N153)/(N137+N145+N153)</f>
        <v>49.413740808298826</v>
      </c>
      <c r="BG154" s="51">
        <f>(BG137*N137+BG145*N145+BG153*N153)/(N137+N145+N153)</f>
        <v>0</v>
      </c>
      <c r="BH154" s="51">
        <f>(BH137*N137+BH145*N145+BH153*N153)/(N137+N145+N153)</f>
        <v>91.415420495352834</v>
      </c>
      <c r="BI154" s="51">
        <f>(BI137*N137+BI145*N145+BI153*N153)/(N137+N145+N153)</f>
        <v>0</v>
      </c>
      <c r="BJ154" s="51">
        <f>(BJ137*N137+BJ145*N145+BJ153*N153)/(N137+N145+N153)</f>
        <v>270.8897651182927</v>
      </c>
      <c r="BK154" s="51">
        <f>(BK137*N137+BK145*N145+BK153*N153)/(N137+N145+N153)</f>
        <v>751.95297334248789</v>
      </c>
      <c r="BL154" s="51">
        <f>(BL137*N137+BL145*N145+BL153*N153)/(N137+N145+N153)</f>
        <v>-362.88113981539937</v>
      </c>
      <c r="BM154" s="51">
        <f>(BM137*N137+BM145*N145+BM153*N153)/(N137+N145+N153)</f>
        <v>4.8913078258144607</v>
      </c>
    </row>
    <row r="155" spans="1:65" s="56" customFormat="1" x14ac:dyDescent="0.4">
      <c r="A155" s="15" t="s">
        <v>10702</v>
      </c>
      <c r="B155" s="15" t="s">
        <v>10437</v>
      </c>
      <c r="C155" s="15" t="s">
        <v>10618</v>
      </c>
      <c r="D155" s="15" t="s">
        <v>10302</v>
      </c>
      <c r="E155" s="15" t="s">
        <v>10839</v>
      </c>
      <c r="F155" s="15">
        <v>1963726</v>
      </c>
      <c r="G155" s="15">
        <v>0.89712450607071414</v>
      </c>
      <c r="H155" s="15">
        <v>200</v>
      </c>
      <c r="I155" s="118">
        <v>-115.30997096615519</v>
      </c>
      <c r="J155" s="117">
        <v>-3.8282686215872759</v>
      </c>
      <c r="K155" s="15">
        <v>30</v>
      </c>
      <c r="L155" s="15">
        <v>723.77382232754928</v>
      </c>
      <c r="M155" s="15">
        <v>122.45427825453091</v>
      </c>
      <c r="N155" s="15">
        <v>8219979.275606934</v>
      </c>
      <c r="O155" s="15">
        <v>1535981.2174502737</v>
      </c>
      <c r="P155" s="15">
        <v>3106258.2434331989</v>
      </c>
      <c r="Q155" s="15">
        <v>3577739.8147234609</v>
      </c>
      <c r="R155" s="15">
        <v>655543.34722965304</v>
      </c>
      <c r="S155" s="15">
        <v>1373675.671658596</v>
      </c>
      <c r="T155" s="15">
        <v>1548520.7958352126</v>
      </c>
      <c r="U155" s="15">
        <v>0</v>
      </c>
      <c r="V155" s="15">
        <v>998198115.32089341</v>
      </c>
      <c r="W155" s="15">
        <v>0</v>
      </c>
      <c r="X155" s="15">
        <v>0</v>
      </c>
      <c r="Y155" s="15">
        <v>30.554834504839544</v>
      </c>
      <c r="Z155" s="15">
        <v>0</v>
      </c>
      <c r="AA155" s="15">
        <v>30.524000000000001</v>
      </c>
      <c r="AB155" s="15">
        <v>0</v>
      </c>
      <c r="AC155" s="15">
        <v>3.0834504839542965E-2</v>
      </c>
      <c r="AD155" s="15">
        <v>145.86480547099472</v>
      </c>
      <c r="AE155" s="15">
        <v>1.1097715531791384E-3</v>
      </c>
      <c r="AF155" s="15">
        <v>0</v>
      </c>
      <c r="AG155" s="15">
        <v>0</v>
      </c>
      <c r="AH155" s="15">
        <v>1.2417978804473253E-3</v>
      </c>
      <c r="AI155" s="15">
        <v>101.46076874999997</v>
      </c>
      <c r="AJ155" s="15">
        <v>44.401685151561146</v>
      </c>
      <c r="AK155" s="15">
        <v>0</v>
      </c>
      <c r="AL155" s="15">
        <v>0</v>
      </c>
      <c r="AM155" s="15">
        <v>0</v>
      </c>
      <c r="AN155" s="15">
        <v>4730.5707106388791</v>
      </c>
      <c r="AO155" s="15">
        <v>-115.30997096615519</v>
      </c>
      <c r="AP155" s="15">
        <v>2.3515694336264637E-3</v>
      </c>
      <c r="AQ155" s="15">
        <v>1.1097715531791384E-3</v>
      </c>
      <c r="AR155" s="15">
        <v>0</v>
      </c>
      <c r="AS155" s="15">
        <v>0</v>
      </c>
      <c r="AT155" s="15">
        <v>1.2417978804473253E-3</v>
      </c>
      <c r="AU155" s="15">
        <v>95.570386565443357</v>
      </c>
      <c r="AV155" s="15">
        <v>62.210874999999987</v>
      </c>
      <c r="AW155" s="15">
        <v>62.210874999999987</v>
      </c>
      <c r="AX155" s="15">
        <v>0</v>
      </c>
      <c r="AY155" s="15">
        <v>0</v>
      </c>
      <c r="AZ155" s="15">
        <v>29.005782747148032</v>
      </c>
      <c r="BA155" s="15">
        <v>0</v>
      </c>
      <c r="BB155" s="15">
        <v>12.085742811311681</v>
      </c>
      <c r="BC155" s="15">
        <v>16.92003993583635</v>
      </c>
      <c r="BD155" s="15">
        <v>0</v>
      </c>
      <c r="BE155" s="15">
        <v>4.3537288182953437</v>
      </c>
      <c r="BF155" s="15">
        <v>1.527624146770296</v>
      </c>
      <c r="BG155" s="15">
        <v>0</v>
      </c>
      <c r="BH155" s="15">
        <v>2.8261046715250475</v>
      </c>
      <c r="BI155" s="15">
        <v>0</v>
      </c>
      <c r="BJ155" s="15">
        <v>95.572738134876985</v>
      </c>
      <c r="BK155" s="55">
        <v>241.43754360587172</v>
      </c>
      <c r="BL155" s="55">
        <v>14315.349359363177</v>
      </c>
      <c r="BM155" s="55">
        <v>-3.8282686215872759</v>
      </c>
    </row>
    <row r="156" spans="1:65" s="54" customFormat="1" x14ac:dyDescent="0.4">
      <c r="A156" s="15" t="s">
        <v>10702</v>
      </c>
      <c r="B156" s="15" t="s">
        <v>10437</v>
      </c>
      <c r="C156" s="15" t="s">
        <v>10618</v>
      </c>
      <c r="D156" s="15" t="s">
        <v>10303</v>
      </c>
      <c r="E156" s="15" t="s">
        <v>10840</v>
      </c>
      <c r="F156" s="15">
        <v>1963726</v>
      </c>
      <c r="G156" s="15">
        <v>0.89712450607071414</v>
      </c>
      <c r="H156" s="15">
        <v>200</v>
      </c>
      <c r="I156" s="118">
        <v>-70.905593805579045</v>
      </c>
      <c r="J156" s="117">
        <v>-5.5994354627394562</v>
      </c>
      <c r="K156" s="15">
        <v>30</v>
      </c>
      <c r="L156" s="15">
        <v>723.77382232754928</v>
      </c>
      <c r="M156" s="15">
        <v>122.45427825453091</v>
      </c>
      <c r="N156" s="15">
        <v>8219979.275606934</v>
      </c>
      <c r="O156" s="15">
        <v>1535981.2174502737</v>
      </c>
      <c r="P156" s="15">
        <v>3106258.2434331989</v>
      </c>
      <c r="Q156" s="15">
        <v>3577739.8147234609</v>
      </c>
      <c r="R156" s="15">
        <v>655543.34722965304</v>
      </c>
      <c r="S156" s="15">
        <v>1373675.671658596</v>
      </c>
      <c r="T156" s="15">
        <v>1548520.7958352126</v>
      </c>
      <c r="U156" s="15">
        <v>0</v>
      </c>
      <c r="V156" s="15">
        <v>0</v>
      </c>
      <c r="W156" s="15">
        <v>249549528.83022335</v>
      </c>
      <c r="X156" s="15">
        <v>0</v>
      </c>
      <c r="Y156" s="15">
        <v>30.554834504839544</v>
      </c>
      <c r="Z156" s="15">
        <v>0</v>
      </c>
      <c r="AA156" s="15">
        <v>30.524000000000001</v>
      </c>
      <c r="AB156" s="15">
        <v>0</v>
      </c>
      <c r="AC156" s="15">
        <v>3.0834504839542965E-2</v>
      </c>
      <c r="AD156" s="15">
        <v>101.46042831041859</v>
      </c>
      <c r="AE156" s="15">
        <v>-1.2610408003686973E-3</v>
      </c>
      <c r="AF156" s="15">
        <v>7.3778108307827128E-5</v>
      </c>
      <c r="AG156" s="15">
        <v>1.5928337859368868E-4</v>
      </c>
      <c r="AH156" s="15">
        <v>0</v>
      </c>
      <c r="AI156" s="15">
        <v>101.46076874999997</v>
      </c>
      <c r="AJ156" s="15">
        <v>0</v>
      </c>
      <c r="AK156" s="15">
        <v>6.8753973208285043E-4</v>
      </c>
      <c r="AL156" s="15">
        <v>0</v>
      </c>
      <c r="AM156" s="15">
        <v>0</v>
      </c>
      <c r="AN156" s="15">
        <v>3290.4834644953703</v>
      </c>
      <c r="AO156" s="15">
        <v>-70.905593805579045</v>
      </c>
      <c r="AP156" s="15">
        <v>0</v>
      </c>
      <c r="AQ156" s="15">
        <v>0</v>
      </c>
      <c r="AR156" s="15">
        <v>0</v>
      </c>
      <c r="AS156" s="15">
        <v>0</v>
      </c>
      <c r="AT156" s="15">
        <v>0</v>
      </c>
      <c r="AU156" s="15">
        <v>95.57086815113982</v>
      </c>
      <c r="AV156" s="15">
        <v>62.210874999999987</v>
      </c>
      <c r="AW156" s="15">
        <v>62.210874999999987</v>
      </c>
      <c r="AX156" s="15">
        <v>0</v>
      </c>
      <c r="AY156" s="15">
        <v>0</v>
      </c>
      <c r="AZ156" s="15">
        <v>29.005782747148032</v>
      </c>
      <c r="BA156" s="15">
        <v>0</v>
      </c>
      <c r="BB156" s="15">
        <v>12.085742811311681</v>
      </c>
      <c r="BC156" s="15">
        <v>16.92003993583635</v>
      </c>
      <c r="BD156" s="15">
        <v>0</v>
      </c>
      <c r="BE156" s="15">
        <v>4.3542104039918037</v>
      </c>
      <c r="BF156" s="15">
        <v>1.5277931242076506</v>
      </c>
      <c r="BG156" s="15">
        <v>0</v>
      </c>
      <c r="BH156" s="15">
        <v>2.8264172797841534</v>
      </c>
      <c r="BI156" s="15">
        <v>0</v>
      </c>
      <c r="BJ156" s="15">
        <v>95.57086815113982</v>
      </c>
      <c r="BK156" s="53">
        <v>197.03129646155841</v>
      </c>
      <c r="BL156" s="53">
        <v>12875.201467402689</v>
      </c>
      <c r="BM156" s="53">
        <v>-5.5994354627394562</v>
      </c>
    </row>
    <row r="157" spans="1:65" s="56" customFormat="1" x14ac:dyDescent="0.4">
      <c r="A157" s="15" t="s">
        <v>10702</v>
      </c>
      <c r="B157" s="15" t="s">
        <v>10437</v>
      </c>
      <c r="C157" s="15" t="s">
        <v>10618</v>
      </c>
      <c r="D157" s="15" t="s">
        <v>10304</v>
      </c>
      <c r="E157" s="15" t="s">
        <v>10841</v>
      </c>
      <c r="F157" s="15">
        <v>1963726</v>
      </c>
      <c r="G157" s="15">
        <v>0.89712450607071414</v>
      </c>
      <c r="H157" s="15">
        <v>200</v>
      </c>
      <c r="I157" s="118">
        <v>-70.90536074409215</v>
      </c>
      <c r="J157" s="117">
        <v>-5.5994510491847986</v>
      </c>
      <c r="K157" s="15">
        <v>30</v>
      </c>
      <c r="L157" s="15">
        <v>723.77382232754928</v>
      </c>
      <c r="M157" s="15">
        <v>122.45427825453091</v>
      </c>
      <c r="N157" s="15">
        <v>8219979.275606934</v>
      </c>
      <c r="O157" s="15">
        <v>1535981.2174502737</v>
      </c>
      <c r="P157" s="15">
        <v>3106258.2434331989</v>
      </c>
      <c r="Q157" s="15">
        <v>3577739.8147234609</v>
      </c>
      <c r="R157" s="15">
        <v>655543.34722965304</v>
      </c>
      <c r="S157" s="15">
        <v>1373675.671658596</v>
      </c>
      <c r="T157" s="15">
        <v>1548520.7958352126</v>
      </c>
      <c r="U157" s="15">
        <v>0</v>
      </c>
      <c r="V157" s="15">
        <v>0</v>
      </c>
      <c r="W157" s="15">
        <v>0</v>
      </c>
      <c r="X157" s="15">
        <v>249549528830.22336</v>
      </c>
      <c r="Y157" s="15">
        <v>30.554834504839544</v>
      </c>
      <c r="Z157" s="15">
        <v>0</v>
      </c>
      <c r="AA157" s="15">
        <v>30.524000000000001</v>
      </c>
      <c r="AB157" s="15">
        <v>0</v>
      </c>
      <c r="AC157" s="15">
        <v>3.0834504839542965E-2</v>
      </c>
      <c r="AD157" s="15">
        <v>101.4601952489317</v>
      </c>
      <c r="AE157" s="15">
        <v>-1.2610408003686973E-3</v>
      </c>
      <c r="AF157" s="15">
        <v>0</v>
      </c>
      <c r="AG157" s="15">
        <v>0</v>
      </c>
      <c r="AH157" s="15">
        <v>0</v>
      </c>
      <c r="AI157" s="15">
        <v>101.46076874999997</v>
      </c>
      <c r="AJ157" s="15">
        <v>0</v>
      </c>
      <c r="AK157" s="15">
        <v>6.8753973208285043E-4</v>
      </c>
      <c r="AL157" s="15">
        <v>0</v>
      </c>
      <c r="AM157" s="15">
        <v>0</v>
      </c>
      <c r="AN157" s="15">
        <v>3290.475906031626</v>
      </c>
      <c r="AO157" s="15">
        <v>-70.90536074409215</v>
      </c>
      <c r="AP157" s="15">
        <v>0</v>
      </c>
      <c r="AQ157" s="15">
        <v>0</v>
      </c>
      <c r="AR157" s="15">
        <v>0</v>
      </c>
      <c r="AS157" s="15">
        <v>0</v>
      </c>
      <c r="AT157" s="15">
        <v>0</v>
      </c>
      <c r="AU157" s="15">
        <v>95.570901362401713</v>
      </c>
      <c r="AV157" s="15">
        <v>62.210874999999987</v>
      </c>
      <c r="AW157" s="15">
        <v>62.210874999999987</v>
      </c>
      <c r="AX157" s="15">
        <v>0</v>
      </c>
      <c r="AY157" s="15">
        <v>0</v>
      </c>
      <c r="AZ157" s="15">
        <v>29.005782747148032</v>
      </c>
      <c r="BA157" s="15">
        <v>0</v>
      </c>
      <c r="BB157" s="15">
        <v>12.085742811311681</v>
      </c>
      <c r="BC157" s="15">
        <v>16.92003993583635</v>
      </c>
      <c r="BD157" s="15">
        <v>0</v>
      </c>
      <c r="BE157" s="15">
        <v>4.3542436152536865</v>
      </c>
      <c r="BF157" s="15">
        <v>1.5278047772819954</v>
      </c>
      <c r="BG157" s="15">
        <v>0</v>
      </c>
      <c r="BH157" s="15">
        <v>2.8264388379716912</v>
      </c>
      <c r="BI157" s="15">
        <v>0</v>
      </c>
      <c r="BJ157" s="15">
        <v>95.570901362401713</v>
      </c>
      <c r="BK157" s="55">
        <v>197.0310966113334</v>
      </c>
      <c r="BL157" s="55">
        <v>12875.194986020027</v>
      </c>
      <c r="BM157" s="55">
        <v>-5.5994510491847986</v>
      </c>
    </row>
    <row r="158" spans="1:65" s="52" customFormat="1" x14ac:dyDescent="0.4">
      <c r="A158" s="15" t="s">
        <v>10702</v>
      </c>
      <c r="B158" s="15" t="s">
        <v>10437</v>
      </c>
      <c r="C158" s="15" t="s">
        <v>10618</v>
      </c>
      <c r="D158" s="15" t="s">
        <v>10305</v>
      </c>
      <c r="E158" s="15" t="s">
        <v>10842</v>
      </c>
      <c r="F158" s="15">
        <v>1963726</v>
      </c>
      <c r="G158" s="15">
        <v>0.89712450607071414</v>
      </c>
      <c r="H158" s="15">
        <v>200</v>
      </c>
      <c r="I158" s="118">
        <v>-70.912089884686154</v>
      </c>
      <c r="J158" s="117">
        <v>-5.4631778755342699</v>
      </c>
      <c r="K158" s="15">
        <v>30</v>
      </c>
      <c r="L158" s="15">
        <v>421.85084510562172</v>
      </c>
      <c r="M158" s="15">
        <v>100.14385477013553</v>
      </c>
      <c r="N158" s="15">
        <v>8219979.275606934</v>
      </c>
      <c r="O158" s="15">
        <v>1158893.7781714434</v>
      </c>
      <c r="P158" s="15">
        <v>3240932.3288899241</v>
      </c>
      <c r="Q158" s="15">
        <v>3820153.1685455665</v>
      </c>
      <c r="R158" s="15">
        <v>655543.34722965304</v>
      </c>
      <c r="S158" s="15">
        <v>1616089.0254807011</v>
      </c>
      <c r="T158" s="15">
        <v>1548520.7958352126</v>
      </c>
      <c r="U158" s="15">
        <v>0</v>
      </c>
      <c r="V158" s="15">
        <v>0</v>
      </c>
      <c r="W158" s="15">
        <v>0</v>
      </c>
      <c r="X158" s="15">
        <v>0</v>
      </c>
      <c r="Y158" s="15">
        <v>30.547706591991918</v>
      </c>
      <c r="Z158" s="15">
        <v>0</v>
      </c>
      <c r="AA158" s="15">
        <v>30.524000000000001</v>
      </c>
      <c r="AB158" s="15">
        <v>0</v>
      </c>
      <c r="AC158" s="15">
        <v>2.3706591991915969E-2</v>
      </c>
      <c r="AD158" s="15">
        <v>101.45979647667806</v>
      </c>
      <c r="AE158" s="15">
        <v>-9.7227332189778464E-4</v>
      </c>
      <c r="AF158" s="15">
        <v>0</v>
      </c>
      <c r="AG158" s="15">
        <v>0</v>
      </c>
      <c r="AH158" s="15">
        <v>0</v>
      </c>
      <c r="AI158" s="15">
        <v>101.46076874999997</v>
      </c>
      <c r="AJ158" s="15">
        <v>0</v>
      </c>
      <c r="AK158" s="15">
        <v>0</v>
      </c>
      <c r="AL158" s="15">
        <v>0</v>
      </c>
      <c r="AM158" s="15">
        <v>0</v>
      </c>
      <c r="AN158" s="15">
        <v>4279.8136700237728</v>
      </c>
      <c r="AO158" s="15">
        <v>-70.912089884686154</v>
      </c>
      <c r="AP158" s="15">
        <v>0</v>
      </c>
      <c r="AQ158" s="15">
        <v>0</v>
      </c>
      <c r="AR158" s="15">
        <v>0</v>
      </c>
      <c r="AS158" s="15">
        <v>0</v>
      </c>
      <c r="AT158" s="15">
        <v>0</v>
      </c>
      <c r="AU158" s="15">
        <v>85.945564089236825</v>
      </c>
      <c r="AV158" s="15">
        <v>60.572499999999998</v>
      </c>
      <c r="AW158" s="15">
        <v>60.572499999999998</v>
      </c>
      <c r="AX158" s="15">
        <v>0</v>
      </c>
      <c r="AY158" s="15">
        <v>0</v>
      </c>
      <c r="AZ158" s="15">
        <v>21.019877350929619</v>
      </c>
      <c r="BA158" s="15">
        <v>0</v>
      </c>
      <c r="BB158" s="15">
        <v>8.758282229554009</v>
      </c>
      <c r="BC158" s="15">
        <v>12.261595121375612</v>
      </c>
      <c r="BD158" s="15">
        <v>0</v>
      </c>
      <c r="BE158" s="15">
        <v>4.3531867383072189</v>
      </c>
      <c r="BF158" s="15">
        <v>1.5274339432656909</v>
      </c>
      <c r="BG158" s="15">
        <v>0</v>
      </c>
      <c r="BH158" s="15">
        <v>2.8257527950415282</v>
      </c>
      <c r="BI158" s="15">
        <v>0</v>
      </c>
      <c r="BJ158" s="15">
        <v>85.945564089236825</v>
      </c>
      <c r="BK158" s="51">
        <v>187.40536056591489</v>
      </c>
      <c r="BL158" s="51">
        <v>16340.672421663199</v>
      </c>
      <c r="BM158" s="51">
        <v>-5.4631778755342699</v>
      </c>
    </row>
    <row r="159" spans="1:65" x14ac:dyDescent="0.4">
      <c r="A159" s="15" t="s">
        <v>10702</v>
      </c>
      <c r="B159" s="15" t="s">
        <v>10437</v>
      </c>
      <c r="C159" s="15" t="s">
        <v>10618</v>
      </c>
      <c r="D159" s="15" t="s">
        <v>10306</v>
      </c>
      <c r="E159" s="15" t="s">
        <v>10843</v>
      </c>
      <c r="F159" s="15">
        <v>1963726</v>
      </c>
      <c r="G159" s="15">
        <v>0.89712450607071414</v>
      </c>
      <c r="H159" s="15">
        <v>200</v>
      </c>
      <c r="I159" s="118">
        <v>-70.895903290924537</v>
      </c>
      <c r="J159" s="117">
        <v>-5.6059617088559728</v>
      </c>
      <c r="K159" s="15">
        <v>30</v>
      </c>
      <c r="L159" s="15">
        <v>1002.5055946268693</v>
      </c>
      <c r="M159" s="15">
        <v>148.04052917240384</v>
      </c>
      <c r="N159" s="15">
        <v>8219979.275606934</v>
      </c>
      <c r="O159" s="15">
        <v>1884121.9997100541</v>
      </c>
      <c r="P159" s="15">
        <v>2768489.020024416</v>
      </c>
      <c r="Q159" s="15">
        <v>3567368.2558724657</v>
      </c>
      <c r="R159" s="15">
        <v>655543.34722965304</v>
      </c>
      <c r="S159" s="15">
        <v>0</v>
      </c>
      <c r="T159" s="15">
        <v>2911824.9086428126</v>
      </c>
      <c r="U159" s="15">
        <v>0</v>
      </c>
      <c r="V159" s="15">
        <v>0</v>
      </c>
      <c r="W159" s="15">
        <v>0</v>
      </c>
      <c r="X159" s="15">
        <v>0</v>
      </c>
      <c r="Y159" s="15">
        <v>30.562849467414988</v>
      </c>
      <c r="Z159" s="15">
        <v>0</v>
      </c>
      <c r="AA159" s="15">
        <v>30.524000000000001</v>
      </c>
      <c r="AB159" s="15">
        <v>0</v>
      </c>
      <c r="AC159" s="15">
        <v>3.8849467414987279E-2</v>
      </c>
      <c r="AD159" s="15">
        <v>101.45875275833953</v>
      </c>
      <c r="AE159" s="15">
        <v>-2.01599166043896E-3</v>
      </c>
      <c r="AF159" s="15">
        <v>0</v>
      </c>
      <c r="AG159" s="15">
        <v>0</v>
      </c>
      <c r="AH159" s="15">
        <v>0</v>
      </c>
      <c r="AI159" s="15">
        <v>101.46076874999997</v>
      </c>
      <c r="AJ159" s="15">
        <v>0</v>
      </c>
      <c r="AK159" s="15">
        <v>0</v>
      </c>
      <c r="AL159" s="15">
        <v>0</v>
      </c>
      <c r="AM159" s="15">
        <v>0</v>
      </c>
      <c r="AN159" s="15">
        <v>2611.5867091449227</v>
      </c>
      <c r="AO159" s="15">
        <v>-70.895903290924537</v>
      </c>
      <c r="AP159" s="15">
        <v>0</v>
      </c>
      <c r="AQ159" s="15">
        <v>0</v>
      </c>
      <c r="AR159" s="15">
        <v>0</v>
      </c>
      <c r="AS159" s="15">
        <v>0</v>
      </c>
      <c r="AT159" s="15">
        <v>0</v>
      </c>
      <c r="AU159" s="15">
        <v>95.980966405339615</v>
      </c>
      <c r="AV159" s="15">
        <v>66.320000000000007</v>
      </c>
      <c r="AW159" s="15">
        <v>66.320000000000007</v>
      </c>
      <c r="AX159" s="15">
        <v>0</v>
      </c>
      <c r="AY159" s="15">
        <v>0</v>
      </c>
      <c r="AZ159" s="15">
        <v>25.305473077421347</v>
      </c>
      <c r="BA159" s="15">
        <v>0</v>
      </c>
      <c r="BB159" s="15">
        <v>10.543947115592228</v>
      </c>
      <c r="BC159" s="15">
        <v>14.761525961829118</v>
      </c>
      <c r="BD159" s="15">
        <v>0</v>
      </c>
      <c r="BE159" s="15">
        <v>4.3554933279182499</v>
      </c>
      <c r="BF159" s="15">
        <v>1.5282432729537718</v>
      </c>
      <c r="BG159" s="15">
        <v>0</v>
      </c>
      <c r="BH159" s="15">
        <v>2.8272500549644777</v>
      </c>
      <c r="BI159" s="15">
        <v>0</v>
      </c>
      <c r="BJ159" s="15">
        <v>95.980966405339615</v>
      </c>
      <c r="BK159" s="15">
        <v>197.43971916367914</v>
      </c>
      <c r="BL159" s="15">
        <v>10229.248845325368</v>
      </c>
      <c r="BM159" s="15">
        <v>-5.6059617088559728</v>
      </c>
    </row>
    <row r="160" spans="1:65" x14ac:dyDescent="0.4">
      <c r="A160" s="15" t="s">
        <v>10702</v>
      </c>
      <c r="B160" s="15" t="s">
        <v>10437</v>
      </c>
      <c r="C160" s="15" t="s">
        <v>10618</v>
      </c>
      <c r="D160" s="15" t="s">
        <v>10307</v>
      </c>
      <c r="E160" s="15" t="s">
        <v>10844</v>
      </c>
      <c r="F160" s="15">
        <v>1963726</v>
      </c>
      <c r="G160" s="15">
        <v>0.89712450607071414</v>
      </c>
      <c r="H160" s="15">
        <v>200</v>
      </c>
      <c r="I160" s="118">
        <v>-346.58467206243176</v>
      </c>
      <c r="J160" s="117">
        <v>-2.0225374325972485</v>
      </c>
      <c r="K160" s="15">
        <v>30</v>
      </c>
      <c r="L160" s="15">
        <v>2379.1870416630259</v>
      </c>
      <c r="M160" s="15">
        <v>235.94930782416182</v>
      </c>
      <c r="N160" s="15">
        <v>8219979.275606934</v>
      </c>
      <c r="O160" s="15">
        <v>6007158.8304082518</v>
      </c>
      <c r="P160" s="15">
        <v>1512887.1856754562</v>
      </c>
      <c r="Q160" s="15">
        <v>699933.25952322735</v>
      </c>
      <c r="R160" s="15">
        <v>699933.25952322735</v>
      </c>
      <c r="S160" s="15">
        <v>0</v>
      </c>
      <c r="T160" s="15">
        <v>0</v>
      </c>
      <c r="U160" s="15">
        <v>5357408210.8208227</v>
      </c>
      <c r="V160" s="15">
        <v>0</v>
      </c>
      <c r="W160" s="15">
        <v>0</v>
      </c>
      <c r="X160" s="15">
        <v>0</v>
      </c>
      <c r="Y160" s="15">
        <v>30.593684559262996</v>
      </c>
      <c r="Z160" s="15">
        <v>0</v>
      </c>
      <c r="AA160" s="15">
        <v>30.524000000000001</v>
      </c>
      <c r="AB160" s="15">
        <v>0</v>
      </c>
      <c r="AC160" s="15">
        <v>6.9684559262996479E-2</v>
      </c>
      <c r="AD160" s="15">
        <v>377.17835662169477</v>
      </c>
      <c r="AE160" s="15">
        <v>4.3029995622570318E-3</v>
      </c>
      <c r="AF160" s="15">
        <v>0</v>
      </c>
      <c r="AG160" s="15">
        <v>0</v>
      </c>
      <c r="AH160" s="15">
        <v>1.9202922796136244E-3</v>
      </c>
      <c r="AI160" s="15">
        <v>123.0003582294425</v>
      </c>
      <c r="AJ160" s="15">
        <v>254.17177510041043</v>
      </c>
      <c r="AK160" s="15">
        <v>0</v>
      </c>
      <c r="AL160" s="15">
        <v>0</v>
      </c>
      <c r="AM160" s="15">
        <v>0</v>
      </c>
      <c r="AN160" s="15">
        <v>5412.6532564866493</v>
      </c>
      <c r="AO160" s="15">
        <v>-346.58467206243176</v>
      </c>
      <c r="AP160" s="15">
        <v>6.2232918418706562E-3</v>
      </c>
      <c r="AQ160" s="15">
        <v>4.3029995622570318E-3</v>
      </c>
      <c r="AR160" s="15">
        <v>0</v>
      </c>
      <c r="AS160" s="15">
        <v>0</v>
      </c>
      <c r="AT160" s="15">
        <v>1.9202922796136244E-3</v>
      </c>
      <c r="AU160" s="15">
        <v>123.79589289717349</v>
      </c>
      <c r="AV160" s="15">
        <v>81.594999999999999</v>
      </c>
      <c r="AW160" s="15">
        <v>81.594999999999999</v>
      </c>
      <c r="AX160" s="15">
        <v>0</v>
      </c>
      <c r="AY160" s="15">
        <v>0</v>
      </c>
      <c r="AZ160" s="15">
        <v>37.842179666565968</v>
      </c>
      <c r="BA160" s="15">
        <v>0</v>
      </c>
      <c r="BB160" s="15">
        <v>15.767574861069154</v>
      </c>
      <c r="BC160" s="15">
        <v>22.074604805496815</v>
      </c>
      <c r="BD160" s="15">
        <v>0</v>
      </c>
      <c r="BE160" s="15">
        <v>4.3587132306075196</v>
      </c>
      <c r="BF160" s="15">
        <v>1.5293730633710596</v>
      </c>
      <c r="BG160" s="15">
        <v>0</v>
      </c>
      <c r="BH160" s="15">
        <v>2.82934016723646</v>
      </c>
      <c r="BI160" s="15">
        <v>0</v>
      </c>
      <c r="BJ160" s="15">
        <v>123.80211618901536</v>
      </c>
      <c r="BK160" s="15">
        <v>500.98047281071013</v>
      </c>
      <c r="BL160" s="15">
        <v>10058.337107452167</v>
      </c>
      <c r="BM160" s="15">
        <v>-2.0225374325972485</v>
      </c>
    </row>
    <row r="161" spans="1:65" x14ac:dyDescent="0.4">
      <c r="A161" s="15" t="s">
        <v>10702</v>
      </c>
      <c r="B161" s="15" t="s">
        <v>10437</v>
      </c>
      <c r="C161" s="15" t="s">
        <v>10618</v>
      </c>
      <c r="D161" s="15" t="s">
        <v>10308</v>
      </c>
      <c r="E161" s="15" t="s">
        <v>10845</v>
      </c>
      <c r="F161" s="15">
        <v>1963726</v>
      </c>
      <c r="G161" s="15">
        <v>0.89712450607071414</v>
      </c>
      <c r="H161" s="15">
        <v>200</v>
      </c>
      <c r="I161" s="118">
        <v>-346.58467206243176</v>
      </c>
      <c r="J161" s="117">
        <v>-2.0225374325972485</v>
      </c>
      <c r="K161" s="15">
        <v>30</v>
      </c>
      <c r="L161" s="15">
        <v>2379.1870416630259</v>
      </c>
      <c r="M161" s="15">
        <v>235.94930782416182</v>
      </c>
      <c r="N161" s="15">
        <v>8219979.275606934</v>
      </c>
      <c r="O161" s="15">
        <v>6007158.8304082518</v>
      </c>
      <c r="P161" s="15">
        <v>1512887.1856754562</v>
      </c>
      <c r="Q161" s="15">
        <v>699933.25952322735</v>
      </c>
      <c r="R161" s="15">
        <v>699933.25952322735</v>
      </c>
      <c r="S161" s="15">
        <v>0</v>
      </c>
      <c r="T161" s="15">
        <v>0</v>
      </c>
      <c r="U161" s="15">
        <v>5357408210.8208227</v>
      </c>
      <c r="V161" s="15">
        <v>0</v>
      </c>
      <c r="W161" s="15">
        <v>0</v>
      </c>
      <c r="X161" s="15">
        <v>0</v>
      </c>
      <c r="Y161" s="15">
        <v>30.593684559262996</v>
      </c>
      <c r="Z161" s="15">
        <v>0</v>
      </c>
      <c r="AA161" s="15">
        <v>30.524000000000001</v>
      </c>
      <c r="AB161" s="15">
        <v>0</v>
      </c>
      <c r="AC161" s="15">
        <v>6.9684559262996479E-2</v>
      </c>
      <c r="AD161" s="15">
        <v>377.17835662169477</v>
      </c>
      <c r="AE161" s="15">
        <v>4.3029995622570318E-3</v>
      </c>
      <c r="AF161" s="15">
        <v>0</v>
      </c>
      <c r="AG161" s="15">
        <v>0</v>
      </c>
      <c r="AH161" s="15">
        <v>1.9202922796136244E-3</v>
      </c>
      <c r="AI161" s="15">
        <v>123.0003582294425</v>
      </c>
      <c r="AJ161" s="15">
        <v>254.17177510041043</v>
      </c>
      <c r="AK161" s="15">
        <v>0</v>
      </c>
      <c r="AL161" s="15">
        <v>0</v>
      </c>
      <c r="AM161" s="15">
        <v>0</v>
      </c>
      <c r="AN161" s="15">
        <v>5412.6532564866493</v>
      </c>
      <c r="AO161" s="15">
        <v>-346.58467206243176</v>
      </c>
      <c r="AP161" s="15">
        <v>6.2232918418706562E-3</v>
      </c>
      <c r="AQ161" s="15">
        <v>4.3029995622570318E-3</v>
      </c>
      <c r="AR161" s="15">
        <v>0</v>
      </c>
      <c r="AS161" s="15">
        <v>0</v>
      </c>
      <c r="AT161" s="15">
        <v>1.9202922796136244E-3</v>
      </c>
      <c r="AU161" s="15">
        <v>123.79589289717349</v>
      </c>
      <c r="AV161" s="15">
        <v>81.594999999999999</v>
      </c>
      <c r="AW161" s="15">
        <v>81.594999999999999</v>
      </c>
      <c r="AX161" s="15">
        <v>0</v>
      </c>
      <c r="AY161" s="15">
        <v>0</v>
      </c>
      <c r="AZ161" s="15">
        <v>37.842179666565968</v>
      </c>
      <c r="BA161" s="15">
        <v>0</v>
      </c>
      <c r="BB161" s="15">
        <v>15.767574861069154</v>
      </c>
      <c r="BC161" s="15">
        <v>22.074604805496815</v>
      </c>
      <c r="BD161" s="15">
        <v>0</v>
      </c>
      <c r="BE161" s="15">
        <v>4.3587132306075196</v>
      </c>
      <c r="BF161" s="15">
        <v>1.5293730633710596</v>
      </c>
      <c r="BG161" s="15">
        <v>0</v>
      </c>
      <c r="BH161" s="15">
        <v>2.82934016723646</v>
      </c>
      <c r="BI161" s="15">
        <v>0</v>
      </c>
      <c r="BJ161" s="15">
        <v>123.80211618901536</v>
      </c>
      <c r="BK161" s="15">
        <v>500.98047281071013</v>
      </c>
      <c r="BL161" s="15">
        <v>10058.337107452167</v>
      </c>
      <c r="BM161" s="15">
        <v>-2.0225374325972485</v>
      </c>
    </row>
    <row r="162" spans="1:65" s="56" customFormat="1" x14ac:dyDescent="0.4">
      <c r="A162" s="55" t="s">
        <v>10702</v>
      </c>
      <c r="B162" s="55" t="s">
        <v>10437</v>
      </c>
      <c r="C162" s="55" t="s">
        <v>10794</v>
      </c>
      <c r="D162" s="55" t="s">
        <v>10307</v>
      </c>
      <c r="E162" s="55" t="s">
        <v>10846</v>
      </c>
      <c r="F162" s="55">
        <v>1963726</v>
      </c>
      <c r="G162" s="55">
        <v>0.89712450607071414</v>
      </c>
      <c r="H162" s="55">
        <v>200</v>
      </c>
      <c r="I162" s="55">
        <v>-346.58467206243176</v>
      </c>
      <c r="J162" s="92">
        <v>-2.0225374325972485</v>
      </c>
      <c r="K162" s="55">
        <v>30</v>
      </c>
      <c r="L162" s="55">
        <v>2379.1870416630259</v>
      </c>
      <c r="M162" s="55">
        <v>235.94930782416182</v>
      </c>
      <c r="N162" s="55">
        <v>8219979.275606934</v>
      </c>
      <c r="O162" s="55">
        <v>6007158.8304082518</v>
      </c>
      <c r="P162" s="55">
        <v>1512887.1856754562</v>
      </c>
      <c r="Q162" s="55">
        <v>699933.25952322735</v>
      </c>
      <c r="R162" s="55">
        <v>699933.25952322735</v>
      </c>
      <c r="S162" s="55">
        <v>0</v>
      </c>
      <c r="T162" s="55">
        <v>0</v>
      </c>
      <c r="U162" s="55">
        <v>5357408210.8208227</v>
      </c>
      <c r="V162" s="55">
        <v>0</v>
      </c>
      <c r="W162" s="55">
        <v>0</v>
      </c>
      <c r="X162" s="55">
        <v>0</v>
      </c>
      <c r="Y162" s="55">
        <v>30.593684559262996</v>
      </c>
      <c r="Z162" s="55">
        <v>0</v>
      </c>
      <c r="AA162" s="55">
        <v>30.524000000000001</v>
      </c>
      <c r="AB162" s="55">
        <v>0</v>
      </c>
      <c r="AC162" s="55">
        <v>6.9684559262996479E-2</v>
      </c>
      <c r="AD162" s="55">
        <v>377.17835662169477</v>
      </c>
      <c r="AE162" s="55">
        <v>4.3029995622570318E-3</v>
      </c>
      <c r="AF162" s="55">
        <v>0</v>
      </c>
      <c r="AG162" s="55">
        <v>0</v>
      </c>
      <c r="AH162" s="55">
        <v>1.9202922796136244E-3</v>
      </c>
      <c r="AI162" s="55">
        <v>123.0003582294425</v>
      </c>
      <c r="AJ162" s="55">
        <v>254.17177510041043</v>
      </c>
      <c r="AK162" s="55">
        <v>0</v>
      </c>
      <c r="AL162" s="55">
        <v>0</v>
      </c>
      <c r="AM162" s="55">
        <v>0</v>
      </c>
      <c r="AN162" s="55">
        <v>5412.6532564866493</v>
      </c>
      <c r="AO162" s="55">
        <v>-346.58467206243176</v>
      </c>
      <c r="AP162" s="55">
        <v>6.2232918418706562E-3</v>
      </c>
      <c r="AQ162" s="55">
        <v>4.3029995622570318E-3</v>
      </c>
      <c r="AR162" s="55">
        <v>0</v>
      </c>
      <c r="AS162" s="55">
        <v>0</v>
      </c>
      <c r="AT162" s="55">
        <v>1.9202922796136244E-3</v>
      </c>
      <c r="AU162" s="55">
        <v>123.79589289717349</v>
      </c>
      <c r="AV162" s="55">
        <v>81.594999999999999</v>
      </c>
      <c r="AW162" s="55">
        <v>81.594999999999999</v>
      </c>
      <c r="AX162" s="55">
        <v>0</v>
      </c>
      <c r="AY162" s="55">
        <v>0</v>
      </c>
      <c r="AZ162" s="55">
        <v>37.842179666565968</v>
      </c>
      <c r="BA162" s="55">
        <v>0</v>
      </c>
      <c r="BB162" s="55">
        <v>15.767574861069154</v>
      </c>
      <c r="BC162" s="55">
        <v>22.074604805496815</v>
      </c>
      <c r="BD162" s="55">
        <v>0</v>
      </c>
      <c r="BE162" s="55">
        <v>4.3587132306075196</v>
      </c>
      <c r="BF162" s="55">
        <v>1.5293730633710596</v>
      </c>
      <c r="BG162" s="55">
        <v>0</v>
      </c>
      <c r="BH162" s="55">
        <v>2.82934016723646</v>
      </c>
      <c r="BI162" s="55">
        <v>0</v>
      </c>
      <c r="BJ162" s="55">
        <v>123.80211618901536</v>
      </c>
      <c r="BK162" s="55">
        <v>500.98047281071013</v>
      </c>
      <c r="BL162" s="55">
        <v>10058.337107452167</v>
      </c>
      <c r="BM162" s="55">
        <v>-2.0225374325972485</v>
      </c>
    </row>
    <row r="163" spans="1:65" x14ac:dyDescent="0.4">
      <c r="A163" s="15" t="s">
        <v>10702</v>
      </c>
      <c r="B163" s="15" t="s">
        <v>10437</v>
      </c>
      <c r="C163" s="15" t="s">
        <v>10619</v>
      </c>
      <c r="D163" s="15" t="s">
        <v>10302</v>
      </c>
      <c r="E163" s="15" t="s">
        <v>10847</v>
      </c>
      <c r="F163" s="15">
        <v>772545</v>
      </c>
      <c r="G163" s="15">
        <v>0.89712457766125608</v>
      </c>
      <c r="H163" s="15">
        <v>200</v>
      </c>
      <c r="I163" s="119">
        <v>1748.5167804709163</v>
      </c>
      <c r="J163" s="120">
        <v>0.71645167771023921</v>
      </c>
      <c r="K163" s="15">
        <v>30</v>
      </c>
      <c r="L163" s="15">
        <v>372.7971515115255</v>
      </c>
      <c r="M163" s="15">
        <v>145.03756734939893</v>
      </c>
      <c r="N163" s="15">
        <v>3233803.6957437308</v>
      </c>
      <c r="O163" s="15">
        <v>604266.94168482558</v>
      </c>
      <c r="P163" s="15">
        <v>1222026.1208392181</v>
      </c>
      <c r="Q163" s="15">
        <v>1407510.6332196873</v>
      </c>
      <c r="R163" s="15">
        <v>257895.84473556257</v>
      </c>
      <c r="S163" s="15">
        <v>540414.67926144158</v>
      </c>
      <c r="T163" s="15">
        <v>609200.10922268289</v>
      </c>
      <c r="U163" s="15">
        <v>0</v>
      </c>
      <c r="V163" s="15">
        <v>392698892.07485735</v>
      </c>
      <c r="W163" s="15">
        <v>0</v>
      </c>
      <c r="X163" s="15">
        <v>0</v>
      </c>
      <c r="Y163" s="15">
        <v>1894.381368564447</v>
      </c>
      <c r="Z163" s="15">
        <v>0</v>
      </c>
      <c r="AA163" s="15">
        <v>1035.6300000000001</v>
      </c>
      <c r="AB163" s="15">
        <v>858.67100000000005</v>
      </c>
      <c r="AC163" s="15">
        <v>8.036856444692124E-2</v>
      </c>
      <c r="AD163" s="15">
        <v>145.86458809353076</v>
      </c>
      <c r="AE163" s="15">
        <v>1.4296815683635358E-3</v>
      </c>
      <c r="AF163" s="15">
        <v>0</v>
      </c>
      <c r="AG163" s="15">
        <v>0</v>
      </c>
      <c r="AH163" s="15">
        <v>3.1565159181445091E-3</v>
      </c>
      <c r="AI163" s="15">
        <v>101.46076874999999</v>
      </c>
      <c r="AJ163" s="15">
        <v>44.39923314604426</v>
      </c>
      <c r="AK163" s="15">
        <v>0</v>
      </c>
      <c r="AL163" s="15">
        <v>0</v>
      </c>
      <c r="AM163" s="15">
        <v>0</v>
      </c>
      <c r="AN163" s="15">
        <v>1814.9457950050337</v>
      </c>
      <c r="AO163" s="15">
        <v>1748.5167804709163</v>
      </c>
      <c r="AP163" s="15">
        <v>4.586197486508045E-3</v>
      </c>
      <c r="AQ163" s="15">
        <v>1.4296815683635358E-3</v>
      </c>
      <c r="AR163" s="15">
        <v>0</v>
      </c>
      <c r="AS163" s="15">
        <v>0</v>
      </c>
      <c r="AT163" s="15">
        <v>3.1565159181445091E-3</v>
      </c>
      <c r="AU163" s="15">
        <v>906.85860658187687</v>
      </c>
      <c r="AV163" s="15">
        <v>596.39761747124999</v>
      </c>
      <c r="AW163" s="15">
        <v>596.39761747124999</v>
      </c>
      <c r="AX163" s="15">
        <v>0</v>
      </c>
      <c r="AY163" s="15">
        <v>0</v>
      </c>
      <c r="AZ163" s="15">
        <v>40.512297623335073</v>
      </c>
      <c r="BA163" s="15">
        <v>0</v>
      </c>
      <c r="BB163" s="15">
        <v>16.880124009722948</v>
      </c>
      <c r="BC163" s="15">
        <v>23.632173613612121</v>
      </c>
      <c r="BD163" s="15">
        <v>0</v>
      </c>
      <c r="BE163" s="15">
        <v>269.94869148729185</v>
      </c>
      <c r="BF163" s="15">
        <v>94.718839118348029</v>
      </c>
      <c r="BG163" s="15">
        <v>0</v>
      </c>
      <c r="BH163" s="15">
        <v>175.22985236894385</v>
      </c>
      <c r="BI163" s="15">
        <v>0</v>
      </c>
      <c r="BJ163" s="15">
        <v>906.86319277936343</v>
      </c>
      <c r="BK163" s="15">
        <v>1052.7277808728941</v>
      </c>
      <c r="BL163" s="15">
        <v>15586.285768930811</v>
      </c>
      <c r="BM163" s="15">
        <v>0.71645167771023921</v>
      </c>
    </row>
    <row r="164" spans="1:65" s="56" customFormat="1" x14ac:dyDescent="0.4">
      <c r="A164" s="15" t="s">
        <v>10702</v>
      </c>
      <c r="B164" s="15" t="s">
        <v>10437</v>
      </c>
      <c r="C164" s="15" t="s">
        <v>10619</v>
      </c>
      <c r="D164" s="15" t="s">
        <v>10303</v>
      </c>
      <c r="E164" s="15" t="s">
        <v>10848</v>
      </c>
      <c r="F164" s="15">
        <v>772545</v>
      </c>
      <c r="G164" s="15">
        <v>0.89712457766125608</v>
      </c>
      <c r="H164" s="15">
        <v>200</v>
      </c>
      <c r="I164" s="119">
        <v>1792.9198843023862</v>
      </c>
      <c r="J164" s="120">
        <v>0.67394025914722921</v>
      </c>
      <c r="K164" s="15">
        <v>30</v>
      </c>
      <c r="L164" s="15">
        <v>372.7971515115255</v>
      </c>
      <c r="M164" s="15">
        <v>145.03756734939893</v>
      </c>
      <c r="N164" s="15">
        <v>3233803.6957437308</v>
      </c>
      <c r="O164" s="15">
        <v>604266.94168482558</v>
      </c>
      <c r="P164" s="15">
        <v>1222026.1208392181</v>
      </c>
      <c r="Q164" s="15">
        <v>1407510.6332196873</v>
      </c>
      <c r="R164" s="15">
        <v>257895.84473556257</v>
      </c>
      <c r="S164" s="15">
        <v>540414.67926144158</v>
      </c>
      <c r="T164" s="15">
        <v>609200.10922268289</v>
      </c>
      <c r="U164" s="15">
        <v>0</v>
      </c>
      <c r="V164" s="15">
        <v>0</v>
      </c>
      <c r="W164" s="15">
        <v>98174723.018714339</v>
      </c>
      <c r="X164" s="15">
        <v>0</v>
      </c>
      <c r="Y164" s="15">
        <v>1894.381368564447</v>
      </c>
      <c r="Z164" s="15">
        <v>0</v>
      </c>
      <c r="AA164" s="15">
        <v>1035.6300000000001</v>
      </c>
      <c r="AB164" s="15">
        <v>858.67100000000005</v>
      </c>
      <c r="AC164" s="15">
        <v>8.036856444692124E-2</v>
      </c>
      <c r="AD164" s="15">
        <v>101.46148426206082</v>
      </c>
      <c r="AE164" s="15">
        <v>-1.6245566793245305E-3</v>
      </c>
      <c r="AF164" s="15">
        <v>1.8753597260156091E-4</v>
      </c>
      <c r="AG164" s="15">
        <v>4.0488112271998966E-4</v>
      </c>
      <c r="AH164" s="15">
        <v>0</v>
      </c>
      <c r="AI164" s="15">
        <v>101.46076874999999</v>
      </c>
      <c r="AJ164" s="15">
        <v>0</v>
      </c>
      <c r="AK164" s="15">
        <v>1.7476516451248572E-3</v>
      </c>
      <c r="AL164" s="15">
        <v>0</v>
      </c>
      <c r="AM164" s="15">
        <v>0</v>
      </c>
      <c r="AN164" s="15">
        <v>1262.4523650546257</v>
      </c>
      <c r="AO164" s="15">
        <v>1792.9198843023862</v>
      </c>
      <c r="AP164" s="15">
        <v>0</v>
      </c>
      <c r="AQ164" s="15">
        <v>0</v>
      </c>
      <c r="AR164" s="15">
        <v>0</v>
      </c>
      <c r="AS164" s="15">
        <v>0</v>
      </c>
      <c r="AT164" s="15">
        <v>0</v>
      </c>
      <c r="AU164" s="15">
        <v>906.85940719490952</v>
      </c>
      <c r="AV164" s="15">
        <v>596.39761747124999</v>
      </c>
      <c r="AW164" s="15">
        <v>596.39761747124999</v>
      </c>
      <c r="AX164" s="15">
        <v>0</v>
      </c>
      <c r="AY164" s="15">
        <v>0</v>
      </c>
      <c r="AZ164" s="15">
        <v>40.512297623335073</v>
      </c>
      <c r="BA164" s="15">
        <v>0</v>
      </c>
      <c r="BB164" s="15">
        <v>16.880124009722948</v>
      </c>
      <c r="BC164" s="15">
        <v>23.632173613612121</v>
      </c>
      <c r="BD164" s="15">
        <v>0</v>
      </c>
      <c r="BE164" s="15">
        <v>269.94949210032451</v>
      </c>
      <c r="BF164" s="15">
        <v>94.71912003520157</v>
      </c>
      <c r="BG164" s="15">
        <v>0</v>
      </c>
      <c r="BH164" s="15">
        <v>175.23037206512291</v>
      </c>
      <c r="BI164" s="15">
        <v>0</v>
      </c>
      <c r="BJ164" s="15">
        <v>906.85940719490952</v>
      </c>
      <c r="BK164" s="55">
        <v>1008.3208914569703</v>
      </c>
      <c r="BL164" s="55">
        <v>15033.745236179951</v>
      </c>
      <c r="BM164" s="55">
        <v>0.67394025914722921</v>
      </c>
    </row>
    <row r="165" spans="1:65" s="52" customFormat="1" x14ac:dyDescent="0.4">
      <c r="A165" s="15" t="s">
        <v>10702</v>
      </c>
      <c r="B165" s="15" t="s">
        <v>10437</v>
      </c>
      <c r="C165" s="15" t="s">
        <v>10619</v>
      </c>
      <c r="D165" s="15" t="s">
        <v>10304</v>
      </c>
      <c r="E165" s="15" t="s">
        <v>10849</v>
      </c>
      <c r="F165" s="15">
        <v>772545</v>
      </c>
      <c r="G165" s="15">
        <v>0.89712457766125608</v>
      </c>
      <c r="H165" s="15">
        <v>200</v>
      </c>
      <c r="I165" s="119">
        <v>1792.9204767194815</v>
      </c>
      <c r="J165" s="120">
        <v>0.67393975312847287</v>
      </c>
      <c r="K165" s="15">
        <v>30</v>
      </c>
      <c r="L165" s="15">
        <v>372.7971515115255</v>
      </c>
      <c r="M165" s="15">
        <v>145.03756734939893</v>
      </c>
      <c r="N165" s="15">
        <v>3233803.6957437308</v>
      </c>
      <c r="O165" s="15">
        <v>604266.94168482558</v>
      </c>
      <c r="P165" s="15">
        <v>1222026.1208392181</v>
      </c>
      <c r="Q165" s="15">
        <v>1407510.6332196873</v>
      </c>
      <c r="R165" s="15">
        <v>257895.84473556257</v>
      </c>
      <c r="S165" s="15">
        <v>540414.67926144158</v>
      </c>
      <c r="T165" s="15">
        <v>609200.10922268289</v>
      </c>
      <c r="U165" s="15">
        <v>0</v>
      </c>
      <c r="V165" s="15">
        <v>0</v>
      </c>
      <c r="W165" s="15">
        <v>0</v>
      </c>
      <c r="X165" s="15">
        <v>98174723018.71434</v>
      </c>
      <c r="Y165" s="15">
        <v>1894.381368564447</v>
      </c>
      <c r="Z165" s="15">
        <v>0</v>
      </c>
      <c r="AA165" s="15">
        <v>1035.6300000000001</v>
      </c>
      <c r="AB165" s="15">
        <v>858.67100000000005</v>
      </c>
      <c r="AC165" s="15">
        <v>8.036856444692124E-2</v>
      </c>
      <c r="AD165" s="15">
        <v>101.46089184496554</v>
      </c>
      <c r="AE165" s="15">
        <v>-1.6245566793245305E-3</v>
      </c>
      <c r="AF165" s="15">
        <v>0</v>
      </c>
      <c r="AG165" s="15">
        <v>0</v>
      </c>
      <c r="AH165" s="15">
        <v>0</v>
      </c>
      <c r="AI165" s="15">
        <v>101.46076874999999</v>
      </c>
      <c r="AJ165" s="15">
        <v>0</v>
      </c>
      <c r="AK165" s="15">
        <v>1.7476516451248572E-3</v>
      </c>
      <c r="AL165" s="15">
        <v>0</v>
      </c>
      <c r="AM165" s="15">
        <v>0</v>
      </c>
      <c r="AN165" s="15">
        <v>1262.4449938007112</v>
      </c>
      <c r="AO165" s="15">
        <v>1792.9204767194815</v>
      </c>
      <c r="AP165" s="15">
        <v>0</v>
      </c>
      <c r="AQ165" s="15">
        <v>0</v>
      </c>
      <c r="AR165" s="15">
        <v>0</v>
      </c>
      <c r="AS165" s="15">
        <v>0</v>
      </c>
      <c r="AT165" s="15">
        <v>0</v>
      </c>
      <c r="AU165" s="15">
        <v>906.85949161434564</v>
      </c>
      <c r="AV165" s="15">
        <v>596.39761747124999</v>
      </c>
      <c r="AW165" s="15">
        <v>596.39761747124999</v>
      </c>
      <c r="AX165" s="15">
        <v>0</v>
      </c>
      <c r="AY165" s="15">
        <v>0</v>
      </c>
      <c r="AZ165" s="15">
        <v>40.512297623335073</v>
      </c>
      <c r="BA165" s="15">
        <v>0</v>
      </c>
      <c r="BB165" s="15">
        <v>16.880124009722948</v>
      </c>
      <c r="BC165" s="15">
        <v>23.632173613612121</v>
      </c>
      <c r="BD165" s="15">
        <v>0</v>
      </c>
      <c r="BE165" s="15">
        <v>269.94957651976057</v>
      </c>
      <c r="BF165" s="15">
        <v>94.719149656056345</v>
      </c>
      <c r="BG165" s="15">
        <v>0</v>
      </c>
      <c r="BH165" s="15">
        <v>175.23042686370422</v>
      </c>
      <c r="BI165" s="15">
        <v>0</v>
      </c>
      <c r="BJ165" s="15">
        <v>906.85949161434564</v>
      </c>
      <c r="BK165" s="51">
        <v>1008.3203834593112</v>
      </c>
      <c r="BL165" s="51">
        <v>15033.738915329719</v>
      </c>
      <c r="BM165" s="51">
        <v>0.67393975312847287</v>
      </c>
    </row>
    <row r="166" spans="1:65" x14ac:dyDescent="0.4">
      <c r="A166" s="15" t="s">
        <v>10702</v>
      </c>
      <c r="B166" s="15" t="s">
        <v>10437</v>
      </c>
      <c r="C166" s="15" t="s">
        <v>10619</v>
      </c>
      <c r="D166" s="15" t="s">
        <v>10305</v>
      </c>
      <c r="E166" s="15" t="s">
        <v>10850</v>
      </c>
      <c r="F166" s="15">
        <v>772545</v>
      </c>
      <c r="G166" s="15">
        <v>0.89712457766125608</v>
      </c>
      <c r="H166" s="15">
        <v>200</v>
      </c>
      <c r="I166" s="119">
        <v>1792.9152776075471</v>
      </c>
      <c r="J166" s="120">
        <v>0.6566208779447833</v>
      </c>
      <c r="K166" s="15">
        <v>30</v>
      </c>
      <c r="L166" s="15">
        <v>241.26650392084935</v>
      </c>
      <c r="M166" s="15">
        <v>137.65432891983423</v>
      </c>
      <c r="N166" s="15">
        <v>3233803.6957437308</v>
      </c>
      <c r="O166" s="15">
        <v>455917.81404442986</v>
      </c>
      <c r="P166" s="15">
        <v>1275007.9521393594</v>
      </c>
      <c r="Q166" s="15">
        <v>1502877.9295599414</v>
      </c>
      <c r="R166" s="15">
        <v>257895.84473556257</v>
      </c>
      <c r="S166" s="15">
        <v>635781.97560169618</v>
      </c>
      <c r="T166" s="15">
        <v>609200.10922268289</v>
      </c>
      <c r="U166" s="15">
        <v>0</v>
      </c>
      <c r="V166" s="15">
        <v>0</v>
      </c>
      <c r="W166" s="15">
        <v>0</v>
      </c>
      <c r="X166" s="15">
        <v>0</v>
      </c>
      <c r="Y166" s="15">
        <v>1894.3746816523103</v>
      </c>
      <c r="Z166" s="15">
        <v>0</v>
      </c>
      <c r="AA166" s="15">
        <v>1035.6300000000001</v>
      </c>
      <c r="AB166" s="15">
        <v>858.67100000000005</v>
      </c>
      <c r="AC166" s="15">
        <v>7.3681652310111603E-2</v>
      </c>
      <c r="AD166" s="15">
        <v>101.45940404476323</v>
      </c>
      <c r="AE166" s="15">
        <v>-1.36470523667965E-3</v>
      </c>
      <c r="AF166" s="15">
        <v>0</v>
      </c>
      <c r="AG166" s="15">
        <v>0</v>
      </c>
      <c r="AH166" s="15">
        <v>0</v>
      </c>
      <c r="AI166" s="15">
        <v>101.46076874999999</v>
      </c>
      <c r="AJ166" s="15">
        <v>0</v>
      </c>
      <c r="AK166" s="15">
        <v>0</v>
      </c>
      <c r="AL166" s="15">
        <v>0</v>
      </c>
      <c r="AM166" s="15">
        <v>0</v>
      </c>
      <c r="AN166" s="15">
        <v>1376.9968623632451</v>
      </c>
      <c r="AO166" s="15">
        <v>1792.9152776075471</v>
      </c>
      <c r="AP166" s="15">
        <v>0</v>
      </c>
      <c r="AQ166" s="15">
        <v>0</v>
      </c>
      <c r="AR166" s="15">
        <v>0</v>
      </c>
      <c r="AS166" s="15">
        <v>0</v>
      </c>
      <c r="AT166" s="15">
        <v>0</v>
      </c>
      <c r="AU166" s="15">
        <v>875.80619961851937</v>
      </c>
      <c r="AV166" s="15">
        <v>580.69099147499992</v>
      </c>
      <c r="AW166" s="15">
        <v>580.69099147499992</v>
      </c>
      <c r="AX166" s="15">
        <v>0</v>
      </c>
      <c r="AY166" s="15">
        <v>0</v>
      </c>
      <c r="AZ166" s="15">
        <v>25.166621537568975</v>
      </c>
      <c r="BA166" s="15">
        <v>0</v>
      </c>
      <c r="BB166" s="15">
        <v>10.486092307320407</v>
      </c>
      <c r="BC166" s="15">
        <v>14.680529230248569</v>
      </c>
      <c r="BD166" s="15">
        <v>0</v>
      </c>
      <c r="BE166" s="15">
        <v>269.94858660595048</v>
      </c>
      <c r="BF166" s="15">
        <v>94.718802317877362</v>
      </c>
      <c r="BG166" s="15">
        <v>0</v>
      </c>
      <c r="BH166" s="15">
        <v>175.22978428807309</v>
      </c>
      <c r="BI166" s="15">
        <v>0</v>
      </c>
      <c r="BJ166" s="15">
        <v>875.80619961851937</v>
      </c>
      <c r="BK166" s="15">
        <v>977.2656036632826</v>
      </c>
      <c r="BL166" s="15">
        <v>15976.730774934345</v>
      </c>
      <c r="BM166" s="15">
        <v>0.6566208779447833</v>
      </c>
    </row>
    <row r="167" spans="1:65" x14ac:dyDescent="0.4">
      <c r="A167" s="15" t="s">
        <v>10702</v>
      </c>
      <c r="B167" s="15" t="s">
        <v>10437</v>
      </c>
      <c r="C167" s="15" t="s">
        <v>10619</v>
      </c>
      <c r="D167" s="15" t="s">
        <v>10306</v>
      </c>
      <c r="E167" s="15" t="s">
        <v>10851</v>
      </c>
      <c r="F167" s="15">
        <v>772545</v>
      </c>
      <c r="G167" s="15">
        <v>0.89712457766125608</v>
      </c>
      <c r="H167" s="15">
        <v>200</v>
      </c>
      <c r="I167" s="119">
        <v>1792.9182826546335</v>
      </c>
      <c r="J167" s="120">
        <v>0.68849134381353916</v>
      </c>
      <c r="K167" s="15">
        <v>30</v>
      </c>
      <c r="L167" s="15">
        <v>412.92306758330722</v>
      </c>
      <c r="M167" s="15">
        <v>136.92895021011435</v>
      </c>
      <c r="N167" s="15">
        <v>3233803.6957437308</v>
      </c>
      <c r="O167" s="15">
        <v>741228.22961065988</v>
      </c>
      <c r="P167" s="15">
        <v>1089145.0847264887</v>
      </c>
      <c r="Q167" s="15">
        <v>1403430.3814065827</v>
      </c>
      <c r="R167" s="15">
        <v>257895.84473556257</v>
      </c>
      <c r="S167" s="15">
        <v>0</v>
      </c>
      <c r="T167" s="15">
        <v>1145534.5366710201</v>
      </c>
      <c r="U167" s="15">
        <v>0</v>
      </c>
      <c r="V167" s="15">
        <v>0</v>
      </c>
      <c r="W167" s="15">
        <v>0</v>
      </c>
      <c r="X167" s="15">
        <v>0</v>
      </c>
      <c r="Y167" s="15">
        <v>1894.3778519561399</v>
      </c>
      <c r="Z167" s="15">
        <v>0</v>
      </c>
      <c r="AA167" s="15">
        <v>1035.6300000000001</v>
      </c>
      <c r="AB167" s="15">
        <v>858.67100000000005</v>
      </c>
      <c r="AC167" s="15">
        <v>7.6851956139875138E-2</v>
      </c>
      <c r="AD167" s="15">
        <v>101.45956930150646</v>
      </c>
      <c r="AE167" s="15">
        <v>-1.1994484935361172E-3</v>
      </c>
      <c r="AF167" s="15">
        <v>0</v>
      </c>
      <c r="AG167" s="15">
        <v>0</v>
      </c>
      <c r="AH167" s="15">
        <v>0</v>
      </c>
      <c r="AI167" s="15">
        <v>101.46076874999999</v>
      </c>
      <c r="AJ167" s="15">
        <v>0</v>
      </c>
      <c r="AK167" s="15">
        <v>0</v>
      </c>
      <c r="AL167" s="15">
        <v>0</v>
      </c>
      <c r="AM167" s="15">
        <v>0</v>
      </c>
      <c r="AN167" s="15">
        <v>1320.1950138633297</v>
      </c>
      <c r="AO167" s="15">
        <v>1792.9182826546335</v>
      </c>
      <c r="AP167" s="15">
        <v>0</v>
      </c>
      <c r="AQ167" s="15">
        <v>0</v>
      </c>
      <c r="AR167" s="15">
        <v>0</v>
      </c>
      <c r="AS167" s="15">
        <v>0</v>
      </c>
      <c r="AT167" s="15">
        <v>0</v>
      </c>
      <c r="AU167" s="15">
        <v>932.94914847124505</v>
      </c>
      <c r="AV167" s="15">
        <v>635.79060719999995</v>
      </c>
      <c r="AW167" s="15">
        <v>635.79060719999995</v>
      </c>
      <c r="AX167" s="15">
        <v>0</v>
      </c>
      <c r="AY167" s="15">
        <v>0</v>
      </c>
      <c r="AZ167" s="15">
        <v>27.209526446084816</v>
      </c>
      <c r="BA167" s="15">
        <v>0</v>
      </c>
      <c r="BB167" s="15">
        <v>11.337302685868673</v>
      </c>
      <c r="BC167" s="15">
        <v>15.872223760216141</v>
      </c>
      <c r="BD167" s="15">
        <v>0</v>
      </c>
      <c r="BE167" s="15">
        <v>269.94901482516025</v>
      </c>
      <c r="BF167" s="15">
        <v>94.718952570231679</v>
      </c>
      <c r="BG167" s="15">
        <v>0</v>
      </c>
      <c r="BH167" s="15">
        <v>175.23006225492858</v>
      </c>
      <c r="BI167" s="15">
        <v>0</v>
      </c>
      <c r="BJ167" s="15">
        <v>932.94914847124505</v>
      </c>
      <c r="BK167" s="15">
        <v>1034.4087177727515</v>
      </c>
      <c r="BL167" s="15">
        <v>16061.163928866745</v>
      </c>
      <c r="BM167" s="15">
        <v>0.68849134381353916</v>
      </c>
    </row>
    <row r="168" spans="1:65" x14ac:dyDescent="0.4">
      <c r="A168" s="15" t="s">
        <v>10702</v>
      </c>
      <c r="B168" s="15" t="s">
        <v>10437</v>
      </c>
      <c r="C168" s="15" t="s">
        <v>10619</v>
      </c>
      <c r="D168" s="15" t="s">
        <v>10307</v>
      </c>
      <c r="E168" s="15" t="s">
        <v>10852</v>
      </c>
      <c r="F168" s="15">
        <v>772545</v>
      </c>
      <c r="G168" s="15">
        <v>0.89712457766125608</v>
      </c>
      <c r="H168" s="15">
        <v>200</v>
      </c>
      <c r="I168" s="119">
        <v>1517.2215716831274</v>
      </c>
      <c r="J168" s="120">
        <v>1.1064986245374993</v>
      </c>
      <c r="K168" s="15">
        <v>30</v>
      </c>
      <c r="L168" s="15">
        <v>995.82421565206118</v>
      </c>
      <c r="M168" s="15">
        <v>144.56257649661197</v>
      </c>
      <c r="N168" s="15">
        <v>3233803.6957437308</v>
      </c>
      <c r="O168" s="15">
        <v>2363262.9445114313</v>
      </c>
      <c r="P168" s="15">
        <v>595181.57020163361</v>
      </c>
      <c r="Q168" s="15">
        <v>275359.18103066558</v>
      </c>
      <c r="R168" s="15">
        <v>275359.18103066558</v>
      </c>
      <c r="S168" s="15">
        <v>0</v>
      </c>
      <c r="T168" s="15">
        <v>0</v>
      </c>
      <c r="U168" s="15">
        <v>2107646003.8253543</v>
      </c>
      <c r="V168" s="15">
        <v>0</v>
      </c>
      <c r="W168" s="15">
        <v>0</v>
      </c>
      <c r="X168" s="15">
        <v>0</v>
      </c>
      <c r="Y168" s="15">
        <v>1894.3973816599123</v>
      </c>
      <c r="Z168" s="15">
        <v>0</v>
      </c>
      <c r="AA168" s="15">
        <v>1035.6300000000001</v>
      </c>
      <c r="AB168" s="15">
        <v>858.67100000000005</v>
      </c>
      <c r="AC168" s="15">
        <v>9.6381659912147727E-2</v>
      </c>
      <c r="AD168" s="15">
        <v>377.17580997678488</v>
      </c>
      <c r="AE168" s="15">
        <v>4.4679894356610458E-3</v>
      </c>
      <c r="AF168" s="15">
        <v>0</v>
      </c>
      <c r="AG168" s="15">
        <v>0</v>
      </c>
      <c r="AH168" s="15">
        <v>4.8811274419507267E-3</v>
      </c>
      <c r="AI168" s="15">
        <v>123.00035822944253</v>
      </c>
      <c r="AJ168" s="15">
        <v>254.16610263046476</v>
      </c>
      <c r="AK168" s="15">
        <v>0</v>
      </c>
      <c r="AL168" s="15">
        <v>0</v>
      </c>
      <c r="AM168" s="15">
        <v>0</v>
      </c>
      <c r="AN168" s="15">
        <v>3913.356652298603</v>
      </c>
      <c r="AO168" s="15">
        <v>1517.2215716831274</v>
      </c>
      <c r="AP168" s="15">
        <v>9.3491168776117725E-3</v>
      </c>
      <c r="AQ168" s="15">
        <v>4.4679894356610458E-3</v>
      </c>
      <c r="AR168" s="15">
        <v>0</v>
      </c>
      <c r="AS168" s="15">
        <v>0</v>
      </c>
      <c r="AT168" s="15">
        <v>4.8811274419507267E-3</v>
      </c>
      <c r="AU168" s="15">
        <v>1101.6184230923409</v>
      </c>
      <c r="AV168" s="15">
        <v>782.22760245000006</v>
      </c>
      <c r="AW168" s="15">
        <v>782.22760245000006</v>
      </c>
      <c r="AX168" s="15">
        <v>0</v>
      </c>
      <c r="AY168" s="15">
        <v>0</v>
      </c>
      <c r="AZ168" s="15">
        <v>49.440526004958436</v>
      </c>
      <c r="BA168" s="15">
        <v>0</v>
      </c>
      <c r="BB168" s="15">
        <v>20.600219168732682</v>
      </c>
      <c r="BC168" s="15">
        <v>28.840306836225754</v>
      </c>
      <c r="BD168" s="15">
        <v>0</v>
      </c>
      <c r="BE168" s="15">
        <v>269.9502946373824</v>
      </c>
      <c r="BF168" s="15">
        <v>94.71940162715174</v>
      </c>
      <c r="BG168" s="15">
        <v>0</v>
      </c>
      <c r="BH168" s="15">
        <v>175.23089301023069</v>
      </c>
      <c r="BI168" s="15">
        <v>0</v>
      </c>
      <c r="BJ168" s="15">
        <v>1101.6277722092184</v>
      </c>
      <c r="BK168" s="15">
        <v>1478.8035821860033</v>
      </c>
      <c r="BL168" s="15">
        <v>17417.288746180959</v>
      </c>
      <c r="BM168" s="15">
        <v>1.1064986245374993</v>
      </c>
    </row>
    <row r="169" spans="1:65" x14ac:dyDescent="0.4">
      <c r="A169" s="15" t="s">
        <v>10702</v>
      </c>
      <c r="B169" s="15" t="s">
        <v>10437</v>
      </c>
      <c r="C169" s="15" t="s">
        <v>10619</v>
      </c>
      <c r="D169" s="15" t="s">
        <v>10308</v>
      </c>
      <c r="E169" s="15" t="s">
        <v>10853</v>
      </c>
      <c r="F169" s="15">
        <v>772545</v>
      </c>
      <c r="G169" s="15">
        <v>0.89712457766125608</v>
      </c>
      <c r="H169" s="15">
        <v>200</v>
      </c>
      <c r="I169" s="119">
        <v>1517.2215716831274</v>
      </c>
      <c r="J169" s="120">
        <v>1.1064986245374993</v>
      </c>
      <c r="K169" s="15">
        <v>30</v>
      </c>
      <c r="L169" s="15">
        <v>995.82421565206118</v>
      </c>
      <c r="M169" s="15">
        <v>144.56257649661197</v>
      </c>
      <c r="N169" s="15">
        <v>3233803.6957437308</v>
      </c>
      <c r="O169" s="15">
        <v>2363262.9445114313</v>
      </c>
      <c r="P169" s="15">
        <v>595181.57020163361</v>
      </c>
      <c r="Q169" s="15">
        <v>275359.18103066558</v>
      </c>
      <c r="R169" s="15">
        <v>275359.18103066558</v>
      </c>
      <c r="S169" s="15">
        <v>0</v>
      </c>
      <c r="T169" s="15">
        <v>0</v>
      </c>
      <c r="U169" s="15">
        <v>2107646003.8253543</v>
      </c>
      <c r="V169" s="15">
        <v>0</v>
      </c>
      <c r="W169" s="15">
        <v>0</v>
      </c>
      <c r="X169" s="15">
        <v>0</v>
      </c>
      <c r="Y169" s="15">
        <v>1894.3973816599123</v>
      </c>
      <c r="Z169" s="15">
        <v>0</v>
      </c>
      <c r="AA169" s="15">
        <v>1035.6300000000001</v>
      </c>
      <c r="AB169" s="15">
        <v>858.67100000000005</v>
      </c>
      <c r="AC169" s="15">
        <v>9.6381659912147727E-2</v>
      </c>
      <c r="AD169" s="15">
        <v>377.17580997678488</v>
      </c>
      <c r="AE169" s="15">
        <v>4.4679894356610458E-3</v>
      </c>
      <c r="AF169" s="15">
        <v>0</v>
      </c>
      <c r="AG169" s="15">
        <v>0</v>
      </c>
      <c r="AH169" s="15">
        <v>4.8811274419507267E-3</v>
      </c>
      <c r="AI169" s="15">
        <v>123.00035822944253</v>
      </c>
      <c r="AJ169" s="15">
        <v>254.16610263046476</v>
      </c>
      <c r="AK169" s="15">
        <v>0</v>
      </c>
      <c r="AL169" s="15">
        <v>0</v>
      </c>
      <c r="AM169" s="15">
        <v>0</v>
      </c>
      <c r="AN169" s="15">
        <v>3913.356652298603</v>
      </c>
      <c r="AO169" s="15">
        <v>1517.2215716831274</v>
      </c>
      <c r="AP169" s="15">
        <v>9.3491168776117725E-3</v>
      </c>
      <c r="AQ169" s="15">
        <v>4.4679894356610458E-3</v>
      </c>
      <c r="AR169" s="15">
        <v>0</v>
      </c>
      <c r="AS169" s="15">
        <v>0</v>
      </c>
      <c r="AT169" s="15">
        <v>4.8811274419507267E-3</v>
      </c>
      <c r="AU169" s="15">
        <v>1101.6184230923409</v>
      </c>
      <c r="AV169" s="15">
        <v>782.22760245000006</v>
      </c>
      <c r="AW169" s="15">
        <v>782.22760245000006</v>
      </c>
      <c r="AX169" s="15">
        <v>0</v>
      </c>
      <c r="AY169" s="15">
        <v>0</v>
      </c>
      <c r="AZ169" s="15">
        <v>49.440526004958436</v>
      </c>
      <c r="BA169" s="15">
        <v>0</v>
      </c>
      <c r="BB169" s="15">
        <v>20.600219168732682</v>
      </c>
      <c r="BC169" s="15">
        <v>28.840306836225754</v>
      </c>
      <c r="BD169" s="15">
        <v>0</v>
      </c>
      <c r="BE169" s="15">
        <v>269.9502946373824</v>
      </c>
      <c r="BF169" s="15">
        <v>94.71940162715174</v>
      </c>
      <c r="BG169" s="15">
        <v>0</v>
      </c>
      <c r="BH169" s="15">
        <v>175.23089301023069</v>
      </c>
      <c r="BI169" s="15">
        <v>0</v>
      </c>
      <c r="BJ169" s="15">
        <v>1101.6277722092184</v>
      </c>
      <c r="BK169" s="15">
        <v>1478.8035821860033</v>
      </c>
      <c r="BL169" s="15">
        <v>17417.288746180959</v>
      </c>
      <c r="BM169" s="15">
        <v>1.1064986245374993</v>
      </c>
    </row>
    <row r="170" spans="1:65" s="56" customFormat="1" x14ac:dyDescent="0.4">
      <c r="A170" s="55" t="s">
        <v>10702</v>
      </c>
      <c r="B170" s="55" t="s">
        <v>10437</v>
      </c>
      <c r="C170" s="55" t="s">
        <v>10803</v>
      </c>
      <c r="D170" s="55" t="s">
        <v>10307</v>
      </c>
      <c r="E170" s="55" t="s">
        <v>10854</v>
      </c>
      <c r="F170" s="55">
        <v>772545</v>
      </c>
      <c r="G170" s="55">
        <v>0.89712457766125608</v>
      </c>
      <c r="H170" s="55">
        <v>200</v>
      </c>
      <c r="I170" s="55">
        <v>1517.2215716831274</v>
      </c>
      <c r="J170" s="92">
        <v>1.1064986245374993</v>
      </c>
      <c r="K170" s="55">
        <v>30</v>
      </c>
      <c r="L170" s="55">
        <v>995.82421565206118</v>
      </c>
      <c r="M170" s="55">
        <v>144.56257649661197</v>
      </c>
      <c r="N170" s="55">
        <v>3233803.6957437308</v>
      </c>
      <c r="O170" s="55">
        <v>2363262.9445114313</v>
      </c>
      <c r="P170" s="55">
        <v>595181.57020163361</v>
      </c>
      <c r="Q170" s="55">
        <v>275359.18103066558</v>
      </c>
      <c r="R170" s="55">
        <v>275359.18103066558</v>
      </c>
      <c r="S170" s="55">
        <v>0</v>
      </c>
      <c r="T170" s="55">
        <v>0</v>
      </c>
      <c r="U170" s="55">
        <v>2107646003.8253543</v>
      </c>
      <c r="V170" s="55">
        <v>0</v>
      </c>
      <c r="W170" s="55">
        <v>0</v>
      </c>
      <c r="X170" s="55">
        <v>0</v>
      </c>
      <c r="Y170" s="55">
        <v>1894.3973816599123</v>
      </c>
      <c r="Z170" s="55">
        <v>0</v>
      </c>
      <c r="AA170" s="55">
        <v>1035.6300000000001</v>
      </c>
      <c r="AB170" s="55">
        <v>858.67100000000005</v>
      </c>
      <c r="AC170" s="55">
        <v>9.6381659912147727E-2</v>
      </c>
      <c r="AD170" s="55">
        <v>377.17580997678488</v>
      </c>
      <c r="AE170" s="55">
        <v>4.4679894356610458E-3</v>
      </c>
      <c r="AF170" s="55">
        <v>0</v>
      </c>
      <c r="AG170" s="55">
        <v>0</v>
      </c>
      <c r="AH170" s="55">
        <v>4.8811274419507267E-3</v>
      </c>
      <c r="AI170" s="55">
        <v>123.00035822944253</v>
      </c>
      <c r="AJ170" s="55">
        <v>254.16610263046476</v>
      </c>
      <c r="AK170" s="55">
        <v>0</v>
      </c>
      <c r="AL170" s="55">
        <v>0</v>
      </c>
      <c r="AM170" s="55">
        <v>0</v>
      </c>
      <c r="AN170" s="55">
        <v>3913.356652298603</v>
      </c>
      <c r="AO170" s="55">
        <v>1517.2215716831274</v>
      </c>
      <c r="AP170" s="55">
        <v>9.3491168776117725E-3</v>
      </c>
      <c r="AQ170" s="55">
        <v>4.4679894356610458E-3</v>
      </c>
      <c r="AR170" s="55">
        <v>0</v>
      </c>
      <c r="AS170" s="55">
        <v>0</v>
      </c>
      <c r="AT170" s="55">
        <v>4.8811274419507267E-3</v>
      </c>
      <c r="AU170" s="55">
        <v>1101.6184230923409</v>
      </c>
      <c r="AV170" s="55">
        <v>782.22760245000006</v>
      </c>
      <c r="AW170" s="55">
        <v>782.22760245000006</v>
      </c>
      <c r="AX170" s="55">
        <v>0</v>
      </c>
      <c r="AY170" s="55">
        <v>0</v>
      </c>
      <c r="AZ170" s="55">
        <v>49.440526004958436</v>
      </c>
      <c r="BA170" s="55">
        <v>0</v>
      </c>
      <c r="BB170" s="55">
        <v>20.600219168732682</v>
      </c>
      <c r="BC170" s="55">
        <v>28.840306836225754</v>
      </c>
      <c r="BD170" s="55">
        <v>0</v>
      </c>
      <c r="BE170" s="55">
        <v>269.9502946373824</v>
      </c>
      <c r="BF170" s="55">
        <v>94.71940162715174</v>
      </c>
      <c r="BG170" s="55">
        <v>0</v>
      </c>
      <c r="BH170" s="55">
        <v>175.23089301023069</v>
      </c>
      <c r="BI170" s="55">
        <v>0</v>
      </c>
      <c r="BJ170" s="55">
        <v>1101.6277722092184</v>
      </c>
      <c r="BK170" s="55">
        <v>1478.8035821860033</v>
      </c>
      <c r="BL170" s="55">
        <v>17417.288746180959</v>
      </c>
      <c r="BM170" s="55">
        <v>1.1064986245374993</v>
      </c>
    </row>
    <row r="171" spans="1:65" x14ac:dyDescent="0.4">
      <c r="A171" s="15" t="s">
        <v>10702</v>
      </c>
      <c r="B171" s="15" t="s">
        <v>10437</v>
      </c>
      <c r="C171" s="15" t="s">
        <v>10621</v>
      </c>
      <c r="D171" s="15" t="s">
        <v>10302</v>
      </c>
      <c r="E171" s="15" t="s">
        <v>10855</v>
      </c>
      <c r="F171" s="15">
        <v>580870</v>
      </c>
      <c r="G171" s="15">
        <v>0.89712441257810971</v>
      </c>
      <c r="H171" s="15">
        <v>200</v>
      </c>
      <c r="I171" s="119">
        <v>1771.69923164221</v>
      </c>
      <c r="J171" s="120">
        <v>1.0658295539376059</v>
      </c>
      <c r="K171" s="15">
        <v>30</v>
      </c>
      <c r="L171" s="15">
        <v>286.88930718515513</v>
      </c>
      <c r="M171" s="15">
        <v>184.77871595654935</v>
      </c>
      <c r="N171" s="15">
        <v>2431468.9850971363</v>
      </c>
      <c r="O171" s="15">
        <v>454343.07882075821</v>
      </c>
      <c r="P171" s="15">
        <v>918830.85411458835</v>
      </c>
      <c r="Q171" s="15">
        <v>1058295.0521617897</v>
      </c>
      <c r="R171" s="15">
        <v>193909.6515614966</v>
      </c>
      <c r="S171" s="15">
        <v>406333.11584276904</v>
      </c>
      <c r="T171" s="15">
        <v>458052.28475752409</v>
      </c>
      <c r="U171" s="15">
        <v>0</v>
      </c>
      <c r="V171" s="15">
        <v>295266895.08666182</v>
      </c>
      <c r="W171" s="15">
        <v>0</v>
      </c>
      <c r="X171" s="15">
        <v>0</v>
      </c>
      <c r="Y171" s="15">
        <v>1917.5637286678941</v>
      </c>
      <c r="Z171" s="15">
        <v>0</v>
      </c>
      <c r="AA171" s="15">
        <v>50.872999999999998</v>
      </c>
      <c r="AB171" s="15">
        <v>1866.5609999999999</v>
      </c>
      <c r="AC171" s="15">
        <v>0.12972866789410636</v>
      </c>
      <c r="AD171" s="15">
        <v>145.86449702568416</v>
      </c>
      <c r="AE171" s="15">
        <v>1.4296815683635365E-3</v>
      </c>
      <c r="AF171" s="15">
        <v>0</v>
      </c>
      <c r="AG171" s="15">
        <v>0</v>
      </c>
      <c r="AH171" s="15">
        <v>4.1981011908164808E-3</v>
      </c>
      <c r="AI171" s="15">
        <v>101.46076875000001</v>
      </c>
      <c r="AJ171" s="15">
        <v>44.398100492924776</v>
      </c>
      <c r="AK171" s="15">
        <v>0</v>
      </c>
      <c r="AL171" s="15">
        <v>0</v>
      </c>
      <c r="AM171" s="15">
        <v>0</v>
      </c>
      <c r="AN171" s="15">
        <v>1124.3813676152829</v>
      </c>
      <c r="AO171" s="15">
        <v>1771.69923164221</v>
      </c>
      <c r="AP171" s="15">
        <v>5.627782759180017E-3</v>
      </c>
      <c r="AQ171" s="15">
        <v>1.4296815683635365E-3</v>
      </c>
      <c r="AR171" s="15">
        <v>0</v>
      </c>
      <c r="AS171" s="15">
        <v>0</v>
      </c>
      <c r="AT171" s="15">
        <v>4.1981011908164808E-3</v>
      </c>
      <c r="AU171" s="15">
        <v>1542.4592769643725</v>
      </c>
      <c r="AV171" s="15">
        <v>1223.4148055087499</v>
      </c>
      <c r="AW171" s="15">
        <v>1223.4148055087499</v>
      </c>
      <c r="AX171" s="15">
        <v>0</v>
      </c>
      <c r="AY171" s="15">
        <v>0</v>
      </c>
      <c r="AZ171" s="15">
        <v>45.792442079490939</v>
      </c>
      <c r="BA171" s="15">
        <v>0</v>
      </c>
      <c r="BB171" s="15">
        <v>19.080184199787894</v>
      </c>
      <c r="BC171" s="15">
        <v>26.712257879703049</v>
      </c>
      <c r="BD171" s="15">
        <v>0</v>
      </c>
      <c r="BE171" s="15">
        <v>273.2520293761317</v>
      </c>
      <c r="BF171" s="15">
        <v>95.87790504425675</v>
      </c>
      <c r="BG171" s="15">
        <v>0</v>
      </c>
      <c r="BH171" s="15">
        <v>177.37412433187495</v>
      </c>
      <c r="BI171" s="15">
        <v>0</v>
      </c>
      <c r="BJ171" s="15">
        <v>1542.4649047471316</v>
      </c>
      <c r="BK171" s="15">
        <v>1688.3294017728158</v>
      </c>
      <c r="BL171" s="15">
        <v>14554.991612541668</v>
      </c>
      <c r="BM171" s="15">
        <v>1.0658295539376059</v>
      </c>
    </row>
    <row r="172" spans="1:65" s="56" customFormat="1" x14ac:dyDescent="0.4">
      <c r="A172" s="15" t="s">
        <v>10702</v>
      </c>
      <c r="B172" s="15" t="s">
        <v>10437</v>
      </c>
      <c r="C172" s="15" t="s">
        <v>10621</v>
      </c>
      <c r="D172" s="15" t="s">
        <v>10303</v>
      </c>
      <c r="E172" s="15" t="s">
        <v>10856</v>
      </c>
      <c r="F172" s="15">
        <v>580870</v>
      </c>
      <c r="G172" s="15">
        <v>0.89712441257810971</v>
      </c>
      <c r="H172" s="15">
        <v>200</v>
      </c>
      <c r="I172" s="119">
        <v>1816.1014722313216</v>
      </c>
      <c r="J172" s="120">
        <v>1.0153190682223827</v>
      </c>
      <c r="K172" s="15">
        <v>30</v>
      </c>
      <c r="L172" s="15">
        <v>286.88930718515513</v>
      </c>
      <c r="M172" s="15">
        <v>184.77871595654935</v>
      </c>
      <c r="N172" s="15">
        <v>2431468.9850971363</v>
      </c>
      <c r="O172" s="15">
        <v>454343.07882075821</v>
      </c>
      <c r="P172" s="15">
        <v>918830.85411458835</v>
      </c>
      <c r="Q172" s="15">
        <v>1058295.0521617897</v>
      </c>
      <c r="R172" s="15">
        <v>193909.6515614966</v>
      </c>
      <c r="S172" s="15">
        <v>406333.11584276904</v>
      </c>
      <c r="T172" s="15">
        <v>458052.28475752409</v>
      </c>
      <c r="U172" s="15">
        <v>0</v>
      </c>
      <c r="V172" s="15">
        <v>0</v>
      </c>
      <c r="W172" s="15">
        <v>73816723.771665454</v>
      </c>
      <c r="X172" s="15">
        <v>0</v>
      </c>
      <c r="Y172" s="15">
        <v>1917.5637286678941</v>
      </c>
      <c r="Z172" s="15">
        <v>0</v>
      </c>
      <c r="AA172" s="15">
        <v>50.872999999999998</v>
      </c>
      <c r="AB172" s="15">
        <v>1866.5609999999999</v>
      </c>
      <c r="AC172" s="15">
        <v>0.12972866789410636</v>
      </c>
      <c r="AD172" s="15">
        <v>101.46225643657249</v>
      </c>
      <c r="AE172" s="15">
        <v>-1.624556679324531E-3</v>
      </c>
      <c r="AF172" s="15">
        <v>2.4941898292796651E-4</v>
      </c>
      <c r="AG172" s="15">
        <v>5.384835582990039E-4</v>
      </c>
      <c r="AH172" s="15">
        <v>0</v>
      </c>
      <c r="AI172" s="15">
        <v>101.46076875000001</v>
      </c>
      <c r="AJ172" s="15">
        <v>0</v>
      </c>
      <c r="AK172" s="15">
        <v>2.3243407107048069E-3</v>
      </c>
      <c r="AL172" s="15">
        <v>0</v>
      </c>
      <c r="AM172" s="15">
        <v>0</v>
      </c>
      <c r="AN172" s="15">
        <v>782.11129493284477</v>
      </c>
      <c r="AO172" s="15">
        <v>1816.1014722313216</v>
      </c>
      <c r="AP172" s="15">
        <v>0</v>
      </c>
      <c r="AQ172" s="15">
        <v>0</v>
      </c>
      <c r="AR172" s="15">
        <v>0</v>
      </c>
      <c r="AS172" s="15">
        <v>0</v>
      </c>
      <c r="AT172" s="15">
        <v>0</v>
      </c>
      <c r="AU172" s="15">
        <v>1542.4601981466303</v>
      </c>
      <c r="AV172" s="15">
        <v>1223.4148055087499</v>
      </c>
      <c r="AW172" s="15">
        <v>1223.4148055087499</v>
      </c>
      <c r="AX172" s="15">
        <v>0</v>
      </c>
      <c r="AY172" s="15">
        <v>0</v>
      </c>
      <c r="AZ172" s="15">
        <v>45.792442079490939</v>
      </c>
      <c r="BA172" s="15">
        <v>0</v>
      </c>
      <c r="BB172" s="15">
        <v>19.080184199787894</v>
      </c>
      <c r="BC172" s="15">
        <v>26.712257879703049</v>
      </c>
      <c r="BD172" s="15">
        <v>0</v>
      </c>
      <c r="BE172" s="15">
        <v>273.25295055838961</v>
      </c>
      <c r="BF172" s="15">
        <v>95.87822826610163</v>
      </c>
      <c r="BG172" s="15">
        <v>0</v>
      </c>
      <c r="BH172" s="15">
        <v>177.374722292288</v>
      </c>
      <c r="BI172" s="15">
        <v>0</v>
      </c>
      <c r="BJ172" s="15">
        <v>1542.4601981466303</v>
      </c>
      <c r="BK172" s="55">
        <v>1643.9224545832028</v>
      </c>
      <c r="BL172" s="55">
        <v>14212.685259516744</v>
      </c>
      <c r="BM172" s="55">
        <v>1.0153190682223827</v>
      </c>
    </row>
    <row r="173" spans="1:65" s="56" customFormat="1" x14ac:dyDescent="0.4">
      <c r="A173" s="15" t="s">
        <v>10702</v>
      </c>
      <c r="B173" s="15" t="s">
        <v>10437</v>
      </c>
      <c r="C173" s="15" t="s">
        <v>10621</v>
      </c>
      <c r="D173" s="15" t="s">
        <v>10304</v>
      </c>
      <c r="E173" s="15" t="s">
        <v>10857</v>
      </c>
      <c r="F173" s="15">
        <v>580870</v>
      </c>
      <c r="G173" s="15">
        <v>0.89712441257810971</v>
      </c>
      <c r="H173" s="15">
        <v>200</v>
      </c>
      <c r="I173" s="119">
        <v>1816.102260133863</v>
      </c>
      <c r="J173" s="120">
        <v>1.0153182557136735</v>
      </c>
      <c r="K173" s="15">
        <v>30</v>
      </c>
      <c r="L173" s="15">
        <v>286.88930718515513</v>
      </c>
      <c r="M173" s="15">
        <v>184.77871595654935</v>
      </c>
      <c r="N173" s="15">
        <v>2431468.9850971363</v>
      </c>
      <c r="O173" s="15">
        <v>454343.07882075821</v>
      </c>
      <c r="P173" s="15">
        <v>918830.85411458835</v>
      </c>
      <c r="Q173" s="15">
        <v>1058295.0521617897</v>
      </c>
      <c r="R173" s="15">
        <v>193909.6515614966</v>
      </c>
      <c r="S173" s="15">
        <v>406333.11584276904</v>
      </c>
      <c r="T173" s="15">
        <v>458052.28475752409</v>
      </c>
      <c r="U173" s="15">
        <v>0</v>
      </c>
      <c r="V173" s="15">
        <v>0</v>
      </c>
      <c r="W173" s="15">
        <v>0</v>
      </c>
      <c r="X173" s="15">
        <v>73816723771.665451</v>
      </c>
      <c r="Y173" s="15">
        <v>1917.5637286678941</v>
      </c>
      <c r="Z173" s="15">
        <v>0</v>
      </c>
      <c r="AA173" s="15">
        <v>50.872999999999998</v>
      </c>
      <c r="AB173" s="15">
        <v>1866.5609999999999</v>
      </c>
      <c r="AC173" s="15">
        <v>0.12972866789410636</v>
      </c>
      <c r="AD173" s="15">
        <v>101.46146853403116</v>
      </c>
      <c r="AE173" s="15">
        <v>-1.624556679324531E-3</v>
      </c>
      <c r="AF173" s="15">
        <v>0</v>
      </c>
      <c r="AG173" s="15">
        <v>0</v>
      </c>
      <c r="AH173" s="15">
        <v>0</v>
      </c>
      <c r="AI173" s="15">
        <v>101.46076875000001</v>
      </c>
      <c r="AJ173" s="15">
        <v>0</v>
      </c>
      <c r="AK173" s="15">
        <v>2.3243407107048069E-3</v>
      </c>
      <c r="AL173" s="15">
        <v>0</v>
      </c>
      <c r="AM173" s="15">
        <v>0</v>
      </c>
      <c r="AN173" s="15">
        <v>782.10522146771075</v>
      </c>
      <c r="AO173" s="15">
        <v>1816.102260133863</v>
      </c>
      <c r="AP173" s="15">
        <v>0</v>
      </c>
      <c r="AQ173" s="15">
        <v>0</v>
      </c>
      <c r="AR173" s="15">
        <v>0</v>
      </c>
      <c r="AS173" s="15">
        <v>0</v>
      </c>
      <c r="AT173" s="15">
        <v>0</v>
      </c>
      <c r="AU173" s="15">
        <v>1542.4603104227426</v>
      </c>
      <c r="AV173" s="15">
        <v>1223.4148055087499</v>
      </c>
      <c r="AW173" s="15">
        <v>1223.4148055087499</v>
      </c>
      <c r="AX173" s="15">
        <v>0</v>
      </c>
      <c r="AY173" s="15">
        <v>0</v>
      </c>
      <c r="AZ173" s="15">
        <v>45.792442079490939</v>
      </c>
      <c r="BA173" s="15">
        <v>0</v>
      </c>
      <c r="BB173" s="15">
        <v>19.080184199787894</v>
      </c>
      <c r="BC173" s="15">
        <v>26.712257879703049</v>
      </c>
      <c r="BD173" s="15">
        <v>0</v>
      </c>
      <c r="BE173" s="15">
        <v>273.25306283450175</v>
      </c>
      <c r="BF173" s="15">
        <v>95.878267661228691</v>
      </c>
      <c r="BG173" s="15">
        <v>0</v>
      </c>
      <c r="BH173" s="15">
        <v>177.37479517327307</v>
      </c>
      <c r="BI173" s="15">
        <v>0</v>
      </c>
      <c r="BJ173" s="15">
        <v>1542.4603104227426</v>
      </c>
      <c r="BK173" s="55">
        <v>1643.9217789567738</v>
      </c>
      <c r="BL173" s="55">
        <v>14212.680051520394</v>
      </c>
      <c r="BM173" s="55">
        <v>1.0153182557136735</v>
      </c>
    </row>
    <row r="174" spans="1:65" x14ac:dyDescent="0.4">
      <c r="A174" s="15" t="s">
        <v>10702</v>
      </c>
      <c r="B174" s="15" t="s">
        <v>10437</v>
      </c>
      <c r="C174" s="15" t="s">
        <v>10621</v>
      </c>
      <c r="D174" s="15" t="s">
        <v>10305</v>
      </c>
      <c r="E174" s="15" t="s">
        <v>10858</v>
      </c>
      <c r="F174" s="15">
        <v>580870</v>
      </c>
      <c r="G174" s="15">
        <v>0.89712441257810971</v>
      </c>
      <c r="H174" s="15">
        <v>200</v>
      </c>
      <c r="I174" s="119">
        <v>1816.1000818136608</v>
      </c>
      <c r="J174" s="120">
        <v>0.98954501297662723</v>
      </c>
      <c r="K174" s="15">
        <v>30</v>
      </c>
      <c r="L174" s="15">
        <v>188.44425828769261</v>
      </c>
      <c r="M174" s="15">
        <v>182.97617438628353</v>
      </c>
      <c r="N174" s="15">
        <v>2431468.9850971363</v>
      </c>
      <c r="O174" s="15">
        <v>342800.65486391977</v>
      </c>
      <c r="P174" s="15">
        <v>958667.43409917352</v>
      </c>
      <c r="Q174" s="15">
        <v>1130000.8961340431</v>
      </c>
      <c r="R174" s="15">
        <v>193909.6515614966</v>
      </c>
      <c r="S174" s="15">
        <v>478038.95981502254</v>
      </c>
      <c r="T174" s="15">
        <v>458052.28475752409</v>
      </c>
      <c r="U174" s="15">
        <v>0</v>
      </c>
      <c r="V174" s="15">
        <v>0</v>
      </c>
      <c r="W174" s="15">
        <v>0</v>
      </c>
      <c r="X174" s="15">
        <v>0</v>
      </c>
      <c r="Y174" s="15">
        <v>1917.5594858584243</v>
      </c>
      <c r="Z174" s="15">
        <v>0</v>
      </c>
      <c r="AA174" s="15">
        <v>50.872999999999998</v>
      </c>
      <c r="AB174" s="15">
        <v>1866.5609999999999</v>
      </c>
      <c r="AC174" s="15">
        <v>0.12548585842423887</v>
      </c>
      <c r="AD174" s="15">
        <v>101.45940404476346</v>
      </c>
      <c r="AE174" s="15">
        <v>-1.3647052366796504E-3</v>
      </c>
      <c r="AF174" s="15">
        <v>0</v>
      </c>
      <c r="AG174" s="15">
        <v>0</v>
      </c>
      <c r="AH174" s="15">
        <v>0</v>
      </c>
      <c r="AI174" s="15">
        <v>101.46076875000001</v>
      </c>
      <c r="AJ174" s="15">
        <v>0</v>
      </c>
      <c r="AK174" s="15">
        <v>0</v>
      </c>
      <c r="AL174" s="15">
        <v>0</v>
      </c>
      <c r="AM174" s="15">
        <v>0</v>
      </c>
      <c r="AN174" s="15">
        <v>808.5325734614056</v>
      </c>
      <c r="AO174" s="15">
        <v>1816.1000818136608</v>
      </c>
      <c r="AP174" s="15">
        <v>0</v>
      </c>
      <c r="AQ174" s="15">
        <v>0</v>
      </c>
      <c r="AR174" s="15">
        <v>0</v>
      </c>
      <c r="AS174" s="15">
        <v>0</v>
      </c>
      <c r="AT174" s="15">
        <v>0</v>
      </c>
      <c r="AU174" s="15">
        <v>1495.6533749803893</v>
      </c>
      <c r="AV174" s="15">
        <v>1191.1951617249999</v>
      </c>
      <c r="AW174" s="15">
        <v>1191.1951617249999</v>
      </c>
      <c r="AX174" s="15">
        <v>0</v>
      </c>
      <c r="AY174" s="15">
        <v>0</v>
      </c>
      <c r="AZ174" s="15">
        <v>31.205792050067792</v>
      </c>
      <c r="BA174" s="15">
        <v>0</v>
      </c>
      <c r="BB174" s="15">
        <v>13.002413354194912</v>
      </c>
      <c r="BC174" s="15">
        <v>18.203378695872878</v>
      </c>
      <c r="BD174" s="15">
        <v>0</v>
      </c>
      <c r="BE174" s="15">
        <v>273.25242120532164</v>
      </c>
      <c r="BF174" s="15">
        <v>95.878042528183045</v>
      </c>
      <c r="BG174" s="15">
        <v>0</v>
      </c>
      <c r="BH174" s="15">
        <v>177.37437867713862</v>
      </c>
      <c r="BI174" s="15">
        <v>0</v>
      </c>
      <c r="BJ174" s="15">
        <v>1495.6533749803893</v>
      </c>
      <c r="BK174" s="15">
        <v>1597.1127790251528</v>
      </c>
      <c r="BL174" s="15">
        <v>14320.237481195109</v>
      </c>
      <c r="BM174" s="15">
        <v>0.98954501297662723</v>
      </c>
    </row>
    <row r="175" spans="1:65" x14ac:dyDescent="0.4">
      <c r="A175" s="15" t="s">
        <v>10702</v>
      </c>
      <c r="B175" s="15" t="s">
        <v>10437</v>
      </c>
      <c r="C175" s="15" t="s">
        <v>10621</v>
      </c>
      <c r="D175" s="15" t="s">
        <v>10306</v>
      </c>
      <c r="E175" s="15" t="s">
        <v>10859</v>
      </c>
      <c r="F175" s="15">
        <v>580870</v>
      </c>
      <c r="G175" s="15">
        <v>0.89712441257810971</v>
      </c>
      <c r="H175" s="15">
        <v>200</v>
      </c>
      <c r="I175" s="119">
        <v>1816.0968991349644</v>
      </c>
      <c r="J175" s="120">
        <v>1.054526774542244</v>
      </c>
      <c r="K175" s="15">
        <v>30</v>
      </c>
      <c r="L175" s="15">
        <v>321.91796337714464</v>
      </c>
      <c r="M175" s="15">
        <v>172.41732461732948</v>
      </c>
      <c r="N175" s="15">
        <v>2431468.9850971363</v>
      </c>
      <c r="O175" s="15">
        <v>557323.08474657743</v>
      </c>
      <c r="P175" s="15">
        <v>818918.75418071577</v>
      </c>
      <c r="Q175" s="15">
        <v>1055227.1461698434</v>
      </c>
      <c r="R175" s="15">
        <v>193909.6515614966</v>
      </c>
      <c r="S175" s="15">
        <v>0</v>
      </c>
      <c r="T175" s="15">
        <v>861317.49460834661</v>
      </c>
      <c r="U175" s="15">
        <v>0</v>
      </c>
      <c r="V175" s="15">
        <v>0</v>
      </c>
      <c r="W175" s="15">
        <v>0</v>
      </c>
      <c r="X175" s="15">
        <v>0</v>
      </c>
      <c r="Y175" s="15">
        <v>1917.556371526746</v>
      </c>
      <c r="Z175" s="15">
        <v>0</v>
      </c>
      <c r="AA175" s="15">
        <v>50.872999999999998</v>
      </c>
      <c r="AB175" s="15">
        <v>1866.5609999999999</v>
      </c>
      <c r="AC175" s="15">
        <v>0.12237152674616503</v>
      </c>
      <c r="AD175" s="15">
        <v>101.45947239178167</v>
      </c>
      <c r="AE175" s="15">
        <v>-1.2963582182842273E-3</v>
      </c>
      <c r="AF175" s="15">
        <v>0</v>
      </c>
      <c r="AG175" s="15">
        <v>0</v>
      </c>
      <c r="AH175" s="15">
        <v>0</v>
      </c>
      <c r="AI175" s="15">
        <v>101.46076875000001</v>
      </c>
      <c r="AJ175" s="15">
        <v>0</v>
      </c>
      <c r="AK175" s="15">
        <v>0</v>
      </c>
      <c r="AL175" s="15">
        <v>0</v>
      </c>
      <c r="AM175" s="15">
        <v>0</v>
      </c>
      <c r="AN175" s="15">
        <v>829.11012953396278</v>
      </c>
      <c r="AO175" s="15">
        <v>1816.0968991349644</v>
      </c>
      <c r="AP175" s="15">
        <v>0</v>
      </c>
      <c r="AQ175" s="15">
        <v>0</v>
      </c>
      <c r="AR175" s="15">
        <v>0</v>
      </c>
      <c r="AS175" s="15">
        <v>0</v>
      </c>
      <c r="AT175" s="15">
        <v>0</v>
      </c>
      <c r="AU175" s="15">
        <v>1613.6633329091833</v>
      </c>
      <c r="AV175" s="15">
        <v>1304.2232551999998</v>
      </c>
      <c r="AW175" s="15">
        <v>1304.2232551999998</v>
      </c>
      <c r="AX175" s="15">
        <v>0</v>
      </c>
      <c r="AY175" s="15">
        <v>0</v>
      </c>
      <c r="AZ175" s="15">
        <v>36.188110035576145</v>
      </c>
      <c r="BA175" s="15">
        <v>0</v>
      </c>
      <c r="BB175" s="15">
        <v>15.07837918149006</v>
      </c>
      <c r="BC175" s="15">
        <v>21.109730854086081</v>
      </c>
      <c r="BD175" s="15">
        <v>0</v>
      </c>
      <c r="BE175" s="15">
        <v>273.2519676736074</v>
      </c>
      <c r="BF175" s="15">
        <v>95.877883394248215</v>
      </c>
      <c r="BG175" s="15">
        <v>0</v>
      </c>
      <c r="BH175" s="15">
        <v>177.37408427935921</v>
      </c>
      <c r="BI175" s="15">
        <v>0</v>
      </c>
      <c r="BJ175" s="15">
        <v>1613.6633329091833</v>
      </c>
      <c r="BK175" s="15">
        <v>1715.122805300965</v>
      </c>
      <c r="BL175" s="15">
        <v>15649.0687392215</v>
      </c>
      <c r="BM175" s="15">
        <v>1.054526774542244</v>
      </c>
    </row>
    <row r="176" spans="1:65" x14ac:dyDescent="0.4">
      <c r="A176" s="15" t="s">
        <v>10702</v>
      </c>
      <c r="B176" s="15" t="s">
        <v>10437</v>
      </c>
      <c r="C176" s="15" t="s">
        <v>10621</v>
      </c>
      <c r="D176" s="15" t="s">
        <v>10307</v>
      </c>
      <c r="E176" s="15" t="s">
        <v>10860</v>
      </c>
      <c r="F176" s="15">
        <v>580870</v>
      </c>
      <c r="G176" s="15">
        <v>0.89712441257810971</v>
      </c>
      <c r="H176" s="15">
        <v>200</v>
      </c>
      <c r="I176" s="119">
        <v>1540.3876084287319</v>
      </c>
      <c r="J176" s="120">
        <v>1.6337909786920481</v>
      </c>
      <c r="K176" s="15">
        <v>30</v>
      </c>
      <c r="L176" s="15">
        <v>805.31616240036101</v>
      </c>
      <c r="M176" s="15">
        <v>151.99379180995919</v>
      </c>
      <c r="N176" s="15">
        <v>2431468.9850971363</v>
      </c>
      <c r="O176" s="15">
        <v>1776916.9355492783</v>
      </c>
      <c r="P176" s="15">
        <v>447511.86670712801</v>
      </c>
      <c r="Q176" s="15">
        <v>207040.18284073015</v>
      </c>
      <c r="R176" s="15">
        <v>207040.18284073015</v>
      </c>
      <c r="S176" s="15">
        <v>0</v>
      </c>
      <c r="T176" s="15">
        <v>0</v>
      </c>
      <c r="U176" s="15">
        <v>1584720772.2009435</v>
      </c>
      <c r="V176" s="15">
        <v>0</v>
      </c>
      <c r="W176" s="15">
        <v>0</v>
      </c>
      <c r="X176" s="15">
        <v>0</v>
      </c>
      <c r="Y176" s="15">
        <v>1917.5601044914008</v>
      </c>
      <c r="Z176" s="15">
        <v>0</v>
      </c>
      <c r="AA176" s="15">
        <v>50.872999999999998</v>
      </c>
      <c r="AB176" s="15">
        <v>1866.5609999999999</v>
      </c>
      <c r="AC176" s="15">
        <v>0.12610449140080249</v>
      </c>
      <c r="AD176" s="15">
        <v>377.17249606266887</v>
      </c>
      <c r="AE176" s="15">
        <v>4.4679384769992165E-3</v>
      </c>
      <c r="AF176" s="15">
        <v>0</v>
      </c>
      <c r="AG176" s="15">
        <v>0</v>
      </c>
      <c r="AH176" s="15">
        <v>6.4917278215150861E-3</v>
      </c>
      <c r="AI176" s="15">
        <v>123.00035822944254</v>
      </c>
      <c r="AJ176" s="15">
        <v>254.16117816692775</v>
      </c>
      <c r="AK176" s="15">
        <v>0</v>
      </c>
      <c r="AL176" s="15">
        <v>0</v>
      </c>
      <c r="AM176" s="15">
        <v>0</v>
      </c>
      <c r="AN176" s="15">
        <v>2990.9521213157095</v>
      </c>
      <c r="AO176" s="15">
        <v>1540.3876084287319</v>
      </c>
      <c r="AP176" s="15">
        <v>1.0959666298514303E-2</v>
      </c>
      <c r="AQ176" s="15">
        <v>4.4679384769992165E-3</v>
      </c>
      <c r="AR176" s="15">
        <v>0</v>
      </c>
      <c r="AS176" s="15">
        <v>0</v>
      </c>
      <c r="AT176" s="15">
        <v>6.4917278215150861E-3</v>
      </c>
      <c r="AU176" s="15">
        <v>1939.487922610914</v>
      </c>
      <c r="AV176" s="15">
        <v>1604.6154479499996</v>
      </c>
      <c r="AW176" s="15">
        <v>1604.6154479499996</v>
      </c>
      <c r="AX176" s="15">
        <v>0</v>
      </c>
      <c r="AY176" s="15">
        <v>0</v>
      </c>
      <c r="AZ176" s="15">
        <v>61.621721523337364</v>
      </c>
      <c r="BA176" s="15">
        <v>0</v>
      </c>
      <c r="BB176" s="15">
        <v>25.67571730139057</v>
      </c>
      <c r="BC176" s="15">
        <v>35.946004221946794</v>
      </c>
      <c r="BD176" s="15">
        <v>0</v>
      </c>
      <c r="BE176" s="15">
        <v>273.25075313757708</v>
      </c>
      <c r="BF176" s="15">
        <v>95.877457241255115</v>
      </c>
      <c r="BG176" s="15">
        <v>0</v>
      </c>
      <c r="BH176" s="15">
        <v>177.37329589632196</v>
      </c>
      <c r="BI176" s="15">
        <v>0</v>
      </c>
      <c r="BJ176" s="15">
        <v>1939.4988822772125</v>
      </c>
      <c r="BK176" s="15">
        <v>2316.6713783398814</v>
      </c>
      <c r="BL176" s="15">
        <v>19956.032064314451</v>
      </c>
      <c r="BM176" s="15">
        <v>1.6337909786920481</v>
      </c>
    </row>
    <row r="177" spans="1:65" x14ac:dyDescent="0.4">
      <c r="A177" s="15" t="s">
        <v>10702</v>
      </c>
      <c r="B177" s="15" t="s">
        <v>10437</v>
      </c>
      <c r="C177" s="15" t="s">
        <v>10621</v>
      </c>
      <c r="D177" s="15" t="s">
        <v>10308</v>
      </c>
      <c r="E177" s="15" t="s">
        <v>10861</v>
      </c>
      <c r="F177" s="15">
        <v>580870</v>
      </c>
      <c r="G177" s="15">
        <v>0.89712441257810971</v>
      </c>
      <c r="H177" s="15">
        <v>200</v>
      </c>
      <c r="I177" s="119">
        <v>1540.3876084287319</v>
      </c>
      <c r="J177" s="120">
        <v>1.6337909786920481</v>
      </c>
      <c r="K177" s="15">
        <v>30</v>
      </c>
      <c r="L177" s="15">
        <v>805.31616240036101</v>
      </c>
      <c r="M177" s="15">
        <v>151.99379180995919</v>
      </c>
      <c r="N177" s="15">
        <v>2431468.9850971363</v>
      </c>
      <c r="O177" s="15">
        <v>1776916.9355492783</v>
      </c>
      <c r="P177" s="15">
        <v>447511.86670712801</v>
      </c>
      <c r="Q177" s="15">
        <v>207040.18284073015</v>
      </c>
      <c r="R177" s="15">
        <v>207040.18284073015</v>
      </c>
      <c r="S177" s="15">
        <v>0</v>
      </c>
      <c r="T177" s="15">
        <v>0</v>
      </c>
      <c r="U177" s="15">
        <v>1584720772.2009435</v>
      </c>
      <c r="V177" s="15">
        <v>0</v>
      </c>
      <c r="W177" s="15">
        <v>0</v>
      </c>
      <c r="X177" s="15">
        <v>0</v>
      </c>
      <c r="Y177" s="15">
        <v>1917.5601044914008</v>
      </c>
      <c r="Z177" s="15">
        <v>0</v>
      </c>
      <c r="AA177" s="15">
        <v>50.872999999999998</v>
      </c>
      <c r="AB177" s="15">
        <v>1866.5609999999999</v>
      </c>
      <c r="AC177" s="15">
        <v>0.12610449140080249</v>
      </c>
      <c r="AD177" s="15">
        <v>377.17249606266887</v>
      </c>
      <c r="AE177" s="15">
        <v>4.4679384769992165E-3</v>
      </c>
      <c r="AF177" s="15">
        <v>0</v>
      </c>
      <c r="AG177" s="15">
        <v>0</v>
      </c>
      <c r="AH177" s="15">
        <v>6.4917278215150861E-3</v>
      </c>
      <c r="AI177" s="15">
        <v>123.00035822944254</v>
      </c>
      <c r="AJ177" s="15">
        <v>254.16117816692775</v>
      </c>
      <c r="AK177" s="15">
        <v>0</v>
      </c>
      <c r="AL177" s="15">
        <v>0</v>
      </c>
      <c r="AM177" s="15">
        <v>0</v>
      </c>
      <c r="AN177" s="15">
        <v>2990.9521213157095</v>
      </c>
      <c r="AO177" s="15">
        <v>1540.3876084287319</v>
      </c>
      <c r="AP177" s="15">
        <v>1.0959666298514303E-2</v>
      </c>
      <c r="AQ177" s="15">
        <v>4.4679384769992165E-3</v>
      </c>
      <c r="AR177" s="15">
        <v>0</v>
      </c>
      <c r="AS177" s="15">
        <v>0</v>
      </c>
      <c r="AT177" s="15">
        <v>6.4917278215150861E-3</v>
      </c>
      <c r="AU177" s="15">
        <v>1939.487922610914</v>
      </c>
      <c r="AV177" s="15">
        <v>1604.6154479499996</v>
      </c>
      <c r="AW177" s="15">
        <v>1604.6154479499996</v>
      </c>
      <c r="AX177" s="15">
        <v>0</v>
      </c>
      <c r="AY177" s="15">
        <v>0</v>
      </c>
      <c r="AZ177" s="15">
        <v>61.621721523337364</v>
      </c>
      <c r="BA177" s="15">
        <v>0</v>
      </c>
      <c r="BB177" s="15">
        <v>25.67571730139057</v>
      </c>
      <c r="BC177" s="15">
        <v>35.946004221946794</v>
      </c>
      <c r="BD177" s="15">
        <v>0</v>
      </c>
      <c r="BE177" s="15">
        <v>273.25075313757708</v>
      </c>
      <c r="BF177" s="15">
        <v>95.877457241255115</v>
      </c>
      <c r="BG177" s="15">
        <v>0</v>
      </c>
      <c r="BH177" s="15">
        <v>177.37329589632196</v>
      </c>
      <c r="BI177" s="15">
        <v>0</v>
      </c>
      <c r="BJ177" s="15">
        <v>1939.4988822772125</v>
      </c>
      <c r="BK177" s="15">
        <v>2316.6713783398814</v>
      </c>
      <c r="BL177" s="15">
        <v>19956.032064314451</v>
      </c>
      <c r="BM177" s="15">
        <v>1.6337909786920481</v>
      </c>
    </row>
    <row r="178" spans="1:65" s="56" customFormat="1" x14ac:dyDescent="0.4">
      <c r="A178" s="55" t="s">
        <v>10702</v>
      </c>
      <c r="B178" s="55" t="s">
        <v>10437</v>
      </c>
      <c r="C178" s="55" t="s">
        <v>10812</v>
      </c>
      <c r="D178" s="55" t="s">
        <v>10307</v>
      </c>
      <c r="E178" s="55" t="s">
        <v>10862</v>
      </c>
      <c r="F178" s="55">
        <v>580870</v>
      </c>
      <c r="G178" s="55">
        <v>0.89712441257810971</v>
      </c>
      <c r="H178" s="55">
        <v>200</v>
      </c>
      <c r="I178" s="55">
        <v>1540.3876084287319</v>
      </c>
      <c r="J178" s="92">
        <v>1.6337909786920481</v>
      </c>
      <c r="K178" s="55">
        <v>30</v>
      </c>
      <c r="L178" s="55">
        <v>805.31616240036101</v>
      </c>
      <c r="M178" s="55">
        <v>151.99379180995919</v>
      </c>
      <c r="N178" s="55">
        <v>2431468.9850971363</v>
      </c>
      <c r="O178" s="55">
        <v>1776916.9355492783</v>
      </c>
      <c r="P178" s="55">
        <v>447511.86670712801</v>
      </c>
      <c r="Q178" s="55">
        <v>207040.18284073015</v>
      </c>
      <c r="R178" s="55">
        <v>207040.18284073015</v>
      </c>
      <c r="S178" s="55">
        <v>0</v>
      </c>
      <c r="T178" s="55">
        <v>0</v>
      </c>
      <c r="U178" s="55">
        <v>1584720772.2009435</v>
      </c>
      <c r="V178" s="55">
        <v>0</v>
      </c>
      <c r="W178" s="55">
        <v>0</v>
      </c>
      <c r="X178" s="55">
        <v>0</v>
      </c>
      <c r="Y178" s="55">
        <v>1917.5601044914008</v>
      </c>
      <c r="Z178" s="55">
        <v>0</v>
      </c>
      <c r="AA178" s="55">
        <v>50.872999999999998</v>
      </c>
      <c r="AB178" s="55">
        <v>1866.5609999999999</v>
      </c>
      <c r="AC178" s="55">
        <v>0.12610449140080249</v>
      </c>
      <c r="AD178" s="55">
        <v>377.17249606266887</v>
      </c>
      <c r="AE178" s="55">
        <v>4.4679384769992165E-3</v>
      </c>
      <c r="AF178" s="55">
        <v>0</v>
      </c>
      <c r="AG178" s="55">
        <v>0</v>
      </c>
      <c r="AH178" s="55">
        <v>6.4917278215150861E-3</v>
      </c>
      <c r="AI178" s="55">
        <v>123.00035822944254</v>
      </c>
      <c r="AJ178" s="55">
        <v>254.16117816692775</v>
      </c>
      <c r="AK178" s="55">
        <v>0</v>
      </c>
      <c r="AL178" s="55">
        <v>0</v>
      </c>
      <c r="AM178" s="55">
        <v>0</v>
      </c>
      <c r="AN178" s="55">
        <v>2990.9521213157095</v>
      </c>
      <c r="AO178" s="55">
        <v>1540.3876084287319</v>
      </c>
      <c r="AP178" s="55">
        <v>1.0959666298514303E-2</v>
      </c>
      <c r="AQ178" s="55">
        <v>4.4679384769992165E-3</v>
      </c>
      <c r="AR178" s="55">
        <v>0</v>
      </c>
      <c r="AS178" s="55">
        <v>0</v>
      </c>
      <c r="AT178" s="55">
        <v>6.4917278215150861E-3</v>
      </c>
      <c r="AU178" s="55">
        <v>1939.487922610914</v>
      </c>
      <c r="AV178" s="55">
        <v>1604.6154479499996</v>
      </c>
      <c r="AW178" s="55">
        <v>1604.6154479499996</v>
      </c>
      <c r="AX178" s="55">
        <v>0</v>
      </c>
      <c r="AY178" s="55">
        <v>0</v>
      </c>
      <c r="AZ178" s="55">
        <v>61.621721523337364</v>
      </c>
      <c r="BA178" s="55">
        <v>0</v>
      </c>
      <c r="BB178" s="55">
        <v>25.67571730139057</v>
      </c>
      <c r="BC178" s="55">
        <v>35.946004221946794</v>
      </c>
      <c r="BD178" s="55">
        <v>0</v>
      </c>
      <c r="BE178" s="55">
        <v>273.25075313757708</v>
      </c>
      <c r="BF178" s="55">
        <v>95.877457241255115</v>
      </c>
      <c r="BG178" s="55">
        <v>0</v>
      </c>
      <c r="BH178" s="55">
        <v>177.37329589632196</v>
      </c>
      <c r="BI178" s="55">
        <v>0</v>
      </c>
      <c r="BJ178" s="55">
        <v>1939.4988822772125</v>
      </c>
      <c r="BK178" s="55">
        <v>2316.6713783398814</v>
      </c>
      <c r="BL178" s="55">
        <v>19956.032064314451</v>
      </c>
      <c r="BM178" s="55">
        <v>1.6337909786920481</v>
      </c>
    </row>
    <row r="179" spans="1:65" s="52" customFormat="1" x14ac:dyDescent="0.4">
      <c r="A179" s="51" t="s">
        <v>10702</v>
      </c>
      <c r="B179" s="51" t="s">
        <v>10814</v>
      </c>
      <c r="C179" s="51" t="s">
        <v>9780</v>
      </c>
      <c r="D179" s="51" t="s">
        <v>9780</v>
      </c>
      <c r="E179" s="51" t="s">
        <v>10557</v>
      </c>
      <c r="F179" s="51">
        <f>F162+F170+F178</f>
        <v>3317141</v>
      </c>
      <c r="G179" s="51">
        <f>G162</f>
        <v>0.89712450607071414</v>
      </c>
      <c r="H179" s="51">
        <f>(H162*N162+H170*N170+H178*N178)/(N162+N170+N178)</f>
        <v>200</v>
      </c>
      <c r="I179" s="51">
        <f>(I162*N162+I170*N170+I178*N178)/(N162+N170+N178)</f>
        <v>417.91698251485906</v>
      </c>
      <c r="J179" s="93">
        <f>(H179+AD179+AE179+AF179+AG179+AH179+AU179)/(I179)</f>
        <v>2.9830302947052965</v>
      </c>
      <c r="K179" s="51">
        <f>K162</f>
        <v>30</v>
      </c>
      <c r="L179" s="51">
        <f t="shared" ref="L179:W179" si="8">L162+L170+L178</f>
        <v>4180.3274197154478</v>
      </c>
      <c r="M179" s="51">
        <f t="shared" si="8"/>
        <v>532.50567613073304</v>
      </c>
      <c r="N179" s="51">
        <f t="shared" si="8"/>
        <v>13885251.956447801</v>
      </c>
      <c r="O179" s="51">
        <f t="shared" si="8"/>
        <v>10147338.710468961</v>
      </c>
      <c r="P179" s="51">
        <f t="shared" si="8"/>
        <v>2555580.6225842177</v>
      </c>
      <c r="Q179" s="51">
        <f t="shared" si="8"/>
        <v>1182332.6233946229</v>
      </c>
      <c r="R179" s="51">
        <f t="shared" si="8"/>
        <v>1182332.6233946229</v>
      </c>
      <c r="S179" s="51">
        <f t="shared" si="8"/>
        <v>0</v>
      </c>
      <c r="T179" s="51">
        <f t="shared" si="8"/>
        <v>0</v>
      </c>
      <c r="U179" s="51">
        <f t="shared" si="8"/>
        <v>9049774986.8471203</v>
      </c>
      <c r="V179" s="51">
        <f t="shared" si="8"/>
        <v>0</v>
      </c>
      <c r="W179" s="51">
        <f t="shared" si="8"/>
        <v>0</v>
      </c>
      <c r="X179" s="51">
        <f>(X162*N162+X170*N170+X178*N178)/(N162+N170+N178)</f>
        <v>0</v>
      </c>
      <c r="Y179" s="51">
        <f>(Y162*N162+Y170*N170+Y178*N178)/(N162+N170+N178)</f>
        <v>795.09371978407125</v>
      </c>
      <c r="Z179" s="51">
        <f>(Z162*N162+Z170*N170+Z178*N178)/(N162+N170+N178)</f>
        <v>0</v>
      </c>
      <c r="AA179" s="51">
        <f>(AA162*N162+AA170*N170+AA178*N178)/(N162+N170+N178)</f>
        <v>268.17135923712482</v>
      </c>
      <c r="AB179" s="51">
        <f>(AB162*N162+AB170*N170+AB178*N178)/(N162+N170+N178)</f>
        <v>526.836578584584</v>
      </c>
      <c r="AC179" s="51">
        <f>(AC162*N162+AC170*N170+AC178*N178)/(N162+N170+N178)</f>
        <v>8.5781962362364461E-2</v>
      </c>
      <c r="AD179" s="51">
        <f>(AD162*N162+AD170*N170+AD178*N178)/(N162+N170+N178)</f>
        <v>377.17673726921208</v>
      </c>
      <c r="AE179" s="51">
        <f>(AE162*N162+AE170*N170+AE178*N178)/(N162+N170+N178)</f>
        <v>4.3703075751715123E-3</v>
      </c>
      <c r="AF179" s="51">
        <f>(AF162*N162+AF170*N170+AF178*N178)/(N162+N170+N178)</f>
        <v>0</v>
      </c>
      <c r="AG179" s="51">
        <f>(AG162*N162+AG170*N170+AG178*N178)/(N162+N170+N178)</f>
        <v>0</v>
      </c>
      <c r="AH179" s="51">
        <f>(AH162*N162+AH170*N170+AH178*N178)/(N162+N170+N178)</f>
        <v>3.4103670361145416E-3</v>
      </c>
      <c r="AI179" s="51">
        <f>(AI162*N162+AI170*N170+AI178*N178)/(N162+N170+N178)</f>
        <v>123.00035822944251</v>
      </c>
      <c r="AJ179" s="51">
        <f>(AJ162*N162+AJ170*N170+AJ178*N178)/(N162+N170+N178)</f>
        <v>254.16859836515832</v>
      </c>
      <c r="AK179" s="51">
        <f>(AK162*N162+AK170*N170+AK178*N178)/(N162+N170+N178)</f>
        <v>0</v>
      </c>
      <c r="AL179" s="51">
        <f>(AL162*N162+AL170*N170+AL178*N178)/(N162+N170+N178)</f>
        <v>0</v>
      </c>
      <c r="AM179" s="51">
        <f>(AM162*N162+AM170*N170+AM178*N178)/(N162+N170+N178)</f>
        <v>0</v>
      </c>
      <c r="AN179" s="51">
        <f>(AN162*N162+AN170*N170+AN178*N178)/(N162+N170+N178)</f>
        <v>4639.4067835628175</v>
      </c>
      <c r="AO179" s="51">
        <f>(AO162*N162+AO170*N170+AO178*N178)/(N162+N170+N178)</f>
        <v>417.91698251485906</v>
      </c>
      <c r="AP179" s="51">
        <f>(AP162*N162+AP170*N170+AP178*N178)/(N162+N170+N178)</f>
        <v>7.7806746112860535E-3</v>
      </c>
      <c r="AQ179" s="51">
        <f>(AQ162*N162+AQ170*N170+AQ178*N178)/(N162+N170+N178)</f>
        <v>4.3703075751715123E-3</v>
      </c>
      <c r="AR179" s="51">
        <f>(AR162*N162+AR170*N170+AR178*N178)/(N162+N170+N178)</f>
        <v>0</v>
      </c>
      <c r="AS179" s="51">
        <f>(AS162*N162+AS170*N170+AS178*N178)/(N162+N170+N178)</f>
        <v>0</v>
      </c>
      <c r="AT179" s="51">
        <f>(AT162*N162+AT170*N170+AT178*N178)/(N162+N170+N178)</f>
        <v>3.4103670361145416E-3</v>
      </c>
      <c r="AU179" s="51">
        <f>(AU162*N162+AU170*N170+AU178*N178)/(N162+N170+N178)</f>
        <v>669.47450156982484</v>
      </c>
      <c r="AV179" s="51">
        <f>(AV162*N162+AV170*N170+AV178*N178)/(N162+N170+N178)</f>
        <v>511.46730629609135</v>
      </c>
      <c r="AW179" s="51">
        <f>(AW162*N162+AW170*N170+AW178*N178)/(N162+N170+N178)</f>
        <v>511.46730629609135</v>
      </c>
      <c r="AX179" s="51">
        <f>(AX162*N162+AX170*N170+AX178*N178)/(N162+N170+N178)</f>
        <v>0</v>
      </c>
      <c r="AY179" s="51">
        <f>(AY162*N162+AY170*N170+AY178*N178)/(N162+N170+N178)</f>
        <v>0</v>
      </c>
      <c r="AZ179" s="51">
        <f>(AZ162*N162+AZ170*N170+AZ178*N178)/(N162+N170+N178)</f>
        <v>44.707448950635552</v>
      </c>
      <c r="BA179" s="51">
        <f>(BA162*N162+BA170*N170+BA178*N178)/(N162+N170+N178)</f>
        <v>0</v>
      </c>
      <c r="BB179" s="51">
        <f>(BB162*N162+BB170*N170+BB178*N178)/(N162+N170+N178)</f>
        <v>18.62810372943148</v>
      </c>
      <c r="BC179" s="51">
        <f>(BC162*N162+BC170*N170+BC178*N178)/(N162+N170+N178)</f>
        <v>26.079345221204068</v>
      </c>
      <c r="BD179" s="51">
        <f>(BD162*N162+BD170*N170+BD178*N178)/(N162+N170+N178)</f>
        <v>0</v>
      </c>
      <c r="BE179" s="51">
        <f>(BE162*N162+BE170*N170+BE178*N178)/(N162+N170+N178)</f>
        <v>113.29974632309802</v>
      </c>
      <c r="BF179" s="51">
        <f>(BF162*N162+BF170*N170+BF178*N178)/(N162+N170+N178)</f>
        <v>39.754296955473002</v>
      </c>
      <c r="BG179" s="51">
        <f>(BG162*N162+BG170*N170+BG178*N178)/(N162+N170+N178)</f>
        <v>0</v>
      </c>
      <c r="BH179" s="51">
        <f>(BH162*N162+BH170*N170+BH178*N178)/(N162+N170+N178)</f>
        <v>73.545449367625025</v>
      </c>
      <c r="BI179" s="51">
        <f>(BI162*N162+BI170*N170+BI178*N178)/(N162+N170+N178)</f>
        <v>0</v>
      </c>
      <c r="BJ179" s="51">
        <f>(BJ162*N162+BJ170*N170+BJ178*N178)/(N162+N170+N178)</f>
        <v>669.48228224443596</v>
      </c>
      <c r="BK179" s="51">
        <f>(BK162*N162+BK170*N170+BK178*N178)/(N162+N170+N178)</f>
        <v>1046.6590195136482</v>
      </c>
      <c r="BL179" s="51">
        <f>(BL162*N162+BL170*N170+BL178*N178)/(N162+N170+N178)</f>
        <v>13505.400471358756</v>
      </c>
      <c r="BM179" s="51">
        <f>(BM162*N162+BM170*N170+BM178*N178)/(N162+N170+N178)</f>
        <v>-0.65353544713236844</v>
      </c>
    </row>
    <row r="180" spans="1:65" s="56" customFormat="1" x14ac:dyDescent="0.4">
      <c r="A180" s="15" t="s">
        <v>10682</v>
      </c>
      <c r="B180" s="15" t="s">
        <v>10301</v>
      </c>
      <c r="C180" s="15" t="s">
        <v>10625</v>
      </c>
      <c r="D180" s="15" t="s">
        <v>10302</v>
      </c>
      <c r="E180" s="15" t="s">
        <v>10863</v>
      </c>
      <c r="F180" s="15">
        <v>1963726</v>
      </c>
      <c r="G180" s="15">
        <v>0.89712450607071414</v>
      </c>
      <c r="H180" s="15">
        <v>200</v>
      </c>
      <c r="I180" s="119">
        <v>956.00361531902854</v>
      </c>
      <c r="J180" s="120">
        <v>0.60830732300651291</v>
      </c>
      <c r="K180" s="15">
        <v>30</v>
      </c>
      <c r="L180" s="15">
        <v>848.511130751113</v>
      </c>
      <c r="M180" s="15">
        <v>379.3153624522559</v>
      </c>
      <c r="N180" s="15">
        <v>8219979.275606934</v>
      </c>
      <c r="O180" s="15">
        <v>1535981.2174502737</v>
      </c>
      <c r="P180" s="15">
        <v>3106258.2434331989</v>
      </c>
      <c r="Q180" s="15">
        <v>3577739.8147234609</v>
      </c>
      <c r="R180" s="15">
        <v>655543.34722965304</v>
      </c>
      <c r="S180" s="15">
        <v>1373675.671658596</v>
      </c>
      <c r="T180" s="15">
        <v>1548520.7958352126</v>
      </c>
      <c r="U180" s="15">
        <v>0</v>
      </c>
      <c r="V180" s="15">
        <v>998198115.32089341</v>
      </c>
      <c r="W180" s="15">
        <v>0</v>
      </c>
      <c r="X180" s="15">
        <v>0</v>
      </c>
      <c r="Y180" s="15">
        <v>1101.8684207900235</v>
      </c>
      <c r="Z180" s="15">
        <v>0</v>
      </c>
      <c r="AA180" s="15">
        <v>30.343</v>
      </c>
      <c r="AB180" s="15">
        <v>1073.0050000000001</v>
      </c>
      <c r="AC180" s="15">
        <v>-1.4795792099766525</v>
      </c>
      <c r="AD180" s="15">
        <v>145.86480547099495</v>
      </c>
      <c r="AE180" s="15">
        <v>1.1097715531791384E-3</v>
      </c>
      <c r="AF180" s="15">
        <v>0</v>
      </c>
      <c r="AG180" s="15">
        <v>0</v>
      </c>
      <c r="AH180" s="15">
        <v>1.2417978804473253E-3</v>
      </c>
      <c r="AI180" s="15">
        <v>101.46076874999997</v>
      </c>
      <c r="AJ180" s="15">
        <v>44.401685151561146</v>
      </c>
      <c r="AK180" s="15">
        <v>0</v>
      </c>
      <c r="AL180" s="15">
        <v>0</v>
      </c>
      <c r="AM180" s="15">
        <v>0</v>
      </c>
      <c r="AN180" s="15">
        <v>-98.585330536846811</v>
      </c>
      <c r="AO180" s="15">
        <v>956.00361531902854</v>
      </c>
      <c r="AP180" s="15">
        <v>2.3515694336264637E-3</v>
      </c>
      <c r="AQ180" s="15">
        <v>1.1097715531791384E-3</v>
      </c>
      <c r="AR180" s="15">
        <v>0</v>
      </c>
      <c r="AS180" s="15">
        <v>0</v>
      </c>
      <c r="AT180" s="15">
        <v>1.2417978804473253E-3</v>
      </c>
      <c r="AU180" s="15">
        <v>235.67684297883784</v>
      </c>
      <c r="AV180" s="15">
        <v>43.099875438362425</v>
      </c>
      <c r="AW180" s="15">
        <v>43.099875438362425</v>
      </c>
      <c r="AX180" s="15">
        <v>0</v>
      </c>
      <c r="AY180" s="15">
        <v>0</v>
      </c>
      <c r="AZ180" s="15">
        <v>35.338639284902207</v>
      </c>
      <c r="BA180" s="15">
        <v>0</v>
      </c>
      <c r="BB180" s="15">
        <v>14.72443303537592</v>
      </c>
      <c r="BC180" s="15">
        <v>20.614206249526287</v>
      </c>
      <c r="BD180" s="15">
        <v>0</v>
      </c>
      <c r="BE180" s="15">
        <v>157.23832825557321</v>
      </c>
      <c r="BF180" s="15">
        <v>55.171343247569546</v>
      </c>
      <c r="BG180" s="15">
        <v>0</v>
      </c>
      <c r="BH180" s="15">
        <v>102.06698500800366</v>
      </c>
      <c r="BI180" s="15">
        <v>0</v>
      </c>
      <c r="BJ180" s="15">
        <v>235.67919454827145</v>
      </c>
      <c r="BK180" s="55">
        <v>381.54400001926638</v>
      </c>
      <c r="BL180" s="55">
        <v>-394.04688528871873</v>
      </c>
      <c r="BM180" s="55">
        <v>0.60830732300651291</v>
      </c>
    </row>
    <row r="181" spans="1:65" s="54" customFormat="1" x14ac:dyDescent="0.4">
      <c r="A181" s="15" t="s">
        <v>10682</v>
      </c>
      <c r="B181" s="15" t="s">
        <v>10301</v>
      </c>
      <c r="C181" s="15" t="s">
        <v>10625</v>
      </c>
      <c r="D181" s="15" t="s">
        <v>10303</v>
      </c>
      <c r="E181" s="15" t="s">
        <v>10864</v>
      </c>
      <c r="F181" s="15">
        <v>1963726</v>
      </c>
      <c r="G181" s="15">
        <v>0.89712450607071414</v>
      </c>
      <c r="H181" s="15">
        <v>200</v>
      </c>
      <c r="I181" s="119">
        <v>1000.4079924796047</v>
      </c>
      <c r="J181" s="120">
        <v>0.536918694085607</v>
      </c>
      <c r="K181" s="15">
        <v>30</v>
      </c>
      <c r="L181" s="15">
        <v>848.511130751113</v>
      </c>
      <c r="M181" s="15">
        <v>379.3153624522559</v>
      </c>
      <c r="N181" s="15">
        <v>8219979.275606934</v>
      </c>
      <c r="O181" s="15">
        <v>1535981.2174502737</v>
      </c>
      <c r="P181" s="15">
        <v>3106258.2434331989</v>
      </c>
      <c r="Q181" s="15">
        <v>3577739.8147234609</v>
      </c>
      <c r="R181" s="15">
        <v>655543.34722965304</v>
      </c>
      <c r="S181" s="15">
        <v>1373675.671658596</v>
      </c>
      <c r="T181" s="15">
        <v>1548520.7958352126</v>
      </c>
      <c r="U181" s="15">
        <v>0</v>
      </c>
      <c r="V181" s="15">
        <v>0</v>
      </c>
      <c r="W181" s="15">
        <v>249549528.83022335</v>
      </c>
      <c r="X181" s="15">
        <v>0</v>
      </c>
      <c r="Y181" s="15">
        <v>1101.8684207900235</v>
      </c>
      <c r="Z181" s="15">
        <v>0</v>
      </c>
      <c r="AA181" s="15">
        <v>30.343</v>
      </c>
      <c r="AB181" s="15">
        <v>1073.0050000000001</v>
      </c>
      <c r="AC181" s="15">
        <v>-1.4795792099766525</v>
      </c>
      <c r="AD181" s="15">
        <v>101.46042831041882</v>
      </c>
      <c r="AE181" s="15">
        <v>-1.2610408003686973E-3</v>
      </c>
      <c r="AF181" s="15">
        <v>7.3778108307827128E-5</v>
      </c>
      <c r="AG181" s="15">
        <v>1.5928337859368868E-4</v>
      </c>
      <c r="AH181" s="15">
        <v>0</v>
      </c>
      <c r="AI181" s="15">
        <v>101.46076874999997</v>
      </c>
      <c r="AJ181" s="15">
        <v>0</v>
      </c>
      <c r="AK181" s="15">
        <v>6.8753973208285043E-4</v>
      </c>
      <c r="AL181" s="15">
        <v>0</v>
      </c>
      <c r="AM181" s="15">
        <v>0</v>
      </c>
      <c r="AN181" s="15">
        <v>-68.573840201512326</v>
      </c>
      <c r="AO181" s="15">
        <v>1000.4079924796047</v>
      </c>
      <c r="AP181" s="15">
        <v>0</v>
      </c>
      <c r="AQ181" s="15">
        <v>0</v>
      </c>
      <c r="AR181" s="15">
        <v>0</v>
      </c>
      <c r="AS181" s="15">
        <v>0</v>
      </c>
      <c r="AT181" s="15">
        <v>0</v>
      </c>
      <c r="AU181" s="15">
        <v>235.67732456453427</v>
      </c>
      <c r="AV181" s="15">
        <v>43.099875438362425</v>
      </c>
      <c r="AW181" s="15">
        <v>43.099875438362425</v>
      </c>
      <c r="AX181" s="15">
        <v>0</v>
      </c>
      <c r="AY181" s="15">
        <v>0</v>
      </c>
      <c r="AZ181" s="15">
        <v>35.338639284902207</v>
      </c>
      <c r="BA181" s="15">
        <v>0</v>
      </c>
      <c r="BB181" s="15">
        <v>14.72443303537592</v>
      </c>
      <c r="BC181" s="15">
        <v>20.614206249526287</v>
      </c>
      <c r="BD181" s="15">
        <v>0</v>
      </c>
      <c r="BE181" s="15">
        <v>157.23880984126964</v>
      </c>
      <c r="BF181" s="15">
        <v>55.171512225006893</v>
      </c>
      <c r="BG181" s="15">
        <v>0</v>
      </c>
      <c r="BH181" s="15">
        <v>102.06729761626275</v>
      </c>
      <c r="BI181" s="15">
        <v>0</v>
      </c>
      <c r="BJ181" s="15">
        <v>235.67732456453427</v>
      </c>
      <c r="BK181" s="53">
        <v>337.13775287495309</v>
      </c>
      <c r="BL181" s="53">
        <v>-364.03413109152098</v>
      </c>
      <c r="BM181" s="53">
        <v>0.536918694085607</v>
      </c>
    </row>
    <row r="182" spans="1:65" s="52" customFormat="1" x14ac:dyDescent="0.4">
      <c r="A182" s="15" t="s">
        <v>10682</v>
      </c>
      <c r="B182" s="15" t="s">
        <v>10301</v>
      </c>
      <c r="C182" s="15" t="s">
        <v>10625</v>
      </c>
      <c r="D182" s="15" t="s">
        <v>10304</v>
      </c>
      <c r="E182" s="15" t="s">
        <v>10865</v>
      </c>
      <c r="F182" s="15">
        <v>1963726</v>
      </c>
      <c r="G182" s="15">
        <v>0.89712450607071414</v>
      </c>
      <c r="H182" s="15">
        <v>200</v>
      </c>
      <c r="I182" s="119">
        <v>1000.4082255410917</v>
      </c>
      <c r="J182" s="120">
        <v>0.53691836923292569</v>
      </c>
      <c r="K182" s="15">
        <v>30</v>
      </c>
      <c r="L182" s="15">
        <v>848.511130751113</v>
      </c>
      <c r="M182" s="15">
        <v>379.3153624522559</v>
      </c>
      <c r="N182" s="15">
        <v>8219979.275606934</v>
      </c>
      <c r="O182" s="15">
        <v>1535981.2174502737</v>
      </c>
      <c r="P182" s="15">
        <v>3106258.2434331989</v>
      </c>
      <c r="Q182" s="15">
        <v>3577739.8147234609</v>
      </c>
      <c r="R182" s="15">
        <v>655543.34722965304</v>
      </c>
      <c r="S182" s="15">
        <v>1373675.671658596</v>
      </c>
      <c r="T182" s="15">
        <v>1548520.7958352126</v>
      </c>
      <c r="U182" s="15">
        <v>0</v>
      </c>
      <c r="V182" s="15">
        <v>0</v>
      </c>
      <c r="W182" s="15">
        <v>0</v>
      </c>
      <c r="X182" s="15">
        <v>249549528830.22336</v>
      </c>
      <c r="Y182" s="15">
        <v>1101.8684207900235</v>
      </c>
      <c r="Z182" s="15">
        <v>0</v>
      </c>
      <c r="AA182" s="15">
        <v>30.343</v>
      </c>
      <c r="AB182" s="15">
        <v>1073.0050000000001</v>
      </c>
      <c r="AC182" s="15">
        <v>-1.4795792099766525</v>
      </c>
      <c r="AD182" s="15">
        <v>101.46019524893177</v>
      </c>
      <c r="AE182" s="15">
        <v>-1.2610408003686973E-3</v>
      </c>
      <c r="AF182" s="15">
        <v>0</v>
      </c>
      <c r="AG182" s="15">
        <v>0</v>
      </c>
      <c r="AH182" s="15">
        <v>0</v>
      </c>
      <c r="AI182" s="15">
        <v>101.46076874999997</v>
      </c>
      <c r="AJ182" s="15">
        <v>0</v>
      </c>
      <c r="AK182" s="15">
        <v>6.8753973208285043E-4</v>
      </c>
      <c r="AL182" s="15">
        <v>0</v>
      </c>
      <c r="AM182" s="15">
        <v>0</v>
      </c>
      <c r="AN182" s="15">
        <v>-68.573682682749237</v>
      </c>
      <c r="AO182" s="15">
        <v>1000.4082255410917</v>
      </c>
      <c r="AP182" s="15">
        <v>0</v>
      </c>
      <c r="AQ182" s="15">
        <v>0</v>
      </c>
      <c r="AR182" s="15">
        <v>0</v>
      </c>
      <c r="AS182" s="15">
        <v>0</v>
      </c>
      <c r="AT182" s="15">
        <v>0</v>
      </c>
      <c r="AU182" s="15">
        <v>235.67735777579617</v>
      </c>
      <c r="AV182" s="15">
        <v>43.099875438362425</v>
      </c>
      <c r="AW182" s="15">
        <v>43.099875438362425</v>
      </c>
      <c r="AX182" s="15">
        <v>0</v>
      </c>
      <c r="AY182" s="15">
        <v>0</v>
      </c>
      <c r="AZ182" s="15">
        <v>35.338639284902207</v>
      </c>
      <c r="BA182" s="15">
        <v>0</v>
      </c>
      <c r="BB182" s="15">
        <v>14.72443303537592</v>
      </c>
      <c r="BC182" s="15">
        <v>20.614206249526287</v>
      </c>
      <c r="BD182" s="15">
        <v>0</v>
      </c>
      <c r="BE182" s="15">
        <v>157.23884305253154</v>
      </c>
      <c r="BF182" s="15">
        <v>55.171523878081246</v>
      </c>
      <c r="BG182" s="15">
        <v>0</v>
      </c>
      <c r="BH182" s="15">
        <v>102.0673191744503</v>
      </c>
      <c r="BI182" s="15">
        <v>0</v>
      </c>
      <c r="BJ182" s="15">
        <v>235.67735777579617</v>
      </c>
      <c r="BK182" s="51">
        <v>337.13755302472794</v>
      </c>
      <c r="BL182" s="51">
        <v>-364.03399601918164</v>
      </c>
      <c r="BM182" s="51">
        <v>0.53691836923292569</v>
      </c>
    </row>
    <row r="183" spans="1:65" x14ac:dyDescent="0.4">
      <c r="A183" s="15" t="s">
        <v>10682</v>
      </c>
      <c r="B183" s="15" t="s">
        <v>10301</v>
      </c>
      <c r="C183" s="15" t="s">
        <v>10625</v>
      </c>
      <c r="D183" s="15" t="s">
        <v>10305</v>
      </c>
      <c r="E183" s="15" t="s">
        <v>10866</v>
      </c>
      <c r="F183" s="15">
        <v>1963726</v>
      </c>
      <c r="G183" s="15">
        <v>0.89712450607071414</v>
      </c>
      <c r="H183" s="15">
        <v>200</v>
      </c>
      <c r="I183" s="119">
        <v>1000.4296776614874</v>
      </c>
      <c r="J183" s="120">
        <v>0.52713176356989133</v>
      </c>
      <c r="K183" s="15">
        <v>30</v>
      </c>
      <c r="L183" s="15">
        <v>549.78166614592033</v>
      </c>
      <c r="M183" s="15">
        <v>367.74374112963886</v>
      </c>
      <c r="N183" s="15">
        <v>8219979.275606934</v>
      </c>
      <c r="O183" s="15">
        <v>1158893.7781714434</v>
      </c>
      <c r="P183" s="15">
        <v>3240932.3288899241</v>
      </c>
      <c r="Q183" s="15">
        <v>3820153.1685455665</v>
      </c>
      <c r="R183" s="15">
        <v>655543.34722965304</v>
      </c>
      <c r="S183" s="15">
        <v>1616089.0254807011</v>
      </c>
      <c r="T183" s="15">
        <v>1548520.7958352126</v>
      </c>
      <c r="U183" s="15">
        <v>0</v>
      </c>
      <c r="V183" s="15">
        <v>0</v>
      </c>
      <c r="W183" s="15">
        <v>0</v>
      </c>
      <c r="X183" s="15">
        <v>0</v>
      </c>
      <c r="Y183" s="15">
        <v>1101.8894741381655</v>
      </c>
      <c r="Z183" s="15">
        <v>0</v>
      </c>
      <c r="AA183" s="15">
        <v>30.343</v>
      </c>
      <c r="AB183" s="15">
        <v>1073.0050000000001</v>
      </c>
      <c r="AC183" s="15">
        <v>-1.458525861834582</v>
      </c>
      <c r="AD183" s="15">
        <v>101.45979647667809</v>
      </c>
      <c r="AE183" s="15">
        <v>-9.7227332189778464E-4</v>
      </c>
      <c r="AF183" s="15">
        <v>0</v>
      </c>
      <c r="AG183" s="15">
        <v>0</v>
      </c>
      <c r="AH183" s="15">
        <v>0</v>
      </c>
      <c r="AI183" s="15">
        <v>101.46076874999997</v>
      </c>
      <c r="AJ183" s="15">
        <v>0</v>
      </c>
      <c r="AK183" s="15">
        <v>0</v>
      </c>
      <c r="AL183" s="15">
        <v>0</v>
      </c>
      <c r="AM183" s="15">
        <v>0</v>
      </c>
      <c r="AN183" s="15">
        <v>-69.563248161440626</v>
      </c>
      <c r="AO183" s="15">
        <v>1000.4296776614874</v>
      </c>
      <c r="AP183" s="15">
        <v>0</v>
      </c>
      <c r="AQ183" s="15">
        <v>0</v>
      </c>
      <c r="AR183" s="15">
        <v>0</v>
      </c>
      <c r="AS183" s="15">
        <v>0</v>
      </c>
      <c r="AT183" s="15">
        <v>0</v>
      </c>
      <c r="AU183" s="15">
        <v>225.89846383667958</v>
      </c>
      <c r="AV183" s="15">
        <v>41.261868351815657</v>
      </c>
      <c r="AW183" s="15">
        <v>41.261868351815657</v>
      </c>
      <c r="AX183" s="15">
        <v>0</v>
      </c>
      <c r="AY183" s="15">
        <v>0</v>
      </c>
      <c r="AZ183" s="15">
        <v>27.398511535685699</v>
      </c>
      <c r="BA183" s="15">
        <v>0</v>
      </c>
      <c r="BB183" s="15">
        <v>11.416046473202377</v>
      </c>
      <c r="BC183" s="15">
        <v>15.982465062483325</v>
      </c>
      <c r="BD183" s="15">
        <v>0</v>
      </c>
      <c r="BE183" s="15">
        <v>157.23808394917822</v>
      </c>
      <c r="BF183" s="15">
        <v>55.171257526027446</v>
      </c>
      <c r="BG183" s="15">
        <v>0</v>
      </c>
      <c r="BH183" s="15">
        <v>102.06682642315077</v>
      </c>
      <c r="BI183" s="15">
        <v>0</v>
      </c>
      <c r="BJ183" s="15">
        <v>225.89846383667958</v>
      </c>
      <c r="BK183" s="15">
        <v>327.35826031335768</v>
      </c>
      <c r="BL183" s="15">
        <v>-362.56935856456403</v>
      </c>
      <c r="BM183" s="15">
        <v>0.52713176356989133</v>
      </c>
    </row>
    <row r="184" spans="1:65" x14ac:dyDescent="0.4">
      <c r="A184" s="15" t="s">
        <v>10682</v>
      </c>
      <c r="B184" s="15" t="s">
        <v>10301</v>
      </c>
      <c r="C184" s="15" t="s">
        <v>10625</v>
      </c>
      <c r="D184" s="15" t="s">
        <v>10306</v>
      </c>
      <c r="E184" s="15" t="s">
        <v>10867</v>
      </c>
      <c r="F184" s="15">
        <v>1963726</v>
      </c>
      <c r="G184" s="15">
        <v>0.89712450607071414</v>
      </c>
      <c r="H184" s="15">
        <v>200</v>
      </c>
      <c r="I184" s="119">
        <v>1000.3595278169546</v>
      </c>
      <c r="J184" s="120">
        <v>0.53729913586485711</v>
      </c>
      <c r="K184" s="15">
        <v>30</v>
      </c>
      <c r="L184" s="15">
        <v>1117.8797163063678</v>
      </c>
      <c r="M184" s="15">
        <v>377.70232753619257</v>
      </c>
      <c r="N184" s="15">
        <v>8219979.275606934</v>
      </c>
      <c r="O184" s="15">
        <v>1884121.9997100541</v>
      </c>
      <c r="P184" s="15">
        <v>2768489.020024416</v>
      </c>
      <c r="Q184" s="15">
        <v>3567368.2558724657</v>
      </c>
      <c r="R184" s="15">
        <v>655543.34722965304</v>
      </c>
      <c r="S184" s="15">
        <v>0</v>
      </c>
      <c r="T184" s="15">
        <v>2911824.9086428126</v>
      </c>
      <c r="U184" s="15">
        <v>0</v>
      </c>
      <c r="V184" s="15">
        <v>0</v>
      </c>
      <c r="W184" s="15">
        <v>0</v>
      </c>
      <c r="X184" s="15">
        <v>0</v>
      </c>
      <c r="Y184" s="15">
        <v>1101.818280575294</v>
      </c>
      <c r="Z184" s="15">
        <v>0</v>
      </c>
      <c r="AA184" s="15">
        <v>30.343</v>
      </c>
      <c r="AB184" s="15">
        <v>1073.0050000000001</v>
      </c>
      <c r="AC184" s="15">
        <v>-1.5297194247061479</v>
      </c>
      <c r="AD184" s="15">
        <v>101.45875275833941</v>
      </c>
      <c r="AE184" s="15">
        <v>-2.01599166043896E-3</v>
      </c>
      <c r="AF184" s="15">
        <v>0</v>
      </c>
      <c r="AG184" s="15">
        <v>0</v>
      </c>
      <c r="AH184" s="15">
        <v>0</v>
      </c>
      <c r="AI184" s="15">
        <v>101.46076874999997</v>
      </c>
      <c r="AJ184" s="15">
        <v>0</v>
      </c>
      <c r="AK184" s="15">
        <v>0</v>
      </c>
      <c r="AL184" s="15">
        <v>0</v>
      </c>
      <c r="AM184" s="15">
        <v>0</v>
      </c>
      <c r="AN184" s="15">
        <v>-66.325073160281775</v>
      </c>
      <c r="AO184" s="15">
        <v>1000.3595278169546</v>
      </c>
      <c r="AP184" s="15">
        <v>0</v>
      </c>
      <c r="AQ184" s="15">
        <v>0</v>
      </c>
      <c r="AR184" s="15">
        <v>0</v>
      </c>
      <c r="AS184" s="15">
        <v>0</v>
      </c>
      <c r="AT184" s="15">
        <v>0</v>
      </c>
      <c r="AU184" s="15">
        <v>236.03355709188676</v>
      </c>
      <c r="AV184" s="15">
        <v>47.502535960107764</v>
      </c>
      <c r="AW184" s="15">
        <v>47.502535960107764</v>
      </c>
      <c r="AX184" s="15">
        <v>0</v>
      </c>
      <c r="AY184" s="15">
        <v>0</v>
      </c>
      <c r="AZ184" s="15">
        <v>31.291684065292522</v>
      </c>
      <c r="BA184" s="15">
        <v>0</v>
      </c>
      <c r="BB184" s="15">
        <v>13.038201693871885</v>
      </c>
      <c r="BC184" s="15">
        <v>18.253482371420638</v>
      </c>
      <c r="BD184" s="15">
        <v>0</v>
      </c>
      <c r="BE184" s="15">
        <v>157.23933706648648</v>
      </c>
      <c r="BF184" s="15">
        <v>55.171697216311046</v>
      </c>
      <c r="BG184" s="15">
        <v>0</v>
      </c>
      <c r="BH184" s="15">
        <v>102.06763985017542</v>
      </c>
      <c r="BI184" s="15">
        <v>0</v>
      </c>
      <c r="BJ184" s="15">
        <v>236.03355709188676</v>
      </c>
      <c r="BK184" s="15">
        <v>337.49230985022621</v>
      </c>
      <c r="BL184" s="15">
        <v>-352.36659780173483</v>
      </c>
      <c r="BM184" s="15">
        <v>0.53729913586485711</v>
      </c>
    </row>
    <row r="185" spans="1:65" x14ac:dyDescent="0.4">
      <c r="A185" s="15" t="s">
        <v>10682</v>
      </c>
      <c r="B185" s="15" t="s">
        <v>10301</v>
      </c>
      <c r="C185" s="15" t="s">
        <v>10625</v>
      </c>
      <c r="D185" s="15" t="s">
        <v>10307</v>
      </c>
      <c r="E185" s="15" t="s">
        <v>10868</v>
      </c>
      <c r="F185" s="15">
        <v>1963726</v>
      </c>
      <c r="G185" s="15">
        <v>0.89712450607071414</v>
      </c>
      <c r="H185" s="15">
        <v>200</v>
      </c>
      <c r="I185" s="119">
        <v>724.3534612202393</v>
      </c>
      <c r="J185" s="120">
        <v>1.1676861868067039</v>
      </c>
      <c r="K185" s="15">
        <v>30</v>
      </c>
      <c r="L185" s="15">
        <v>2457.089869561456</v>
      </c>
      <c r="M185" s="15">
        <v>363.97881730162987</v>
      </c>
      <c r="N185" s="15">
        <v>8219979.275606934</v>
      </c>
      <c r="O185" s="15">
        <v>6007158.8304082518</v>
      </c>
      <c r="P185" s="15">
        <v>1512887.1856754562</v>
      </c>
      <c r="Q185" s="15">
        <v>699933.25952322735</v>
      </c>
      <c r="R185" s="15">
        <v>699933.25952322735</v>
      </c>
      <c r="S185" s="15">
        <v>0</v>
      </c>
      <c r="T185" s="15">
        <v>0</v>
      </c>
      <c r="U185" s="15">
        <v>5357408210.8208227</v>
      </c>
      <c r="V185" s="15">
        <v>0</v>
      </c>
      <c r="W185" s="15">
        <v>0</v>
      </c>
      <c r="X185" s="15">
        <v>0</v>
      </c>
      <c r="Y185" s="15">
        <v>1101.5286395791668</v>
      </c>
      <c r="Z185" s="15">
        <v>0</v>
      </c>
      <c r="AA185" s="15">
        <v>30.343</v>
      </c>
      <c r="AB185" s="15">
        <v>1073.0050000000001</v>
      </c>
      <c r="AC185" s="15">
        <v>-1.8193604208334733</v>
      </c>
      <c r="AD185" s="15">
        <v>377.1751783589275</v>
      </c>
      <c r="AE185" s="15">
        <v>4.302957594350695E-3</v>
      </c>
      <c r="AF185" s="15">
        <v>0</v>
      </c>
      <c r="AG185" s="15">
        <v>0</v>
      </c>
      <c r="AH185" s="15">
        <v>1.9202742710279852E-3</v>
      </c>
      <c r="AI185" s="15">
        <v>123.0003582294425</v>
      </c>
      <c r="AJ185" s="15">
        <v>254.16859689761935</v>
      </c>
      <c r="AK185" s="15">
        <v>0</v>
      </c>
      <c r="AL185" s="15">
        <v>0</v>
      </c>
      <c r="AM185" s="15">
        <v>0</v>
      </c>
      <c r="AN185" s="15">
        <v>-207.31196196196163</v>
      </c>
      <c r="AO185" s="15">
        <v>724.3534612202393</v>
      </c>
      <c r="AP185" s="15">
        <v>6.2232318653786802E-3</v>
      </c>
      <c r="AQ185" s="15">
        <v>4.302957594350695E-3</v>
      </c>
      <c r="AR185" s="15">
        <v>0</v>
      </c>
      <c r="AS185" s="15">
        <v>0</v>
      </c>
      <c r="AT185" s="15">
        <v>1.9202742710279852E-3</v>
      </c>
      <c r="AU185" s="15">
        <v>268.63612944170603</v>
      </c>
      <c r="AV185" s="15">
        <v>69.313041684627791</v>
      </c>
      <c r="AW185" s="15">
        <v>69.313041684627791</v>
      </c>
      <c r="AX185" s="15">
        <v>0</v>
      </c>
      <c r="AY185" s="15">
        <v>0</v>
      </c>
      <c r="AZ185" s="15">
        <v>42.083357430895489</v>
      </c>
      <c r="BA185" s="15">
        <v>0</v>
      </c>
      <c r="BB185" s="15">
        <v>17.534732262873121</v>
      </c>
      <c r="BC185" s="15">
        <v>24.548625168022365</v>
      </c>
      <c r="BD185" s="15">
        <v>0</v>
      </c>
      <c r="BE185" s="15">
        <v>157.23973032618275</v>
      </c>
      <c r="BF185" s="15">
        <v>55.171835202169383</v>
      </c>
      <c r="BG185" s="15">
        <v>0</v>
      </c>
      <c r="BH185" s="15">
        <v>102.06789512401336</v>
      </c>
      <c r="BI185" s="15">
        <v>0</v>
      </c>
      <c r="BJ185" s="15">
        <v>268.64235267357139</v>
      </c>
      <c r="BK185" s="15">
        <v>645.81753103249889</v>
      </c>
      <c r="BL185" s="15">
        <v>-465.8982803775728</v>
      </c>
      <c r="BM185" s="15">
        <v>1.1676861868067039</v>
      </c>
    </row>
    <row r="186" spans="1:65" x14ac:dyDescent="0.4">
      <c r="A186" s="15" t="s">
        <v>10682</v>
      </c>
      <c r="B186" s="15" t="s">
        <v>10301</v>
      </c>
      <c r="C186" s="15" t="s">
        <v>10625</v>
      </c>
      <c r="D186" s="15" t="s">
        <v>10308</v>
      </c>
      <c r="E186" s="15" t="s">
        <v>10869</v>
      </c>
      <c r="F186" s="15">
        <v>1963726</v>
      </c>
      <c r="G186" s="15">
        <v>0.89712450607071414</v>
      </c>
      <c r="H186" s="15">
        <v>200</v>
      </c>
      <c r="I186" s="119">
        <v>724.3534612202393</v>
      </c>
      <c r="J186" s="120">
        <v>1.1676861868067039</v>
      </c>
      <c r="K186" s="15">
        <v>30</v>
      </c>
      <c r="L186" s="15">
        <v>2457.089869561456</v>
      </c>
      <c r="M186" s="15">
        <v>363.97881730162987</v>
      </c>
      <c r="N186" s="15">
        <v>8219979.275606934</v>
      </c>
      <c r="O186" s="15">
        <v>6007158.8304082518</v>
      </c>
      <c r="P186" s="15">
        <v>1512887.1856754562</v>
      </c>
      <c r="Q186" s="15">
        <v>699933.25952322735</v>
      </c>
      <c r="R186" s="15">
        <v>699933.25952322735</v>
      </c>
      <c r="S186" s="15">
        <v>0</v>
      </c>
      <c r="T186" s="15">
        <v>0</v>
      </c>
      <c r="U186" s="15">
        <v>5357408210.8208227</v>
      </c>
      <c r="V186" s="15">
        <v>0</v>
      </c>
      <c r="W186" s="15">
        <v>0</v>
      </c>
      <c r="X186" s="15">
        <v>0</v>
      </c>
      <c r="Y186" s="15">
        <v>1101.5286395791668</v>
      </c>
      <c r="Z186" s="15">
        <v>0</v>
      </c>
      <c r="AA186" s="15">
        <v>30.343</v>
      </c>
      <c r="AB186" s="15">
        <v>1073.0050000000001</v>
      </c>
      <c r="AC186" s="15">
        <v>-1.8193604208334733</v>
      </c>
      <c r="AD186" s="15">
        <v>377.1751783589275</v>
      </c>
      <c r="AE186" s="15">
        <v>4.302957594350695E-3</v>
      </c>
      <c r="AF186" s="15">
        <v>0</v>
      </c>
      <c r="AG186" s="15">
        <v>0</v>
      </c>
      <c r="AH186" s="15">
        <v>1.9202742710279852E-3</v>
      </c>
      <c r="AI186" s="15">
        <v>123.0003582294425</v>
      </c>
      <c r="AJ186" s="15">
        <v>254.16859689761935</v>
      </c>
      <c r="AK186" s="15">
        <v>0</v>
      </c>
      <c r="AL186" s="15">
        <v>0</v>
      </c>
      <c r="AM186" s="15">
        <v>0</v>
      </c>
      <c r="AN186" s="15">
        <v>-207.31196196196163</v>
      </c>
      <c r="AO186" s="15">
        <v>724.3534612202393</v>
      </c>
      <c r="AP186" s="15">
        <v>6.2232318653786802E-3</v>
      </c>
      <c r="AQ186" s="15">
        <v>4.302957594350695E-3</v>
      </c>
      <c r="AR186" s="15">
        <v>0</v>
      </c>
      <c r="AS186" s="15">
        <v>0</v>
      </c>
      <c r="AT186" s="15">
        <v>1.9202742710279852E-3</v>
      </c>
      <c r="AU186" s="15">
        <v>268.63612944170603</v>
      </c>
      <c r="AV186" s="15">
        <v>69.313041684627791</v>
      </c>
      <c r="AW186" s="15">
        <v>69.313041684627791</v>
      </c>
      <c r="AX186" s="15">
        <v>0</v>
      </c>
      <c r="AY186" s="15">
        <v>0</v>
      </c>
      <c r="AZ186" s="15">
        <v>42.083357430895489</v>
      </c>
      <c r="BA186" s="15">
        <v>0</v>
      </c>
      <c r="BB186" s="15">
        <v>17.534732262873121</v>
      </c>
      <c r="BC186" s="15">
        <v>24.548625168022365</v>
      </c>
      <c r="BD186" s="15">
        <v>0</v>
      </c>
      <c r="BE186" s="15">
        <v>157.23973032618275</v>
      </c>
      <c r="BF186" s="15">
        <v>55.171835202169383</v>
      </c>
      <c r="BG186" s="15">
        <v>0</v>
      </c>
      <c r="BH186" s="15">
        <v>102.06789512401336</v>
      </c>
      <c r="BI186" s="15">
        <v>0</v>
      </c>
      <c r="BJ186" s="15">
        <v>268.64235267357139</v>
      </c>
      <c r="BK186" s="15">
        <v>645.81753103249889</v>
      </c>
      <c r="BL186" s="15">
        <v>-465.8982803775728</v>
      </c>
      <c r="BM186" s="15">
        <v>1.1676861868067039</v>
      </c>
    </row>
    <row r="187" spans="1:65" s="56" customFormat="1" x14ac:dyDescent="0.4">
      <c r="A187" s="55" t="s">
        <v>10682</v>
      </c>
      <c r="B187" s="55" t="s">
        <v>10301</v>
      </c>
      <c r="C187" s="55" t="s">
        <v>10870</v>
      </c>
      <c r="D187" s="55" t="s">
        <v>10307</v>
      </c>
      <c r="E187" s="55" t="s">
        <v>10871</v>
      </c>
      <c r="F187" s="55">
        <v>1963726</v>
      </c>
      <c r="G187" s="55">
        <v>0.89712450607071414</v>
      </c>
      <c r="H187" s="55">
        <v>200</v>
      </c>
      <c r="I187" s="55">
        <v>724.3534612202393</v>
      </c>
      <c r="J187" s="92">
        <v>1.1676861868067039</v>
      </c>
      <c r="K187" s="55">
        <v>30</v>
      </c>
      <c r="L187" s="55">
        <v>2457.089869561456</v>
      </c>
      <c r="M187" s="55">
        <v>363.97881730162987</v>
      </c>
      <c r="N187" s="55">
        <v>8219979.275606934</v>
      </c>
      <c r="O187" s="55">
        <v>6007158.8304082518</v>
      </c>
      <c r="P187" s="55">
        <v>1512887.1856754562</v>
      </c>
      <c r="Q187" s="55">
        <v>699933.25952322735</v>
      </c>
      <c r="R187" s="55">
        <v>699933.25952322735</v>
      </c>
      <c r="S187" s="55">
        <v>0</v>
      </c>
      <c r="T187" s="55">
        <v>0</v>
      </c>
      <c r="U187" s="55">
        <v>5357408210.8208227</v>
      </c>
      <c r="V187" s="55">
        <v>0</v>
      </c>
      <c r="W187" s="55">
        <v>0</v>
      </c>
      <c r="X187" s="55">
        <v>0</v>
      </c>
      <c r="Y187" s="55">
        <v>1101.5286395791668</v>
      </c>
      <c r="Z187" s="55">
        <v>0</v>
      </c>
      <c r="AA187" s="55">
        <v>30.343</v>
      </c>
      <c r="AB187" s="55">
        <v>1073.0050000000001</v>
      </c>
      <c r="AC187" s="55">
        <v>-1.8193604208334733</v>
      </c>
      <c r="AD187" s="55">
        <v>377.1751783589275</v>
      </c>
      <c r="AE187" s="55">
        <v>4.302957594350695E-3</v>
      </c>
      <c r="AF187" s="55">
        <v>0</v>
      </c>
      <c r="AG187" s="55">
        <v>0</v>
      </c>
      <c r="AH187" s="55">
        <v>1.9202742710279852E-3</v>
      </c>
      <c r="AI187" s="55">
        <v>123.0003582294425</v>
      </c>
      <c r="AJ187" s="55">
        <v>254.16859689761935</v>
      </c>
      <c r="AK187" s="55">
        <v>0</v>
      </c>
      <c r="AL187" s="55">
        <v>0</v>
      </c>
      <c r="AM187" s="55">
        <v>0</v>
      </c>
      <c r="AN187" s="55">
        <v>-207.31196196196163</v>
      </c>
      <c r="AO187" s="55">
        <v>724.3534612202393</v>
      </c>
      <c r="AP187" s="55">
        <v>6.2232318653786802E-3</v>
      </c>
      <c r="AQ187" s="55">
        <v>4.302957594350695E-3</v>
      </c>
      <c r="AR187" s="55">
        <v>0</v>
      </c>
      <c r="AS187" s="55">
        <v>0</v>
      </c>
      <c r="AT187" s="55">
        <v>1.9202742710279852E-3</v>
      </c>
      <c r="AU187" s="55">
        <v>268.63612944170603</v>
      </c>
      <c r="AV187" s="55">
        <v>69.313041684627791</v>
      </c>
      <c r="AW187" s="55">
        <v>69.313041684627791</v>
      </c>
      <c r="AX187" s="55">
        <v>0</v>
      </c>
      <c r="AY187" s="55">
        <v>0</v>
      </c>
      <c r="AZ187" s="55">
        <v>42.083357430895489</v>
      </c>
      <c r="BA187" s="55">
        <v>0</v>
      </c>
      <c r="BB187" s="55">
        <v>17.534732262873121</v>
      </c>
      <c r="BC187" s="55">
        <v>24.548625168022365</v>
      </c>
      <c r="BD187" s="55">
        <v>0</v>
      </c>
      <c r="BE187" s="55">
        <v>157.23973032618275</v>
      </c>
      <c r="BF187" s="55">
        <v>55.171835202169383</v>
      </c>
      <c r="BG187" s="55">
        <v>0</v>
      </c>
      <c r="BH187" s="55">
        <v>102.06789512401336</v>
      </c>
      <c r="BI187" s="55">
        <v>0</v>
      </c>
      <c r="BJ187" s="55">
        <v>268.64235267357139</v>
      </c>
      <c r="BK187" s="55">
        <v>645.81753103249889</v>
      </c>
      <c r="BL187" s="55">
        <v>-465.8982803775728</v>
      </c>
      <c r="BM187" s="55">
        <v>1.1676861868067039</v>
      </c>
    </row>
    <row r="188" spans="1:65" x14ac:dyDescent="0.4">
      <c r="A188" s="15" t="s">
        <v>10682</v>
      </c>
      <c r="B188" s="15" t="s">
        <v>10301</v>
      </c>
      <c r="C188" s="15" t="s">
        <v>10626</v>
      </c>
      <c r="D188" s="15" t="s">
        <v>10302</v>
      </c>
      <c r="E188" s="15" t="s">
        <v>10872</v>
      </c>
      <c r="F188" s="15">
        <v>1353415</v>
      </c>
      <c r="G188" s="15">
        <v>0.89712450680948685</v>
      </c>
      <c r="H188" s="15">
        <v>200</v>
      </c>
      <c r="I188" s="119">
        <v>804.27630242538442</v>
      </c>
      <c r="J188" s="120">
        <v>0.70162381014712139</v>
      </c>
      <c r="K188" s="15">
        <v>30</v>
      </c>
      <c r="L188" s="15">
        <v>719.89725392397418</v>
      </c>
      <c r="M188" s="15">
        <v>96.433088322008786</v>
      </c>
      <c r="N188" s="15">
        <v>5665272.6808408685</v>
      </c>
      <c r="O188" s="15">
        <v>1058610.0205055843</v>
      </c>
      <c r="P188" s="15">
        <v>2140856.9749538074</v>
      </c>
      <c r="Q188" s="15">
        <v>2465805.6853814772</v>
      </c>
      <c r="R188" s="15">
        <v>451805.49629705935</v>
      </c>
      <c r="S188" s="15">
        <v>946747.79510421108</v>
      </c>
      <c r="T188" s="15">
        <v>1067252.3939802072</v>
      </c>
      <c r="U188" s="15">
        <v>0</v>
      </c>
      <c r="V188" s="15">
        <v>687965787.16151929</v>
      </c>
      <c r="W188" s="15">
        <v>0</v>
      </c>
      <c r="X188" s="15">
        <v>0</v>
      </c>
      <c r="Y188" s="15">
        <v>950.14104939344384</v>
      </c>
      <c r="Z188" s="15">
        <v>0</v>
      </c>
      <c r="AA188" s="15">
        <v>952.60500000000002</v>
      </c>
      <c r="AB188" s="15">
        <v>0</v>
      </c>
      <c r="AC188" s="15">
        <v>-2.463950606556168</v>
      </c>
      <c r="AD188" s="15">
        <v>145.86474696805942</v>
      </c>
      <c r="AE188" s="15">
        <v>1.1708659717452345E-3</v>
      </c>
      <c r="AF188" s="15">
        <v>0</v>
      </c>
      <c r="AG188" s="15">
        <v>0</v>
      </c>
      <c r="AH188" s="15">
        <v>1.8017760868404605E-3</v>
      </c>
      <c r="AI188" s="15">
        <v>101.46076874999996</v>
      </c>
      <c r="AJ188" s="15">
        <v>44.401005576000891</v>
      </c>
      <c r="AK188" s="15">
        <v>0</v>
      </c>
      <c r="AL188" s="15">
        <v>0</v>
      </c>
      <c r="AM188" s="15">
        <v>0</v>
      </c>
      <c r="AN188" s="15">
        <v>-59.199541817087272</v>
      </c>
      <c r="AO188" s="15">
        <v>804.27630242538442</v>
      </c>
      <c r="AP188" s="15">
        <v>2.9726420585856951E-3</v>
      </c>
      <c r="AQ188" s="15">
        <v>1.1708659717452345E-3</v>
      </c>
      <c r="AR188" s="15">
        <v>0</v>
      </c>
      <c r="AS188" s="15">
        <v>0</v>
      </c>
      <c r="AT188" s="15">
        <v>1.8017760868404605E-3</v>
      </c>
      <c r="AU188" s="15">
        <v>218.4316841086187</v>
      </c>
      <c r="AV188" s="15">
        <v>47.591254131535791</v>
      </c>
      <c r="AW188" s="15">
        <v>47.591254131535791</v>
      </c>
      <c r="AX188" s="15">
        <v>0</v>
      </c>
      <c r="AY188" s="15">
        <v>0</v>
      </c>
      <c r="AZ188" s="15">
        <v>35.089376312557974</v>
      </c>
      <c r="BA188" s="15">
        <v>0</v>
      </c>
      <c r="BB188" s="15">
        <v>14.620573463565822</v>
      </c>
      <c r="BC188" s="15">
        <v>20.468802848992151</v>
      </c>
      <c r="BD188" s="15">
        <v>0</v>
      </c>
      <c r="BE188" s="15">
        <v>135.75105366452493</v>
      </c>
      <c r="BF188" s="15">
        <v>47.631948654219279</v>
      </c>
      <c r="BG188" s="15">
        <v>0</v>
      </c>
      <c r="BH188" s="15">
        <v>88.11910501030566</v>
      </c>
      <c r="BI188" s="15">
        <v>0</v>
      </c>
      <c r="BJ188" s="15">
        <v>218.43465675067728</v>
      </c>
      <c r="BK188" s="15">
        <v>364.2994037187367</v>
      </c>
      <c r="BL188" s="15">
        <v>-230.02220613401448</v>
      </c>
      <c r="BM188" s="15">
        <v>0.70162381014712139</v>
      </c>
    </row>
    <row r="189" spans="1:65" s="56" customFormat="1" x14ac:dyDescent="0.4">
      <c r="A189" s="15" t="s">
        <v>10682</v>
      </c>
      <c r="B189" s="15" t="s">
        <v>10301</v>
      </c>
      <c r="C189" s="15" t="s">
        <v>10626</v>
      </c>
      <c r="D189" s="15" t="s">
        <v>10303</v>
      </c>
      <c r="E189" s="15" t="s">
        <v>10873</v>
      </c>
      <c r="F189" s="15">
        <v>1353415</v>
      </c>
      <c r="G189" s="15">
        <v>0.89712450680948685</v>
      </c>
      <c r="H189" s="15">
        <v>200</v>
      </c>
      <c r="I189" s="119">
        <v>848.68027536771956</v>
      </c>
      <c r="J189" s="120">
        <v>0.61258996848244751</v>
      </c>
      <c r="K189" s="15">
        <v>30</v>
      </c>
      <c r="L189" s="15">
        <v>719.89725392397418</v>
      </c>
      <c r="M189" s="15">
        <v>96.433088322008786</v>
      </c>
      <c r="N189" s="15">
        <v>5665272.6808408685</v>
      </c>
      <c r="O189" s="15">
        <v>1058610.0205055843</v>
      </c>
      <c r="P189" s="15">
        <v>2140856.9749538074</v>
      </c>
      <c r="Q189" s="15">
        <v>2465805.6853814772</v>
      </c>
      <c r="R189" s="15">
        <v>451805.49629705935</v>
      </c>
      <c r="S189" s="15">
        <v>946747.79510421108</v>
      </c>
      <c r="T189" s="15">
        <v>1067252.3939802072</v>
      </c>
      <c r="U189" s="15">
        <v>0</v>
      </c>
      <c r="V189" s="15">
        <v>0</v>
      </c>
      <c r="W189" s="15">
        <v>171991446.79037982</v>
      </c>
      <c r="X189" s="15">
        <v>0</v>
      </c>
      <c r="Y189" s="15">
        <v>950.14104939344384</v>
      </c>
      <c r="Z189" s="15">
        <v>0</v>
      </c>
      <c r="AA189" s="15">
        <v>952.60500000000002</v>
      </c>
      <c r="AB189" s="15">
        <v>0</v>
      </c>
      <c r="AC189" s="15">
        <v>-2.463950606556168</v>
      </c>
      <c r="AD189" s="15">
        <v>101.46077402572428</v>
      </c>
      <c r="AE189" s="15">
        <v>-1.3304627947115402E-3</v>
      </c>
      <c r="AF189" s="15">
        <v>1.0704771958016497E-4</v>
      </c>
      <c r="AG189" s="15">
        <v>2.311108652221908E-4</v>
      </c>
      <c r="AH189" s="15">
        <v>0</v>
      </c>
      <c r="AI189" s="15">
        <v>101.46076874999996</v>
      </c>
      <c r="AJ189" s="15">
        <v>0</v>
      </c>
      <c r="AK189" s="15">
        <v>9.975799343233979E-4</v>
      </c>
      <c r="AL189" s="15">
        <v>0</v>
      </c>
      <c r="AM189" s="15">
        <v>0</v>
      </c>
      <c r="AN189" s="15">
        <v>-41.178087643377999</v>
      </c>
      <c r="AO189" s="15">
        <v>848.68027536771956</v>
      </c>
      <c r="AP189" s="15">
        <v>0</v>
      </c>
      <c r="AQ189" s="15">
        <v>0</v>
      </c>
      <c r="AR189" s="15">
        <v>0</v>
      </c>
      <c r="AS189" s="15">
        <v>0</v>
      </c>
      <c r="AT189" s="15">
        <v>0</v>
      </c>
      <c r="AU189" s="15">
        <v>218.43224911346198</v>
      </c>
      <c r="AV189" s="15">
        <v>47.591254131535791</v>
      </c>
      <c r="AW189" s="15">
        <v>47.591254131535791</v>
      </c>
      <c r="AX189" s="15">
        <v>0</v>
      </c>
      <c r="AY189" s="15">
        <v>0</v>
      </c>
      <c r="AZ189" s="15">
        <v>35.089376312557974</v>
      </c>
      <c r="BA189" s="15">
        <v>0</v>
      </c>
      <c r="BB189" s="15">
        <v>14.620573463565822</v>
      </c>
      <c r="BC189" s="15">
        <v>20.468802848992151</v>
      </c>
      <c r="BD189" s="15">
        <v>0</v>
      </c>
      <c r="BE189" s="15">
        <v>135.75161866936821</v>
      </c>
      <c r="BF189" s="15">
        <v>47.632146901532707</v>
      </c>
      <c r="BG189" s="15">
        <v>0</v>
      </c>
      <c r="BH189" s="15">
        <v>88.119471767835492</v>
      </c>
      <c r="BI189" s="15">
        <v>0</v>
      </c>
      <c r="BJ189" s="15">
        <v>218.43224911346198</v>
      </c>
      <c r="BK189" s="55">
        <v>319.89302313918625</v>
      </c>
      <c r="BL189" s="55">
        <v>-211.99977481522407</v>
      </c>
      <c r="BM189" s="55">
        <v>0.61258996848244751</v>
      </c>
    </row>
    <row r="190" spans="1:65" x14ac:dyDescent="0.4">
      <c r="A190" s="15" t="s">
        <v>10682</v>
      </c>
      <c r="B190" s="15" t="s">
        <v>10301</v>
      </c>
      <c r="C190" s="15" t="s">
        <v>10626</v>
      </c>
      <c r="D190" s="15" t="s">
        <v>10304</v>
      </c>
      <c r="E190" s="15" t="s">
        <v>10874</v>
      </c>
      <c r="F190" s="15">
        <v>1353415</v>
      </c>
      <c r="G190" s="15">
        <v>0.89712450680948685</v>
      </c>
      <c r="H190" s="15">
        <v>200</v>
      </c>
      <c r="I190" s="119">
        <v>848.68061352630434</v>
      </c>
      <c r="J190" s="120">
        <v>0.61258938272199148</v>
      </c>
      <c r="K190" s="15">
        <v>30</v>
      </c>
      <c r="L190" s="15">
        <v>719.89725392397418</v>
      </c>
      <c r="M190" s="15">
        <v>96.433088322008786</v>
      </c>
      <c r="N190" s="15">
        <v>5665272.6808408685</v>
      </c>
      <c r="O190" s="15">
        <v>1058610.0205055843</v>
      </c>
      <c r="P190" s="15">
        <v>2140856.9749538074</v>
      </c>
      <c r="Q190" s="15">
        <v>2465805.6853814772</v>
      </c>
      <c r="R190" s="15">
        <v>451805.49629705935</v>
      </c>
      <c r="S190" s="15">
        <v>946747.79510421108</v>
      </c>
      <c r="T190" s="15">
        <v>1067252.3939802072</v>
      </c>
      <c r="U190" s="15">
        <v>0</v>
      </c>
      <c r="V190" s="15">
        <v>0</v>
      </c>
      <c r="W190" s="15">
        <v>0</v>
      </c>
      <c r="X190" s="15">
        <v>171991446790.37982</v>
      </c>
      <c r="Y190" s="15">
        <v>950.14104939344384</v>
      </c>
      <c r="Z190" s="15">
        <v>0</v>
      </c>
      <c r="AA190" s="15">
        <v>952.60500000000002</v>
      </c>
      <c r="AB190" s="15">
        <v>0</v>
      </c>
      <c r="AC190" s="15">
        <v>-2.463950606556168</v>
      </c>
      <c r="AD190" s="15">
        <v>101.46043586713949</v>
      </c>
      <c r="AE190" s="15">
        <v>-1.3304627947115402E-3</v>
      </c>
      <c r="AF190" s="15">
        <v>0</v>
      </c>
      <c r="AG190" s="15">
        <v>0</v>
      </c>
      <c r="AH190" s="15">
        <v>0</v>
      </c>
      <c r="AI190" s="15">
        <v>101.46076874999996</v>
      </c>
      <c r="AJ190" s="15">
        <v>0</v>
      </c>
      <c r="AK190" s="15">
        <v>9.975799343233979E-4</v>
      </c>
      <c r="AL190" s="15">
        <v>0</v>
      </c>
      <c r="AM190" s="15">
        <v>0</v>
      </c>
      <c r="AN190" s="15">
        <v>-41.177950400941455</v>
      </c>
      <c r="AO190" s="15">
        <v>848.68061352630434</v>
      </c>
      <c r="AP190" s="15">
        <v>0</v>
      </c>
      <c r="AQ190" s="15">
        <v>0</v>
      </c>
      <c r="AR190" s="15">
        <v>0</v>
      </c>
      <c r="AS190" s="15">
        <v>0</v>
      </c>
      <c r="AT190" s="15">
        <v>0</v>
      </c>
      <c r="AU190" s="15">
        <v>218.43229730106032</v>
      </c>
      <c r="AV190" s="15">
        <v>47.591254131535791</v>
      </c>
      <c r="AW190" s="15">
        <v>47.591254131535791</v>
      </c>
      <c r="AX190" s="15">
        <v>0</v>
      </c>
      <c r="AY190" s="15">
        <v>0</v>
      </c>
      <c r="AZ190" s="15">
        <v>35.089376312557974</v>
      </c>
      <c r="BA190" s="15">
        <v>0</v>
      </c>
      <c r="BB190" s="15">
        <v>14.620573463565822</v>
      </c>
      <c r="BC190" s="15">
        <v>20.468802848992151</v>
      </c>
      <c r="BD190" s="15">
        <v>0</v>
      </c>
      <c r="BE190" s="15">
        <v>135.75166685696655</v>
      </c>
      <c r="BF190" s="15">
        <v>47.632163809461943</v>
      </c>
      <c r="BG190" s="15">
        <v>0</v>
      </c>
      <c r="BH190" s="15">
        <v>88.119503047504594</v>
      </c>
      <c r="BI190" s="15">
        <v>0</v>
      </c>
      <c r="BJ190" s="15">
        <v>218.43229730106032</v>
      </c>
      <c r="BK190" s="15">
        <v>319.89273316819981</v>
      </c>
      <c r="BL190" s="15">
        <v>-211.99965712983476</v>
      </c>
      <c r="BM190" s="15">
        <v>0.61258938272199148</v>
      </c>
    </row>
    <row r="191" spans="1:65" x14ac:dyDescent="0.4">
      <c r="A191" s="15" t="s">
        <v>10682</v>
      </c>
      <c r="B191" s="15" t="s">
        <v>10301</v>
      </c>
      <c r="C191" s="15" t="s">
        <v>10626</v>
      </c>
      <c r="D191" s="15" t="s">
        <v>10305</v>
      </c>
      <c r="E191" s="15" t="s">
        <v>10875</v>
      </c>
      <c r="F191" s="15">
        <v>1353415</v>
      </c>
      <c r="G191" s="15">
        <v>0.89712450680948685</v>
      </c>
      <c r="H191" s="15">
        <v>200</v>
      </c>
      <c r="I191" s="119">
        <v>848.70160200834721</v>
      </c>
      <c r="J191" s="120">
        <v>0.59678099947002095</v>
      </c>
      <c r="K191" s="15">
        <v>30</v>
      </c>
      <c r="L191" s="15">
        <v>489.39447044041208</v>
      </c>
      <c r="M191" s="15">
        <v>77.049579928572484</v>
      </c>
      <c r="N191" s="15">
        <v>5665272.6808408685</v>
      </c>
      <c r="O191" s="15">
        <v>798718.46890834998</v>
      </c>
      <c r="P191" s="15">
        <v>2233675.386238534</v>
      </c>
      <c r="Q191" s="15">
        <v>2632878.8256939854</v>
      </c>
      <c r="R191" s="15">
        <v>451805.49629705935</v>
      </c>
      <c r="S191" s="15">
        <v>1113820.9354167189</v>
      </c>
      <c r="T191" s="15">
        <v>1067252.3939802072</v>
      </c>
      <c r="U191" s="15">
        <v>0</v>
      </c>
      <c r="V191" s="15">
        <v>0</v>
      </c>
      <c r="W191" s="15">
        <v>0</v>
      </c>
      <c r="X191" s="15">
        <v>0</v>
      </c>
      <c r="Y191" s="15">
        <v>950.16132354082686</v>
      </c>
      <c r="Z191" s="15">
        <v>0</v>
      </c>
      <c r="AA191" s="15">
        <v>952.60500000000002</v>
      </c>
      <c r="AB191" s="15">
        <v>0</v>
      </c>
      <c r="AC191" s="15">
        <v>-2.4436764591731204</v>
      </c>
      <c r="AD191" s="15">
        <v>101.45972153247965</v>
      </c>
      <c r="AE191" s="15">
        <v>-1.0472175203360809E-3</v>
      </c>
      <c r="AF191" s="15">
        <v>0</v>
      </c>
      <c r="AG191" s="15">
        <v>0</v>
      </c>
      <c r="AH191" s="15">
        <v>0</v>
      </c>
      <c r="AI191" s="15">
        <v>101.46076874999996</v>
      </c>
      <c r="AJ191" s="15">
        <v>0</v>
      </c>
      <c r="AK191" s="15">
        <v>0</v>
      </c>
      <c r="AL191" s="15">
        <v>0</v>
      </c>
      <c r="AM191" s="15">
        <v>0</v>
      </c>
      <c r="AN191" s="15">
        <v>-41.519294074965678</v>
      </c>
      <c r="AO191" s="15">
        <v>848.70160200834721</v>
      </c>
      <c r="AP191" s="15">
        <v>0</v>
      </c>
      <c r="AQ191" s="15">
        <v>0</v>
      </c>
      <c r="AR191" s="15">
        <v>0</v>
      </c>
      <c r="AS191" s="15">
        <v>0</v>
      </c>
      <c r="AT191" s="15">
        <v>0</v>
      </c>
      <c r="AU191" s="15">
        <v>205.02926876586969</v>
      </c>
      <c r="AV191" s="15">
        <v>45.805441608863688</v>
      </c>
      <c r="AW191" s="15">
        <v>45.805441608863688</v>
      </c>
      <c r="AX191" s="15">
        <v>0</v>
      </c>
      <c r="AY191" s="15">
        <v>0</v>
      </c>
      <c r="AZ191" s="15">
        <v>23.473413363498853</v>
      </c>
      <c r="BA191" s="15">
        <v>0</v>
      </c>
      <c r="BB191" s="15">
        <v>9.7805889014578558</v>
      </c>
      <c r="BC191" s="15">
        <v>13.692824462040997</v>
      </c>
      <c r="BD191" s="15">
        <v>0</v>
      </c>
      <c r="BE191" s="15">
        <v>135.75041379350716</v>
      </c>
      <c r="BF191" s="15">
        <v>47.631724138072691</v>
      </c>
      <c r="BG191" s="15">
        <v>0</v>
      </c>
      <c r="BH191" s="15">
        <v>88.11868965543448</v>
      </c>
      <c r="BI191" s="15">
        <v>0</v>
      </c>
      <c r="BJ191" s="15">
        <v>205.02926876586969</v>
      </c>
      <c r="BK191" s="15">
        <v>306.48899029834934</v>
      </c>
      <c r="BL191" s="15">
        <v>-208.26515918139697</v>
      </c>
      <c r="BM191" s="15">
        <v>0.59678099947002095</v>
      </c>
    </row>
    <row r="192" spans="1:65" x14ac:dyDescent="0.4">
      <c r="A192" s="15" t="s">
        <v>10682</v>
      </c>
      <c r="B192" s="15" t="s">
        <v>10301</v>
      </c>
      <c r="C192" s="15" t="s">
        <v>10626</v>
      </c>
      <c r="D192" s="15" t="s">
        <v>10306</v>
      </c>
      <c r="E192" s="15" t="s">
        <v>10876</v>
      </c>
      <c r="F192" s="15">
        <v>1353415</v>
      </c>
      <c r="G192" s="15">
        <v>0.89712450680948685</v>
      </c>
      <c r="H192" s="15">
        <v>200</v>
      </c>
      <c r="I192" s="119">
        <v>848.60132759694932</v>
      </c>
      <c r="J192" s="120">
        <v>0.60754057955422891</v>
      </c>
      <c r="K192" s="15">
        <v>30</v>
      </c>
      <c r="L192" s="15">
        <v>780.08725504170047</v>
      </c>
      <c r="M192" s="15">
        <v>99.804196659140956</v>
      </c>
      <c r="N192" s="15">
        <v>5665272.6808408685</v>
      </c>
      <c r="O192" s="15">
        <v>1298551.3143572379</v>
      </c>
      <c r="P192" s="15">
        <v>1908063.838907205</v>
      </c>
      <c r="Q192" s="15">
        <v>2458657.527576427</v>
      </c>
      <c r="R192" s="15">
        <v>451805.49629705935</v>
      </c>
      <c r="S192" s="15">
        <v>0</v>
      </c>
      <c r="T192" s="15">
        <v>2006852.0312793674</v>
      </c>
      <c r="U192" s="15">
        <v>0</v>
      </c>
      <c r="V192" s="15">
        <v>0</v>
      </c>
      <c r="W192" s="15">
        <v>0</v>
      </c>
      <c r="X192" s="15">
        <v>0</v>
      </c>
      <c r="Y192" s="15">
        <v>950.06008035528885</v>
      </c>
      <c r="Z192" s="15">
        <v>0</v>
      </c>
      <c r="AA192" s="15">
        <v>952.60500000000002</v>
      </c>
      <c r="AB192" s="15">
        <v>0</v>
      </c>
      <c r="AC192" s="15">
        <v>-2.5449196447111473</v>
      </c>
      <c r="AD192" s="15">
        <v>101.45875275833953</v>
      </c>
      <c r="AE192" s="15">
        <v>-2.0159916604389591E-3</v>
      </c>
      <c r="AF192" s="15">
        <v>0</v>
      </c>
      <c r="AG192" s="15">
        <v>0</v>
      </c>
      <c r="AH192" s="15">
        <v>0</v>
      </c>
      <c r="AI192" s="15">
        <v>101.46076874999996</v>
      </c>
      <c r="AJ192" s="15">
        <v>0</v>
      </c>
      <c r="AK192" s="15">
        <v>0</v>
      </c>
      <c r="AL192" s="15">
        <v>0</v>
      </c>
      <c r="AM192" s="15">
        <v>0</v>
      </c>
      <c r="AN192" s="15">
        <v>-39.8671733974749</v>
      </c>
      <c r="AO192" s="15">
        <v>848.60132759694932</v>
      </c>
      <c r="AP192" s="15">
        <v>0</v>
      </c>
      <c r="AQ192" s="15">
        <v>0</v>
      </c>
      <c r="AR192" s="15">
        <v>0</v>
      </c>
      <c r="AS192" s="15">
        <v>0</v>
      </c>
      <c r="AT192" s="15">
        <v>0</v>
      </c>
      <c r="AU192" s="15">
        <v>214.1009896203991</v>
      </c>
      <c r="AV192" s="15">
        <v>52.422564838561776</v>
      </c>
      <c r="AW192" s="15">
        <v>52.422564838561776</v>
      </c>
      <c r="AX192" s="15">
        <v>0</v>
      </c>
      <c r="AY192" s="15">
        <v>0</v>
      </c>
      <c r="AZ192" s="15">
        <v>25.926322960097561</v>
      </c>
      <c r="BA192" s="15">
        <v>0</v>
      </c>
      <c r="BB192" s="15">
        <v>10.802634566707317</v>
      </c>
      <c r="BC192" s="15">
        <v>15.123688393390244</v>
      </c>
      <c r="BD192" s="15">
        <v>0</v>
      </c>
      <c r="BE192" s="15">
        <v>135.75210182173976</v>
      </c>
      <c r="BF192" s="15">
        <v>47.63231642868061</v>
      </c>
      <c r="BG192" s="15">
        <v>0</v>
      </c>
      <c r="BH192" s="15">
        <v>88.119785393059132</v>
      </c>
      <c r="BI192" s="15">
        <v>0</v>
      </c>
      <c r="BJ192" s="15">
        <v>214.1009896203991</v>
      </c>
      <c r="BK192" s="15">
        <v>315.55974237873863</v>
      </c>
      <c r="BL192" s="15">
        <v>-203.58389825791753</v>
      </c>
      <c r="BM192" s="15">
        <v>0.60754057955422891</v>
      </c>
    </row>
    <row r="193" spans="1:65" x14ac:dyDescent="0.4">
      <c r="A193" s="15" t="s">
        <v>10682</v>
      </c>
      <c r="B193" s="15" t="s">
        <v>10301</v>
      </c>
      <c r="C193" s="15" t="s">
        <v>10626</v>
      </c>
      <c r="D193" s="15" t="s">
        <v>10307</v>
      </c>
      <c r="E193" s="15" t="s">
        <v>10877</v>
      </c>
      <c r="F193" s="15">
        <v>1353415</v>
      </c>
      <c r="G193" s="15">
        <v>0.89712450680948685</v>
      </c>
      <c r="H193" s="15">
        <v>200</v>
      </c>
      <c r="I193" s="119">
        <v>572.33503840005608</v>
      </c>
      <c r="J193" s="120">
        <v>1.4515508177353171</v>
      </c>
      <c r="K193" s="15">
        <v>30</v>
      </c>
      <c r="L193" s="15">
        <v>1904.5505445501963</v>
      </c>
      <c r="M193" s="15">
        <v>171.59405574914391</v>
      </c>
      <c r="N193" s="15">
        <v>5665272.6808408685</v>
      </c>
      <c r="O193" s="15">
        <v>4140179.8800607119</v>
      </c>
      <c r="P193" s="15">
        <v>1042693.436908762</v>
      </c>
      <c r="Q193" s="15">
        <v>482399.36387139588</v>
      </c>
      <c r="R193" s="15">
        <v>482399.36387139588</v>
      </c>
      <c r="S193" s="15">
        <v>0</v>
      </c>
      <c r="T193" s="15">
        <v>0</v>
      </c>
      <c r="U193" s="15">
        <v>3692366776.0262976</v>
      </c>
      <c r="V193" s="15">
        <v>0</v>
      </c>
      <c r="W193" s="15">
        <v>0</v>
      </c>
      <c r="X193" s="15">
        <v>0</v>
      </c>
      <c r="Y193" s="15">
        <v>949.51298303200792</v>
      </c>
      <c r="Z193" s="15">
        <v>0</v>
      </c>
      <c r="AA193" s="15">
        <v>952.60500000000002</v>
      </c>
      <c r="AB193" s="15">
        <v>0</v>
      </c>
      <c r="AC193" s="15">
        <v>-3.0920169679920884</v>
      </c>
      <c r="AD193" s="15">
        <v>377.17794463195185</v>
      </c>
      <c r="AE193" s="15">
        <v>4.3029912633933461E-3</v>
      </c>
      <c r="AF193" s="15">
        <v>0</v>
      </c>
      <c r="AG193" s="15">
        <v>0</v>
      </c>
      <c r="AH193" s="15">
        <v>2.7862266052900947E-3</v>
      </c>
      <c r="AI193" s="15">
        <v>123.00035822944251</v>
      </c>
      <c r="AJ193" s="15">
        <v>254.17049718464057</v>
      </c>
      <c r="AK193" s="15">
        <v>0</v>
      </c>
      <c r="AL193" s="15">
        <v>0</v>
      </c>
      <c r="AM193" s="15">
        <v>0</v>
      </c>
      <c r="AN193" s="15">
        <v>-121.98443557600714</v>
      </c>
      <c r="AO193" s="15">
        <v>572.33503840005608</v>
      </c>
      <c r="AP193" s="15">
        <v>7.0892178686834412E-3</v>
      </c>
      <c r="AQ193" s="15">
        <v>4.3029912633933461E-3</v>
      </c>
      <c r="AR193" s="15">
        <v>0</v>
      </c>
      <c r="AS193" s="15">
        <v>0</v>
      </c>
      <c r="AT193" s="15">
        <v>2.7862266052900947E-3</v>
      </c>
      <c r="AU193" s="15">
        <v>253.58835915835493</v>
      </c>
      <c r="AV193" s="15">
        <v>79.029826341051759</v>
      </c>
      <c r="AW193" s="15">
        <v>79.029826341051759</v>
      </c>
      <c r="AX193" s="15">
        <v>0</v>
      </c>
      <c r="AY193" s="15">
        <v>0</v>
      </c>
      <c r="AZ193" s="15">
        <v>38.802578946944465</v>
      </c>
      <c r="BA193" s="15">
        <v>0</v>
      </c>
      <c r="BB193" s="15">
        <v>16.167741227893529</v>
      </c>
      <c r="BC193" s="15">
        <v>22.634837719050939</v>
      </c>
      <c r="BD193" s="15">
        <v>0</v>
      </c>
      <c r="BE193" s="15">
        <v>135.7559538703587</v>
      </c>
      <c r="BF193" s="15">
        <v>47.63366802468726</v>
      </c>
      <c r="BG193" s="15">
        <v>0</v>
      </c>
      <c r="BH193" s="15">
        <v>88.122285845671428</v>
      </c>
      <c r="BI193" s="15">
        <v>0</v>
      </c>
      <c r="BJ193" s="15">
        <v>253.59544837622363</v>
      </c>
      <c r="BK193" s="15">
        <v>630.7733930081755</v>
      </c>
      <c r="BL193" s="15">
        <v>-269.68332276574404</v>
      </c>
      <c r="BM193" s="15">
        <v>1.4515508177353171</v>
      </c>
    </row>
    <row r="194" spans="1:65" x14ac:dyDescent="0.4">
      <c r="A194" s="15" t="s">
        <v>10682</v>
      </c>
      <c r="B194" s="15" t="s">
        <v>10301</v>
      </c>
      <c r="C194" s="15" t="s">
        <v>10626</v>
      </c>
      <c r="D194" s="15" t="s">
        <v>10308</v>
      </c>
      <c r="E194" s="15" t="s">
        <v>10878</v>
      </c>
      <c r="F194" s="15">
        <v>1353415</v>
      </c>
      <c r="G194" s="15">
        <v>0.89712450680948685</v>
      </c>
      <c r="H194" s="15">
        <v>200</v>
      </c>
      <c r="I194" s="119">
        <v>572.33503840005608</v>
      </c>
      <c r="J194" s="120">
        <v>1.4515508177353171</v>
      </c>
      <c r="K194" s="15">
        <v>30</v>
      </c>
      <c r="L194" s="15">
        <v>1904.5505445501963</v>
      </c>
      <c r="M194" s="15">
        <v>171.59405574914391</v>
      </c>
      <c r="N194" s="15">
        <v>5665272.6808408685</v>
      </c>
      <c r="O194" s="15">
        <v>4140179.8800607119</v>
      </c>
      <c r="P194" s="15">
        <v>1042693.436908762</v>
      </c>
      <c r="Q194" s="15">
        <v>482399.36387139588</v>
      </c>
      <c r="R194" s="15">
        <v>482399.36387139588</v>
      </c>
      <c r="S194" s="15">
        <v>0</v>
      </c>
      <c r="T194" s="15">
        <v>0</v>
      </c>
      <c r="U194" s="15">
        <v>3692366776.0262976</v>
      </c>
      <c r="V194" s="15">
        <v>0</v>
      </c>
      <c r="W194" s="15">
        <v>0</v>
      </c>
      <c r="X194" s="15">
        <v>0</v>
      </c>
      <c r="Y194" s="15">
        <v>949.51298303200792</v>
      </c>
      <c r="Z194" s="15">
        <v>0</v>
      </c>
      <c r="AA194" s="15">
        <v>952.60500000000002</v>
      </c>
      <c r="AB194" s="15">
        <v>0</v>
      </c>
      <c r="AC194" s="15">
        <v>-3.0920169679920884</v>
      </c>
      <c r="AD194" s="15">
        <v>377.17794463195185</v>
      </c>
      <c r="AE194" s="15">
        <v>4.3029912633933461E-3</v>
      </c>
      <c r="AF194" s="15">
        <v>0</v>
      </c>
      <c r="AG194" s="15">
        <v>0</v>
      </c>
      <c r="AH194" s="15">
        <v>2.7862266052900947E-3</v>
      </c>
      <c r="AI194" s="15">
        <v>123.00035822944251</v>
      </c>
      <c r="AJ194" s="15">
        <v>254.17049718464057</v>
      </c>
      <c r="AK194" s="15">
        <v>0</v>
      </c>
      <c r="AL194" s="15">
        <v>0</v>
      </c>
      <c r="AM194" s="15">
        <v>0</v>
      </c>
      <c r="AN194" s="15">
        <v>-121.98443557600714</v>
      </c>
      <c r="AO194" s="15">
        <v>572.33503840005608</v>
      </c>
      <c r="AP194" s="15">
        <v>7.0892178686834412E-3</v>
      </c>
      <c r="AQ194" s="15">
        <v>4.3029912633933461E-3</v>
      </c>
      <c r="AR194" s="15">
        <v>0</v>
      </c>
      <c r="AS194" s="15">
        <v>0</v>
      </c>
      <c r="AT194" s="15">
        <v>2.7862266052900947E-3</v>
      </c>
      <c r="AU194" s="15">
        <v>253.58835915835493</v>
      </c>
      <c r="AV194" s="15">
        <v>79.029826341051759</v>
      </c>
      <c r="AW194" s="15">
        <v>79.029826341051759</v>
      </c>
      <c r="AX194" s="15">
        <v>0</v>
      </c>
      <c r="AY194" s="15">
        <v>0</v>
      </c>
      <c r="AZ194" s="15">
        <v>38.802578946944465</v>
      </c>
      <c r="BA194" s="15">
        <v>0</v>
      </c>
      <c r="BB194" s="15">
        <v>16.167741227893529</v>
      </c>
      <c r="BC194" s="15">
        <v>22.634837719050939</v>
      </c>
      <c r="BD194" s="15">
        <v>0</v>
      </c>
      <c r="BE194" s="15">
        <v>135.7559538703587</v>
      </c>
      <c r="BF194" s="15">
        <v>47.63366802468726</v>
      </c>
      <c r="BG194" s="15">
        <v>0</v>
      </c>
      <c r="BH194" s="15">
        <v>88.122285845671428</v>
      </c>
      <c r="BI194" s="15">
        <v>0</v>
      </c>
      <c r="BJ194" s="15">
        <v>253.59544837622363</v>
      </c>
      <c r="BK194" s="15">
        <v>630.7733930081755</v>
      </c>
      <c r="BL194" s="15">
        <v>-269.68332276574404</v>
      </c>
      <c r="BM194" s="15">
        <v>1.4515508177353171</v>
      </c>
    </row>
    <row r="195" spans="1:65" s="56" customFormat="1" x14ac:dyDescent="0.4">
      <c r="A195" s="55" t="s">
        <v>10682</v>
      </c>
      <c r="B195" s="55" t="s">
        <v>10301</v>
      </c>
      <c r="C195" s="55" t="s">
        <v>10879</v>
      </c>
      <c r="D195" s="55" t="s">
        <v>10307</v>
      </c>
      <c r="E195" s="55" t="s">
        <v>10880</v>
      </c>
      <c r="F195" s="55">
        <v>1353415</v>
      </c>
      <c r="G195" s="55">
        <v>0.89712450680948685</v>
      </c>
      <c r="H195" s="55">
        <v>200</v>
      </c>
      <c r="I195" s="55">
        <v>572.33503840005608</v>
      </c>
      <c r="J195" s="92">
        <v>1.4515508177353171</v>
      </c>
      <c r="K195" s="55">
        <v>30</v>
      </c>
      <c r="L195" s="55">
        <v>1904.5505445501963</v>
      </c>
      <c r="M195" s="55">
        <v>171.59405574914391</v>
      </c>
      <c r="N195" s="55">
        <v>5665272.6808408685</v>
      </c>
      <c r="O195" s="55">
        <v>4140179.8800607119</v>
      </c>
      <c r="P195" s="55">
        <v>1042693.436908762</v>
      </c>
      <c r="Q195" s="55">
        <v>482399.36387139588</v>
      </c>
      <c r="R195" s="55">
        <v>482399.36387139588</v>
      </c>
      <c r="S195" s="55">
        <v>0</v>
      </c>
      <c r="T195" s="55">
        <v>0</v>
      </c>
      <c r="U195" s="55">
        <v>3692366776.0262976</v>
      </c>
      <c r="V195" s="55">
        <v>0</v>
      </c>
      <c r="W195" s="55">
        <v>0</v>
      </c>
      <c r="X195" s="55">
        <v>0</v>
      </c>
      <c r="Y195" s="55">
        <v>949.51298303200792</v>
      </c>
      <c r="Z195" s="55">
        <v>0</v>
      </c>
      <c r="AA195" s="55">
        <v>952.60500000000002</v>
      </c>
      <c r="AB195" s="55">
        <v>0</v>
      </c>
      <c r="AC195" s="55">
        <v>-3.0920169679920884</v>
      </c>
      <c r="AD195" s="55">
        <v>377.17794463195185</v>
      </c>
      <c r="AE195" s="55">
        <v>4.3029912633933461E-3</v>
      </c>
      <c r="AF195" s="55">
        <v>0</v>
      </c>
      <c r="AG195" s="55">
        <v>0</v>
      </c>
      <c r="AH195" s="55">
        <v>2.7862266052900947E-3</v>
      </c>
      <c r="AI195" s="55">
        <v>123.00035822944251</v>
      </c>
      <c r="AJ195" s="55">
        <v>254.17049718464057</v>
      </c>
      <c r="AK195" s="55">
        <v>0</v>
      </c>
      <c r="AL195" s="55">
        <v>0</v>
      </c>
      <c r="AM195" s="55">
        <v>0</v>
      </c>
      <c r="AN195" s="55">
        <v>-121.98443557600714</v>
      </c>
      <c r="AO195" s="55">
        <v>572.33503840005608</v>
      </c>
      <c r="AP195" s="55">
        <v>7.0892178686834412E-3</v>
      </c>
      <c r="AQ195" s="55">
        <v>4.3029912633933461E-3</v>
      </c>
      <c r="AR195" s="55">
        <v>0</v>
      </c>
      <c r="AS195" s="55">
        <v>0</v>
      </c>
      <c r="AT195" s="55">
        <v>2.7862266052900947E-3</v>
      </c>
      <c r="AU195" s="55">
        <v>253.58835915835493</v>
      </c>
      <c r="AV195" s="55">
        <v>79.029826341051759</v>
      </c>
      <c r="AW195" s="55">
        <v>79.029826341051759</v>
      </c>
      <c r="AX195" s="55">
        <v>0</v>
      </c>
      <c r="AY195" s="55">
        <v>0</v>
      </c>
      <c r="AZ195" s="55">
        <v>38.802578946944465</v>
      </c>
      <c r="BA195" s="55">
        <v>0</v>
      </c>
      <c r="BB195" s="55">
        <v>16.167741227893529</v>
      </c>
      <c r="BC195" s="55">
        <v>22.634837719050939</v>
      </c>
      <c r="BD195" s="55">
        <v>0</v>
      </c>
      <c r="BE195" s="55">
        <v>135.7559538703587</v>
      </c>
      <c r="BF195" s="55">
        <v>47.63366802468726</v>
      </c>
      <c r="BG195" s="55">
        <v>0</v>
      </c>
      <c r="BH195" s="55">
        <v>88.122285845671428</v>
      </c>
      <c r="BI195" s="55">
        <v>0</v>
      </c>
      <c r="BJ195" s="55">
        <v>253.59544837622363</v>
      </c>
      <c r="BK195" s="55">
        <v>630.7733930081755</v>
      </c>
      <c r="BL195" s="55">
        <v>-269.68332276574404</v>
      </c>
      <c r="BM195" s="55">
        <v>1.4515508177353171</v>
      </c>
    </row>
    <row r="196" spans="1:65" s="52" customFormat="1" x14ac:dyDescent="0.4">
      <c r="A196" s="51" t="s">
        <v>10682</v>
      </c>
      <c r="B196" s="51" t="s">
        <v>10881</v>
      </c>
      <c r="C196" s="51" t="s">
        <v>9780</v>
      </c>
      <c r="D196" s="51" t="s">
        <v>9780</v>
      </c>
      <c r="E196" s="51" t="s">
        <v>10558</v>
      </c>
      <c r="F196" s="51">
        <f>F187+F195</f>
        <v>3317141</v>
      </c>
      <c r="G196" s="51">
        <f>G187</f>
        <v>0.89712450607071414</v>
      </c>
      <c r="H196" s="51">
        <f>(H187*N187+H195*N195)/(N187+N195)</f>
        <v>200</v>
      </c>
      <c r="I196" s="51">
        <f>(I187*N187+I195*N195)/(N187+N195)</f>
        <v>662.3289606574117</v>
      </c>
      <c r="J196" s="93">
        <f>(H196+AD196+AE196+AF196+AG196+AH196+AU196)/(I196)</f>
        <v>1.267767944951053</v>
      </c>
      <c r="K196" s="51">
        <f>K187</f>
        <v>30</v>
      </c>
      <c r="L196" s="51">
        <f t="shared" ref="L196:W196" si="9">L187+L195</f>
        <v>4361.6404141116527</v>
      </c>
      <c r="M196" s="51">
        <f t="shared" si="9"/>
        <v>535.57287305077375</v>
      </c>
      <c r="N196" s="51">
        <f t="shared" si="9"/>
        <v>13885251.956447802</v>
      </c>
      <c r="O196" s="51">
        <f t="shared" si="9"/>
        <v>10147338.710468963</v>
      </c>
      <c r="P196" s="51">
        <f t="shared" si="9"/>
        <v>2555580.6225842182</v>
      </c>
      <c r="Q196" s="51">
        <f t="shared" si="9"/>
        <v>1182332.6233946232</v>
      </c>
      <c r="R196" s="51">
        <f t="shared" si="9"/>
        <v>1182332.6233946232</v>
      </c>
      <c r="S196" s="51">
        <f t="shared" si="9"/>
        <v>0</v>
      </c>
      <c r="T196" s="51">
        <f t="shared" si="9"/>
        <v>0</v>
      </c>
      <c r="U196" s="51">
        <f t="shared" si="9"/>
        <v>9049774986.8471203</v>
      </c>
      <c r="V196" s="51">
        <f t="shared" si="9"/>
        <v>0</v>
      </c>
      <c r="W196" s="51">
        <f t="shared" si="9"/>
        <v>0</v>
      </c>
      <c r="X196" s="51">
        <f>(X187*N187+X195*N195)/(N187+N195)</f>
        <v>0</v>
      </c>
      <c r="Y196" s="51">
        <f>(Y187*N187+Y195*N195)/(N187+N195)</f>
        <v>1039.50526767364</v>
      </c>
      <c r="Z196" s="51">
        <f>(Z187*N187+Z195*N195)/(N187+N195)</f>
        <v>0</v>
      </c>
      <c r="AA196" s="51">
        <f>(AA187*N187+AA195*N195)/(N187+N195)</f>
        <v>406.63186602604463</v>
      </c>
      <c r="AB196" s="51">
        <f>(AB187*N187+AB195*N195)/(N187+N195)</f>
        <v>635.2120141778845</v>
      </c>
      <c r="AC196" s="51">
        <f>(AC187*N187+AC195*N195)/(N187+N195)</f>
        <v>-2.3386125302892857</v>
      </c>
      <c r="AD196" s="51">
        <f>(AD187*N187+AD195*N195)/(N187+N195)</f>
        <v>377.17630701622818</v>
      </c>
      <c r="AE196" s="51">
        <f>(AE187*N187+AE195*N195)/(N187+N195)</f>
        <v>4.3029713315380445E-3</v>
      </c>
      <c r="AF196" s="51">
        <f>(AF187*N187+AF195*N195)/(N187+N195)</f>
        <v>0</v>
      </c>
      <c r="AG196" s="51">
        <f>(AG187*N187+AG195*N195)/(N187+N195)</f>
        <v>0</v>
      </c>
      <c r="AH196" s="51">
        <f>(AH187*N187+AH195*N195)/(N187+N195)</f>
        <v>2.2735884289268203E-3</v>
      </c>
      <c r="AI196" s="51">
        <f>(AI187*N187+AI195*N195)/(N187+N195)</f>
        <v>123.0003582294425</v>
      </c>
      <c r="AJ196" s="51">
        <f>(AJ187*N187+AJ195*N195)/(N187+N195)</f>
        <v>254.16937222702504</v>
      </c>
      <c r="AK196" s="51">
        <f>(AK187*N187+AK195*N195)/(N187+N195)</f>
        <v>0</v>
      </c>
      <c r="AL196" s="51">
        <f>(AL187*N187+AL195*N195)/(N187+N195)</f>
        <v>0</v>
      </c>
      <c r="AM196" s="51">
        <f>(AM187*N187+AM195*N195)/(N187+N195)</f>
        <v>0</v>
      </c>
      <c r="AN196" s="51">
        <f>(AN187*N187+AN195*N195)/(N187+N195)</f>
        <v>-172.49777885067849</v>
      </c>
      <c r="AO196" s="51">
        <f>(AO187*N187+AO195*N195)/(N187+N195)</f>
        <v>662.3289606574117</v>
      </c>
      <c r="AP196" s="51">
        <f>(AP187*N187+AP195*N195)/(N187+N195)</f>
        <v>6.5765597604648647E-3</v>
      </c>
      <c r="AQ196" s="51">
        <f>(AQ187*N187+AQ195*N195)/(N187+N195)</f>
        <v>4.3029713315380445E-3</v>
      </c>
      <c r="AR196" s="51">
        <f>(AR187*N187+AR195*N195)/(N187+N195)</f>
        <v>0</v>
      </c>
      <c r="AS196" s="51">
        <f>(AS187*N187+AS195*N195)/(N187+N195)</f>
        <v>0</v>
      </c>
      <c r="AT196" s="51">
        <f>(AT187*N187+AT195*N195)/(N187+N195)</f>
        <v>2.2735884289268203E-3</v>
      </c>
      <c r="AU196" s="51">
        <f>(AU187*N187+AU195*N195)/(N187+N195)</f>
        <v>262.49654175822496</v>
      </c>
      <c r="AV196" s="51">
        <f>(AV187*N187+AV195*N195)/(N187+N195)</f>
        <v>73.277552723557122</v>
      </c>
      <c r="AW196" s="51">
        <f>(AW187*N187+AW195*N195)/(N187+N195)</f>
        <v>73.277552723557122</v>
      </c>
      <c r="AX196" s="51">
        <f>(AX187*N187+AX195*N195)/(N187+N195)</f>
        <v>0</v>
      </c>
      <c r="AY196" s="51">
        <f>(AY187*N187+AY195*N195)/(N187+N195)</f>
        <v>0</v>
      </c>
      <c r="AZ196" s="51">
        <f>(AZ187*N187+AZ195*N195)/(N187+N195)</f>
        <v>40.744778572167085</v>
      </c>
      <c r="BA196" s="51">
        <f>(BA187*N187+BA195*N195)/(N187+N195)</f>
        <v>0</v>
      </c>
      <c r="BB196" s="51">
        <f>(BB187*N187+BB195*N195)/(N187+N195)</f>
        <v>16.976991071736286</v>
      </c>
      <c r="BC196" s="51">
        <f>(BC187*N187+BC195*N195)/(N187+N195)</f>
        <v>23.767787500430799</v>
      </c>
      <c r="BD196" s="51">
        <f>(BD187*N187+BD195*N195)/(N187+N195)</f>
        <v>0</v>
      </c>
      <c r="BE196" s="51">
        <f>(BE187*N187+BE195*N195)/(N187+N195)</f>
        <v>148.47421046250076</v>
      </c>
      <c r="BF196" s="51">
        <f>(BF187*N187+BF195*N195)/(N187+N195)</f>
        <v>52.096214197368688</v>
      </c>
      <c r="BG196" s="51">
        <f>(BG187*N187+BG195*N195)/(N187+N195)</f>
        <v>0</v>
      </c>
      <c r="BH196" s="51">
        <f>(BH187*N187+BH195*N195)/(N187+N195)</f>
        <v>96.377996265132069</v>
      </c>
      <c r="BI196" s="51">
        <f>(BI187*N187+BI195*N195)/(N187+N195)</f>
        <v>0</v>
      </c>
      <c r="BJ196" s="51">
        <f>(BJ187*N187+BJ195*N195)/(N187+N195)</f>
        <v>262.50311831798541</v>
      </c>
      <c r="BK196" s="51">
        <f>(BK187*N187+BK195*N195)/(N187+N195)</f>
        <v>639.67942533421365</v>
      </c>
      <c r="BL196" s="51">
        <f>(BL187*N187+BL195*N195)/(N187+N195)</f>
        <v>-385.84130752484396</v>
      </c>
      <c r="BM196" s="51">
        <f>(BM187*N187+BM195*N195)/(N187+N195)</f>
        <v>1.2835047937503161</v>
      </c>
    </row>
    <row r="197" spans="1:65" s="56" customFormat="1" x14ac:dyDescent="0.4">
      <c r="A197" s="15" t="s">
        <v>10693</v>
      </c>
      <c r="B197" s="15" t="s">
        <v>10301</v>
      </c>
      <c r="C197" s="15" t="s">
        <v>10625</v>
      </c>
      <c r="D197" s="15" t="s">
        <v>10302</v>
      </c>
      <c r="E197" s="15" t="s">
        <v>10882</v>
      </c>
      <c r="F197" s="15">
        <v>1963726</v>
      </c>
      <c r="G197" s="15">
        <v>0.89712450607071414</v>
      </c>
      <c r="H197" s="15">
        <v>200</v>
      </c>
      <c r="I197" s="119">
        <v>935.69364008402863</v>
      </c>
      <c r="J197" s="120">
        <v>0.64321691360456146</v>
      </c>
      <c r="K197" s="15">
        <v>30</v>
      </c>
      <c r="L197" s="15">
        <v>848.511130751113</v>
      </c>
      <c r="M197" s="15">
        <v>379.3153624522559</v>
      </c>
      <c r="N197" s="15">
        <v>8219979.275606934</v>
      </c>
      <c r="O197" s="15">
        <v>1535981.2174502737</v>
      </c>
      <c r="P197" s="15">
        <v>3106258.2434331989</v>
      </c>
      <c r="Q197" s="15">
        <v>3577739.8147234609</v>
      </c>
      <c r="R197" s="15">
        <v>655543.34722965304</v>
      </c>
      <c r="S197" s="15">
        <v>1373675.671658596</v>
      </c>
      <c r="T197" s="15">
        <v>1548520.7958352126</v>
      </c>
      <c r="U197" s="15">
        <v>0</v>
      </c>
      <c r="V197" s="15">
        <v>998198115.32089341</v>
      </c>
      <c r="W197" s="15">
        <v>0</v>
      </c>
      <c r="X197" s="15">
        <v>0</v>
      </c>
      <c r="Y197" s="15">
        <v>1101.8684207900235</v>
      </c>
      <c r="Z197" s="15">
        <v>0</v>
      </c>
      <c r="AA197" s="15">
        <v>30.343</v>
      </c>
      <c r="AB197" s="15">
        <v>1073.0050000000001</v>
      </c>
      <c r="AC197" s="15">
        <v>-1.4795792099766525</v>
      </c>
      <c r="AD197" s="15">
        <v>166.17478070599486</v>
      </c>
      <c r="AE197" s="15">
        <v>1.1097715531791384E-3</v>
      </c>
      <c r="AF197" s="15">
        <v>0</v>
      </c>
      <c r="AG197" s="15">
        <v>0</v>
      </c>
      <c r="AH197" s="15">
        <v>1.2417978804473253E-3</v>
      </c>
      <c r="AI197" s="15">
        <v>101.46076874999997</v>
      </c>
      <c r="AJ197" s="15">
        <v>44.401685151561146</v>
      </c>
      <c r="AK197" s="15">
        <v>0</v>
      </c>
      <c r="AL197" s="15">
        <v>0</v>
      </c>
      <c r="AM197" s="15">
        <v>20.309975235000003</v>
      </c>
      <c r="AN197" s="15">
        <v>-112.31218956409712</v>
      </c>
      <c r="AO197" s="15">
        <v>935.69364008402863</v>
      </c>
      <c r="AP197" s="15">
        <v>2.3515694336264637E-3</v>
      </c>
      <c r="AQ197" s="15">
        <v>1.1097715531791384E-3</v>
      </c>
      <c r="AR197" s="15">
        <v>0</v>
      </c>
      <c r="AS197" s="15">
        <v>0</v>
      </c>
      <c r="AT197" s="15">
        <v>1.2417978804473253E-3</v>
      </c>
      <c r="AU197" s="15">
        <v>235.67684297883784</v>
      </c>
      <c r="AV197" s="15">
        <v>43.099875438362425</v>
      </c>
      <c r="AW197" s="15">
        <v>43.099875438362425</v>
      </c>
      <c r="AX197" s="15">
        <v>0</v>
      </c>
      <c r="AY197" s="15">
        <v>0</v>
      </c>
      <c r="AZ197" s="15">
        <v>35.338639284902207</v>
      </c>
      <c r="BA197" s="15">
        <v>0</v>
      </c>
      <c r="BB197" s="15">
        <v>14.72443303537592</v>
      </c>
      <c r="BC197" s="15">
        <v>20.614206249526287</v>
      </c>
      <c r="BD197" s="15">
        <v>0</v>
      </c>
      <c r="BE197" s="15">
        <v>157.23832825557321</v>
      </c>
      <c r="BF197" s="15">
        <v>55.171343247569546</v>
      </c>
      <c r="BG197" s="15">
        <v>0</v>
      </c>
      <c r="BH197" s="15">
        <v>102.06698500800366</v>
      </c>
      <c r="BI197" s="15">
        <v>0</v>
      </c>
      <c r="BJ197" s="15">
        <v>235.67919454827145</v>
      </c>
      <c r="BK197" s="55">
        <v>401.85397525426629</v>
      </c>
      <c r="BL197" s="55">
        <v>-407.77374431596905</v>
      </c>
      <c r="BM197" s="55">
        <v>0.64321691360456146</v>
      </c>
    </row>
    <row r="198" spans="1:65" x14ac:dyDescent="0.4">
      <c r="A198" s="15" t="s">
        <v>10693</v>
      </c>
      <c r="B198" s="15" t="s">
        <v>10301</v>
      </c>
      <c r="C198" s="15" t="s">
        <v>10625</v>
      </c>
      <c r="D198" s="15" t="s">
        <v>10303</v>
      </c>
      <c r="E198" s="15" t="s">
        <v>10883</v>
      </c>
      <c r="F198" s="15">
        <v>1963726</v>
      </c>
      <c r="G198" s="15">
        <v>0.89712450607071414</v>
      </c>
      <c r="H198" s="15">
        <v>200</v>
      </c>
      <c r="I198" s="119">
        <v>980.09714286283815</v>
      </c>
      <c r="J198" s="120">
        <v>0.56876872517292199</v>
      </c>
      <c r="K198" s="15">
        <v>30</v>
      </c>
      <c r="L198" s="15">
        <v>848.511130751113</v>
      </c>
      <c r="M198" s="15">
        <v>379.3153624522559</v>
      </c>
      <c r="N198" s="15">
        <v>8219979.275606934</v>
      </c>
      <c r="O198" s="15">
        <v>1535981.2174502737</v>
      </c>
      <c r="P198" s="15">
        <v>3106258.2434331989</v>
      </c>
      <c r="Q198" s="15">
        <v>3577739.8147234609</v>
      </c>
      <c r="R198" s="15">
        <v>655543.34722965304</v>
      </c>
      <c r="S198" s="15">
        <v>1373675.671658596</v>
      </c>
      <c r="T198" s="15">
        <v>1548520.7958352126</v>
      </c>
      <c r="U198" s="15">
        <v>0</v>
      </c>
      <c r="V198" s="15">
        <v>0</v>
      </c>
      <c r="W198" s="15">
        <v>249549528.83022335</v>
      </c>
      <c r="X198" s="15">
        <v>0</v>
      </c>
      <c r="Y198" s="15">
        <v>1101.8684207900235</v>
      </c>
      <c r="Z198" s="15">
        <v>0</v>
      </c>
      <c r="AA198" s="15">
        <v>30.343</v>
      </c>
      <c r="AB198" s="15">
        <v>1073.0050000000001</v>
      </c>
      <c r="AC198" s="15">
        <v>-1.4795792099766525</v>
      </c>
      <c r="AD198" s="15">
        <v>121.77127792718534</v>
      </c>
      <c r="AE198" s="15">
        <v>-1.2610408003686973E-3</v>
      </c>
      <c r="AF198" s="15">
        <v>7.3778108307827128E-5</v>
      </c>
      <c r="AG198" s="15">
        <v>1.5928337859368868E-4</v>
      </c>
      <c r="AH198" s="15">
        <v>0</v>
      </c>
      <c r="AI198" s="15">
        <v>101.46076874999997</v>
      </c>
      <c r="AJ198" s="15">
        <v>0</v>
      </c>
      <c r="AK198" s="15">
        <v>1.561921498631685E-3</v>
      </c>
      <c r="AL198" s="15">
        <v>0</v>
      </c>
      <c r="AM198" s="15">
        <v>20.309975235000003</v>
      </c>
      <c r="AN198" s="15">
        <v>-82.301290195275769</v>
      </c>
      <c r="AO198" s="15">
        <v>980.09714286283815</v>
      </c>
      <c r="AP198" s="15">
        <v>0</v>
      </c>
      <c r="AQ198" s="15">
        <v>0</v>
      </c>
      <c r="AR198" s="15">
        <v>0</v>
      </c>
      <c r="AS198" s="15">
        <v>0</v>
      </c>
      <c r="AT198" s="15">
        <v>0</v>
      </c>
      <c r="AU198" s="15">
        <v>235.67732456453427</v>
      </c>
      <c r="AV198" s="15">
        <v>43.099875438362425</v>
      </c>
      <c r="AW198" s="15">
        <v>43.099875438362425</v>
      </c>
      <c r="AX198" s="15">
        <v>0</v>
      </c>
      <c r="AY198" s="15">
        <v>0</v>
      </c>
      <c r="AZ198" s="15">
        <v>35.338639284902207</v>
      </c>
      <c r="BA198" s="15">
        <v>0</v>
      </c>
      <c r="BB198" s="15">
        <v>14.72443303537592</v>
      </c>
      <c r="BC198" s="15">
        <v>20.614206249526287</v>
      </c>
      <c r="BD198" s="15">
        <v>0</v>
      </c>
      <c r="BE198" s="15">
        <v>157.23880984126964</v>
      </c>
      <c r="BF198" s="15">
        <v>55.171512225006893</v>
      </c>
      <c r="BG198" s="15">
        <v>0</v>
      </c>
      <c r="BH198" s="15">
        <v>102.06729761626275</v>
      </c>
      <c r="BI198" s="15">
        <v>0</v>
      </c>
      <c r="BJ198" s="15">
        <v>235.67732456453427</v>
      </c>
      <c r="BK198" s="15">
        <v>357.44860249171961</v>
      </c>
      <c r="BL198" s="15">
        <v>-377.76158108528443</v>
      </c>
      <c r="BM198" s="15">
        <v>0.56876872517292199</v>
      </c>
    </row>
    <row r="199" spans="1:65" x14ac:dyDescent="0.4">
      <c r="A199" s="15" t="s">
        <v>10693</v>
      </c>
      <c r="B199" s="15" t="s">
        <v>10301</v>
      </c>
      <c r="C199" s="15" t="s">
        <v>10625</v>
      </c>
      <c r="D199" s="15" t="s">
        <v>10304</v>
      </c>
      <c r="E199" s="15" t="s">
        <v>10884</v>
      </c>
      <c r="F199" s="15">
        <v>1963726</v>
      </c>
      <c r="G199" s="15">
        <v>0.89712450607071414</v>
      </c>
      <c r="H199" s="15">
        <v>200</v>
      </c>
      <c r="I199" s="119">
        <v>980.09737592432521</v>
      </c>
      <c r="J199" s="120">
        <v>0.56876838601446866</v>
      </c>
      <c r="K199" s="15">
        <v>30</v>
      </c>
      <c r="L199" s="15">
        <v>848.511130751113</v>
      </c>
      <c r="M199" s="15">
        <v>379.3153624522559</v>
      </c>
      <c r="N199" s="15">
        <v>8219979.275606934</v>
      </c>
      <c r="O199" s="15">
        <v>1535981.2174502737</v>
      </c>
      <c r="P199" s="15">
        <v>3106258.2434331989</v>
      </c>
      <c r="Q199" s="15">
        <v>3577739.8147234609</v>
      </c>
      <c r="R199" s="15">
        <v>655543.34722965304</v>
      </c>
      <c r="S199" s="15">
        <v>1373675.671658596</v>
      </c>
      <c r="T199" s="15">
        <v>1548520.7958352126</v>
      </c>
      <c r="U199" s="15">
        <v>0</v>
      </c>
      <c r="V199" s="15">
        <v>0</v>
      </c>
      <c r="W199" s="15">
        <v>0</v>
      </c>
      <c r="X199" s="15">
        <v>249549528830.22336</v>
      </c>
      <c r="Y199" s="15">
        <v>1101.8684207900235</v>
      </c>
      <c r="Z199" s="15">
        <v>0</v>
      </c>
      <c r="AA199" s="15">
        <v>30.343</v>
      </c>
      <c r="AB199" s="15">
        <v>1073.0050000000001</v>
      </c>
      <c r="AC199" s="15">
        <v>-1.4795792099766525</v>
      </c>
      <c r="AD199" s="15">
        <v>121.77104486569829</v>
      </c>
      <c r="AE199" s="15">
        <v>-1.2610408003686973E-3</v>
      </c>
      <c r="AF199" s="15">
        <v>0</v>
      </c>
      <c r="AG199" s="15">
        <v>0</v>
      </c>
      <c r="AH199" s="15">
        <v>0</v>
      </c>
      <c r="AI199" s="15">
        <v>101.46076874999997</v>
      </c>
      <c r="AJ199" s="15">
        <v>0</v>
      </c>
      <c r="AK199" s="15">
        <v>1.561921498631685E-3</v>
      </c>
      <c r="AL199" s="15">
        <v>0</v>
      </c>
      <c r="AM199" s="15">
        <v>20.309975235000003</v>
      </c>
      <c r="AN199" s="15">
        <v>-82.30113267651268</v>
      </c>
      <c r="AO199" s="15">
        <v>980.09737592432521</v>
      </c>
      <c r="AP199" s="15">
        <v>0</v>
      </c>
      <c r="AQ199" s="15">
        <v>0</v>
      </c>
      <c r="AR199" s="15">
        <v>0</v>
      </c>
      <c r="AS199" s="15">
        <v>0</v>
      </c>
      <c r="AT199" s="15">
        <v>0</v>
      </c>
      <c r="AU199" s="15">
        <v>235.67735777579617</v>
      </c>
      <c r="AV199" s="15">
        <v>43.099875438362425</v>
      </c>
      <c r="AW199" s="15">
        <v>43.099875438362425</v>
      </c>
      <c r="AX199" s="15">
        <v>0</v>
      </c>
      <c r="AY199" s="15">
        <v>0</v>
      </c>
      <c r="AZ199" s="15">
        <v>35.338639284902207</v>
      </c>
      <c r="BA199" s="15">
        <v>0</v>
      </c>
      <c r="BB199" s="15">
        <v>14.72443303537592</v>
      </c>
      <c r="BC199" s="15">
        <v>20.614206249526287</v>
      </c>
      <c r="BD199" s="15">
        <v>0</v>
      </c>
      <c r="BE199" s="15">
        <v>157.23884305253154</v>
      </c>
      <c r="BF199" s="15">
        <v>55.171523878081246</v>
      </c>
      <c r="BG199" s="15">
        <v>0</v>
      </c>
      <c r="BH199" s="15">
        <v>102.0673191744503</v>
      </c>
      <c r="BI199" s="15">
        <v>0</v>
      </c>
      <c r="BJ199" s="15">
        <v>235.67735777579617</v>
      </c>
      <c r="BK199" s="15">
        <v>357.44840264149445</v>
      </c>
      <c r="BL199" s="15">
        <v>-377.7614460129451</v>
      </c>
      <c r="BM199" s="15">
        <v>0.56876838601446866</v>
      </c>
    </row>
    <row r="200" spans="1:65" x14ac:dyDescent="0.4">
      <c r="A200" s="15" t="s">
        <v>10693</v>
      </c>
      <c r="B200" s="15" t="s">
        <v>10301</v>
      </c>
      <c r="C200" s="15" t="s">
        <v>10625</v>
      </c>
      <c r="D200" s="15" t="s">
        <v>10305</v>
      </c>
      <c r="E200" s="15" t="s">
        <v>10885</v>
      </c>
      <c r="F200" s="15">
        <v>1963726</v>
      </c>
      <c r="G200" s="15">
        <v>0.89712450607071414</v>
      </c>
      <c r="H200" s="15">
        <v>200</v>
      </c>
      <c r="I200" s="119">
        <v>980.11970242648749</v>
      </c>
      <c r="J200" s="120">
        <v>0.55877688632571365</v>
      </c>
      <c r="K200" s="15">
        <v>30</v>
      </c>
      <c r="L200" s="15">
        <v>549.78166614592033</v>
      </c>
      <c r="M200" s="15">
        <v>367.74374112963886</v>
      </c>
      <c r="N200" s="15">
        <v>8219979.275606934</v>
      </c>
      <c r="O200" s="15">
        <v>1158893.7781714434</v>
      </c>
      <c r="P200" s="15">
        <v>3240932.3288899241</v>
      </c>
      <c r="Q200" s="15">
        <v>3820153.1685455665</v>
      </c>
      <c r="R200" s="15">
        <v>655543.34722965304</v>
      </c>
      <c r="S200" s="15">
        <v>1616089.0254807011</v>
      </c>
      <c r="T200" s="15">
        <v>1548520.7958352126</v>
      </c>
      <c r="U200" s="15">
        <v>0</v>
      </c>
      <c r="V200" s="15">
        <v>0</v>
      </c>
      <c r="W200" s="15">
        <v>0</v>
      </c>
      <c r="X200" s="15">
        <v>0</v>
      </c>
      <c r="Y200" s="15">
        <v>1101.8894741381655</v>
      </c>
      <c r="Z200" s="15">
        <v>0</v>
      </c>
      <c r="AA200" s="15">
        <v>30.343</v>
      </c>
      <c r="AB200" s="15">
        <v>1073.0050000000001</v>
      </c>
      <c r="AC200" s="15">
        <v>-1.458525861834582</v>
      </c>
      <c r="AD200" s="15">
        <v>121.769771711678</v>
      </c>
      <c r="AE200" s="15">
        <v>-9.7227332189778464E-4</v>
      </c>
      <c r="AF200" s="15">
        <v>0</v>
      </c>
      <c r="AG200" s="15">
        <v>0</v>
      </c>
      <c r="AH200" s="15">
        <v>0</v>
      </c>
      <c r="AI200" s="15">
        <v>101.46076874999997</v>
      </c>
      <c r="AJ200" s="15">
        <v>0</v>
      </c>
      <c r="AK200" s="15">
        <v>0</v>
      </c>
      <c r="AL200" s="15">
        <v>0</v>
      </c>
      <c r="AM200" s="15">
        <v>20.309975235000003</v>
      </c>
      <c r="AN200" s="15">
        <v>-83.488249950201066</v>
      </c>
      <c r="AO200" s="15">
        <v>980.11970242648749</v>
      </c>
      <c r="AP200" s="15">
        <v>0</v>
      </c>
      <c r="AQ200" s="15">
        <v>0</v>
      </c>
      <c r="AR200" s="15">
        <v>0</v>
      </c>
      <c r="AS200" s="15">
        <v>0</v>
      </c>
      <c r="AT200" s="15">
        <v>0</v>
      </c>
      <c r="AU200" s="15">
        <v>225.89846383667958</v>
      </c>
      <c r="AV200" s="15">
        <v>41.261868351815657</v>
      </c>
      <c r="AW200" s="15">
        <v>41.261868351815657</v>
      </c>
      <c r="AX200" s="15">
        <v>0</v>
      </c>
      <c r="AY200" s="15">
        <v>0</v>
      </c>
      <c r="AZ200" s="15">
        <v>27.398511535685699</v>
      </c>
      <c r="BA200" s="15">
        <v>0</v>
      </c>
      <c r="BB200" s="15">
        <v>11.416046473202377</v>
      </c>
      <c r="BC200" s="15">
        <v>15.982465062483325</v>
      </c>
      <c r="BD200" s="15">
        <v>0</v>
      </c>
      <c r="BE200" s="15">
        <v>157.23808394917822</v>
      </c>
      <c r="BF200" s="15">
        <v>55.171257526027446</v>
      </c>
      <c r="BG200" s="15">
        <v>0</v>
      </c>
      <c r="BH200" s="15">
        <v>102.06682642315077</v>
      </c>
      <c r="BI200" s="15">
        <v>0</v>
      </c>
      <c r="BJ200" s="15">
        <v>225.89846383667958</v>
      </c>
      <c r="BK200" s="15">
        <v>347.66823554835759</v>
      </c>
      <c r="BL200" s="15">
        <v>-376.49436035332445</v>
      </c>
      <c r="BM200" s="15">
        <v>0.55877688632571365</v>
      </c>
    </row>
    <row r="201" spans="1:65" x14ac:dyDescent="0.4">
      <c r="A201" s="15" t="s">
        <v>10693</v>
      </c>
      <c r="B201" s="15" t="s">
        <v>10301</v>
      </c>
      <c r="C201" s="15" t="s">
        <v>10625</v>
      </c>
      <c r="D201" s="15" t="s">
        <v>10306</v>
      </c>
      <c r="E201" s="15" t="s">
        <v>10886</v>
      </c>
      <c r="F201" s="15">
        <v>1963726</v>
      </c>
      <c r="G201" s="15">
        <v>0.89712450607071414</v>
      </c>
      <c r="H201" s="15">
        <v>200</v>
      </c>
      <c r="I201" s="119">
        <v>962.16882870445465</v>
      </c>
      <c r="J201" s="120">
        <v>0.59831808284402055</v>
      </c>
      <c r="K201" s="15">
        <v>30</v>
      </c>
      <c r="L201" s="15">
        <v>1117.8797163063678</v>
      </c>
      <c r="M201" s="15">
        <v>377.70232753619257</v>
      </c>
      <c r="N201" s="15">
        <v>8219979.275606934</v>
      </c>
      <c r="O201" s="15">
        <v>1884121.9997100541</v>
      </c>
      <c r="P201" s="15">
        <v>2768489.020024416</v>
      </c>
      <c r="Q201" s="15">
        <v>3567368.2558724657</v>
      </c>
      <c r="R201" s="15">
        <v>655543.34722965304</v>
      </c>
      <c r="S201" s="15">
        <v>0</v>
      </c>
      <c r="T201" s="15">
        <v>2911824.9086428126</v>
      </c>
      <c r="U201" s="15">
        <v>0</v>
      </c>
      <c r="V201" s="15">
        <v>0</v>
      </c>
      <c r="W201" s="15">
        <v>0</v>
      </c>
      <c r="X201" s="15">
        <v>0</v>
      </c>
      <c r="Y201" s="15">
        <v>1101.818280575294</v>
      </c>
      <c r="Z201" s="15">
        <v>0</v>
      </c>
      <c r="AA201" s="15">
        <v>30.343</v>
      </c>
      <c r="AB201" s="15">
        <v>1073.0050000000001</v>
      </c>
      <c r="AC201" s="15">
        <v>-1.5297194247061479</v>
      </c>
      <c r="AD201" s="15">
        <v>139.64945187083936</v>
      </c>
      <c r="AE201" s="15">
        <v>-2.01599166043896E-3</v>
      </c>
      <c r="AF201" s="15">
        <v>0</v>
      </c>
      <c r="AG201" s="15">
        <v>0</v>
      </c>
      <c r="AH201" s="15">
        <v>0</v>
      </c>
      <c r="AI201" s="15">
        <v>101.46076874999997</v>
      </c>
      <c r="AJ201" s="15">
        <v>0</v>
      </c>
      <c r="AK201" s="15">
        <v>0</v>
      </c>
      <c r="AL201" s="15">
        <v>0</v>
      </c>
      <c r="AM201" s="15">
        <v>38.19069911250002</v>
      </c>
      <c r="AN201" s="15">
        <v>-91.290892705808048</v>
      </c>
      <c r="AO201" s="15">
        <v>962.16882870445465</v>
      </c>
      <c r="AP201" s="15">
        <v>0</v>
      </c>
      <c r="AQ201" s="15">
        <v>0</v>
      </c>
      <c r="AR201" s="15">
        <v>0</v>
      </c>
      <c r="AS201" s="15">
        <v>0</v>
      </c>
      <c r="AT201" s="15">
        <v>0</v>
      </c>
      <c r="AU201" s="15">
        <v>236.03355709188679</v>
      </c>
      <c r="AV201" s="15">
        <v>47.502535960107764</v>
      </c>
      <c r="AW201" s="15">
        <v>47.502535960107764</v>
      </c>
      <c r="AX201" s="15">
        <v>0</v>
      </c>
      <c r="AY201" s="15">
        <v>0</v>
      </c>
      <c r="AZ201" s="15">
        <v>31.291684065292522</v>
      </c>
      <c r="BA201" s="15">
        <v>0</v>
      </c>
      <c r="BB201" s="15">
        <v>13.038201693871885</v>
      </c>
      <c r="BC201" s="15">
        <v>18.253482371420638</v>
      </c>
      <c r="BD201" s="15">
        <v>0</v>
      </c>
      <c r="BE201" s="15">
        <v>157.23933706648651</v>
      </c>
      <c r="BF201" s="15">
        <v>55.17169721631106</v>
      </c>
      <c r="BG201" s="15">
        <v>0</v>
      </c>
      <c r="BH201" s="15">
        <v>102.06763985017545</v>
      </c>
      <c r="BI201" s="15">
        <v>0</v>
      </c>
      <c r="BJ201" s="15">
        <v>236.03355709188679</v>
      </c>
      <c r="BK201" s="15">
        <v>375.68300896272615</v>
      </c>
      <c r="BL201" s="15">
        <v>-377.33241734726107</v>
      </c>
      <c r="BM201" s="15">
        <v>0.59831808284402055</v>
      </c>
    </row>
    <row r="202" spans="1:65" x14ac:dyDescent="0.4">
      <c r="A202" s="15" t="s">
        <v>10693</v>
      </c>
      <c r="B202" s="15" t="s">
        <v>10301</v>
      </c>
      <c r="C202" s="15" t="s">
        <v>10625</v>
      </c>
      <c r="D202" s="15" t="s">
        <v>10307</v>
      </c>
      <c r="E202" s="15" t="s">
        <v>10887</v>
      </c>
      <c r="F202" s="15">
        <v>1963726</v>
      </c>
      <c r="G202" s="15">
        <v>0.89712450607071414</v>
      </c>
      <c r="H202" s="15">
        <v>200</v>
      </c>
      <c r="I202" s="119">
        <v>620.4657596793943</v>
      </c>
      <c r="J202" s="120">
        <v>1.530632783127426</v>
      </c>
      <c r="K202" s="15">
        <v>30</v>
      </c>
      <c r="L202" s="15">
        <v>2457.089869561456</v>
      </c>
      <c r="M202" s="15">
        <v>363.97881730162987</v>
      </c>
      <c r="N202" s="15">
        <v>8219979.275606934</v>
      </c>
      <c r="O202" s="15">
        <v>6007158.8304082518</v>
      </c>
      <c r="P202" s="15">
        <v>1512887.1856754562</v>
      </c>
      <c r="Q202" s="15">
        <v>699933.25952322735</v>
      </c>
      <c r="R202" s="15">
        <v>699933.25952322735</v>
      </c>
      <c r="S202" s="15">
        <v>0</v>
      </c>
      <c r="T202" s="15">
        <v>0</v>
      </c>
      <c r="U202" s="15">
        <v>5357408210.8208227</v>
      </c>
      <c r="V202" s="15">
        <v>0</v>
      </c>
      <c r="W202" s="15">
        <v>0</v>
      </c>
      <c r="X202" s="15">
        <v>0</v>
      </c>
      <c r="Y202" s="15">
        <v>1101.5286395791668</v>
      </c>
      <c r="Z202" s="15">
        <v>0</v>
      </c>
      <c r="AA202" s="15">
        <v>30.343</v>
      </c>
      <c r="AB202" s="15">
        <v>1073.0050000000001</v>
      </c>
      <c r="AC202" s="15">
        <v>-1.8193604208334733</v>
      </c>
      <c r="AD202" s="15">
        <v>481.0628798997725</v>
      </c>
      <c r="AE202" s="15">
        <v>4.302957594350695E-3</v>
      </c>
      <c r="AF202" s="15">
        <v>0</v>
      </c>
      <c r="AG202" s="15">
        <v>0</v>
      </c>
      <c r="AH202" s="15">
        <v>1.9202742710279852E-3</v>
      </c>
      <c r="AI202" s="15">
        <v>123.0003582294425</v>
      </c>
      <c r="AJ202" s="15">
        <v>358.05629843846447</v>
      </c>
      <c r="AK202" s="15">
        <v>0</v>
      </c>
      <c r="AL202" s="15">
        <v>0</v>
      </c>
      <c r="AM202" s="15">
        <v>0</v>
      </c>
      <c r="AN202" s="15">
        <v>-264.41318300163482</v>
      </c>
      <c r="AO202" s="15">
        <v>620.4657596793943</v>
      </c>
      <c r="AP202" s="15">
        <v>6.2232318653786802E-3</v>
      </c>
      <c r="AQ202" s="15">
        <v>4.302957594350695E-3</v>
      </c>
      <c r="AR202" s="15">
        <v>0</v>
      </c>
      <c r="AS202" s="15">
        <v>0</v>
      </c>
      <c r="AT202" s="15">
        <v>1.9202742710279852E-3</v>
      </c>
      <c r="AU202" s="15">
        <v>268.63612944170609</v>
      </c>
      <c r="AV202" s="15">
        <v>69.313041684627791</v>
      </c>
      <c r="AW202" s="15">
        <v>69.313041684627791</v>
      </c>
      <c r="AX202" s="15">
        <v>0</v>
      </c>
      <c r="AY202" s="15">
        <v>0</v>
      </c>
      <c r="AZ202" s="15">
        <v>42.083357430895489</v>
      </c>
      <c r="BA202" s="15">
        <v>0</v>
      </c>
      <c r="BB202" s="15">
        <v>17.534732262873121</v>
      </c>
      <c r="BC202" s="15">
        <v>24.548625168022365</v>
      </c>
      <c r="BD202" s="15">
        <v>0</v>
      </c>
      <c r="BE202" s="15">
        <v>157.23973032618278</v>
      </c>
      <c r="BF202" s="15">
        <v>55.171835202169397</v>
      </c>
      <c r="BG202" s="15">
        <v>0</v>
      </c>
      <c r="BH202" s="15">
        <v>102.06789512401338</v>
      </c>
      <c r="BI202" s="15">
        <v>0</v>
      </c>
      <c r="BJ202" s="15">
        <v>268.64235267357145</v>
      </c>
      <c r="BK202" s="15">
        <v>749.70523257334389</v>
      </c>
      <c r="BL202" s="15">
        <v>-522.99950141724605</v>
      </c>
      <c r="BM202" s="15">
        <v>1.530632783127426</v>
      </c>
    </row>
    <row r="203" spans="1:65" s="56" customFormat="1" x14ac:dyDescent="0.4">
      <c r="A203" s="15" t="s">
        <v>10693</v>
      </c>
      <c r="B203" s="15" t="s">
        <v>10301</v>
      </c>
      <c r="C203" s="15" t="s">
        <v>10625</v>
      </c>
      <c r="D203" s="15" t="s">
        <v>10308</v>
      </c>
      <c r="E203" s="15" t="s">
        <v>10888</v>
      </c>
      <c r="F203" s="15">
        <v>1963726</v>
      </c>
      <c r="G203" s="15">
        <v>0.89712450607071414</v>
      </c>
      <c r="H203" s="15">
        <v>200</v>
      </c>
      <c r="I203" s="119">
        <v>620.4657596793943</v>
      </c>
      <c r="J203" s="120">
        <v>1.530632783127426</v>
      </c>
      <c r="K203" s="15">
        <v>30</v>
      </c>
      <c r="L203" s="15">
        <v>2457.089869561456</v>
      </c>
      <c r="M203" s="15">
        <v>363.97881730162987</v>
      </c>
      <c r="N203" s="15">
        <v>8219979.275606934</v>
      </c>
      <c r="O203" s="15">
        <v>6007158.8304082518</v>
      </c>
      <c r="P203" s="15">
        <v>1512887.1856754562</v>
      </c>
      <c r="Q203" s="15">
        <v>699933.25952322735</v>
      </c>
      <c r="R203" s="15">
        <v>699933.25952322735</v>
      </c>
      <c r="S203" s="15">
        <v>0</v>
      </c>
      <c r="T203" s="15">
        <v>0</v>
      </c>
      <c r="U203" s="15">
        <v>5357408210.8208227</v>
      </c>
      <c r="V203" s="15">
        <v>0</v>
      </c>
      <c r="W203" s="15">
        <v>0</v>
      </c>
      <c r="X203" s="15">
        <v>0</v>
      </c>
      <c r="Y203" s="15">
        <v>1101.5286395791668</v>
      </c>
      <c r="Z203" s="15">
        <v>0</v>
      </c>
      <c r="AA203" s="15">
        <v>30.343</v>
      </c>
      <c r="AB203" s="15">
        <v>1073.0050000000001</v>
      </c>
      <c r="AC203" s="15">
        <v>-1.8193604208334733</v>
      </c>
      <c r="AD203" s="15">
        <v>481.0628798997725</v>
      </c>
      <c r="AE203" s="15">
        <v>4.302957594350695E-3</v>
      </c>
      <c r="AF203" s="15">
        <v>0</v>
      </c>
      <c r="AG203" s="15">
        <v>0</v>
      </c>
      <c r="AH203" s="15">
        <v>1.9202742710279852E-3</v>
      </c>
      <c r="AI203" s="15">
        <v>123.0003582294425</v>
      </c>
      <c r="AJ203" s="15">
        <v>358.05629843846447</v>
      </c>
      <c r="AK203" s="15">
        <v>0</v>
      </c>
      <c r="AL203" s="15">
        <v>0</v>
      </c>
      <c r="AM203" s="15">
        <v>0</v>
      </c>
      <c r="AN203" s="15">
        <v>-264.41318300163482</v>
      </c>
      <c r="AO203" s="15">
        <v>620.4657596793943</v>
      </c>
      <c r="AP203" s="15">
        <v>6.2232318653786802E-3</v>
      </c>
      <c r="AQ203" s="15">
        <v>4.302957594350695E-3</v>
      </c>
      <c r="AR203" s="15">
        <v>0</v>
      </c>
      <c r="AS203" s="15">
        <v>0</v>
      </c>
      <c r="AT203" s="15">
        <v>1.9202742710279852E-3</v>
      </c>
      <c r="AU203" s="15">
        <v>268.63612944170609</v>
      </c>
      <c r="AV203" s="15">
        <v>69.313041684627791</v>
      </c>
      <c r="AW203" s="15">
        <v>69.313041684627791</v>
      </c>
      <c r="AX203" s="15">
        <v>0</v>
      </c>
      <c r="AY203" s="15">
        <v>0</v>
      </c>
      <c r="AZ203" s="15">
        <v>42.083357430895489</v>
      </c>
      <c r="BA203" s="15">
        <v>0</v>
      </c>
      <c r="BB203" s="15">
        <v>17.534732262873121</v>
      </c>
      <c r="BC203" s="15">
        <v>24.548625168022365</v>
      </c>
      <c r="BD203" s="15">
        <v>0</v>
      </c>
      <c r="BE203" s="15">
        <v>157.23973032618278</v>
      </c>
      <c r="BF203" s="15">
        <v>55.171835202169397</v>
      </c>
      <c r="BG203" s="15">
        <v>0</v>
      </c>
      <c r="BH203" s="15">
        <v>102.06789512401338</v>
      </c>
      <c r="BI203" s="15">
        <v>0</v>
      </c>
      <c r="BJ203" s="15">
        <v>268.64235267357145</v>
      </c>
      <c r="BK203" s="55">
        <v>749.70523257334389</v>
      </c>
      <c r="BL203" s="55">
        <v>-522.99950141724605</v>
      </c>
      <c r="BM203" s="55">
        <v>1.530632783127426</v>
      </c>
    </row>
    <row r="204" spans="1:65" s="54" customFormat="1" x14ac:dyDescent="0.4">
      <c r="A204" s="55" t="s">
        <v>10693</v>
      </c>
      <c r="B204" s="55" t="s">
        <v>10301</v>
      </c>
      <c r="C204" s="55" t="s">
        <v>10870</v>
      </c>
      <c r="D204" s="55" t="s">
        <v>10307</v>
      </c>
      <c r="E204" s="55" t="s">
        <v>10889</v>
      </c>
      <c r="F204" s="55">
        <v>1963726</v>
      </c>
      <c r="G204" s="55">
        <v>0.89712450607071414</v>
      </c>
      <c r="H204" s="55">
        <v>200</v>
      </c>
      <c r="I204" s="55">
        <v>620.4657596793943</v>
      </c>
      <c r="J204" s="92">
        <v>1.530632783127426</v>
      </c>
      <c r="K204" s="55">
        <v>30</v>
      </c>
      <c r="L204" s="55">
        <v>2457.089869561456</v>
      </c>
      <c r="M204" s="55">
        <v>363.97881730162987</v>
      </c>
      <c r="N204" s="55">
        <v>8219979.275606934</v>
      </c>
      <c r="O204" s="55">
        <v>6007158.8304082518</v>
      </c>
      <c r="P204" s="55">
        <v>1512887.1856754562</v>
      </c>
      <c r="Q204" s="55">
        <v>699933.25952322735</v>
      </c>
      <c r="R204" s="55">
        <v>699933.25952322735</v>
      </c>
      <c r="S204" s="55">
        <v>0</v>
      </c>
      <c r="T204" s="55">
        <v>0</v>
      </c>
      <c r="U204" s="55">
        <v>5357408210.8208227</v>
      </c>
      <c r="V204" s="55">
        <v>0</v>
      </c>
      <c r="W204" s="55">
        <v>0</v>
      </c>
      <c r="X204" s="55">
        <v>0</v>
      </c>
      <c r="Y204" s="55">
        <v>1101.5286395791668</v>
      </c>
      <c r="Z204" s="55">
        <v>0</v>
      </c>
      <c r="AA204" s="55">
        <v>30.343</v>
      </c>
      <c r="AB204" s="55">
        <v>1073.0050000000001</v>
      </c>
      <c r="AC204" s="55">
        <v>-1.8193604208334733</v>
      </c>
      <c r="AD204" s="55">
        <v>481.0628798997725</v>
      </c>
      <c r="AE204" s="55">
        <v>4.302957594350695E-3</v>
      </c>
      <c r="AF204" s="55">
        <v>0</v>
      </c>
      <c r="AG204" s="55">
        <v>0</v>
      </c>
      <c r="AH204" s="55">
        <v>1.9202742710279852E-3</v>
      </c>
      <c r="AI204" s="55">
        <v>123.0003582294425</v>
      </c>
      <c r="AJ204" s="55">
        <v>358.05629843846447</v>
      </c>
      <c r="AK204" s="55">
        <v>0</v>
      </c>
      <c r="AL204" s="55">
        <v>0</v>
      </c>
      <c r="AM204" s="55">
        <v>0</v>
      </c>
      <c r="AN204" s="55">
        <v>-264.41318300163482</v>
      </c>
      <c r="AO204" s="55">
        <v>620.4657596793943</v>
      </c>
      <c r="AP204" s="55">
        <v>6.2232318653786802E-3</v>
      </c>
      <c r="AQ204" s="55">
        <v>4.302957594350695E-3</v>
      </c>
      <c r="AR204" s="55">
        <v>0</v>
      </c>
      <c r="AS204" s="55">
        <v>0</v>
      </c>
      <c r="AT204" s="55">
        <v>1.9202742710279852E-3</v>
      </c>
      <c r="AU204" s="55">
        <v>268.63612944170609</v>
      </c>
      <c r="AV204" s="55">
        <v>69.313041684627791</v>
      </c>
      <c r="AW204" s="55">
        <v>69.313041684627791</v>
      </c>
      <c r="AX204" s="55">
        <v>0</v>
      </c>
      <c r="AY204" s="55">
        <v>0</v>
      </c>
      <c r="AZ204" s="55">
        <v>42.083357430895489</v>
      </c>
      <c r="BA204" s="55">
        <v>0</v>
      </c>
      <c r="BB204" s="55">
        <v>17.534732262873121</v>
      </c>
      <c r="BC204" s="55">
        <v>24.548625168022365</v>
      </c>
      <c r="BD204" s="55">
        <v>0</v>
      </c>
      <c r="BE204" s="55">
        <v>157.23973032618278</v>
      </c>
      <c r="BF204" s="55">
        <v>55.171835202169397</v>
      </c>
      <c r="BG204" s="55">
        <v>0</v>
      </c>
      <c r="BH204" s="55">
        <v>102.06789512401338</v>
      </c>
      <c r="BI204" s="55">
        <v>0</v>
      </c>
      <c r="BJ204" s="55">
        <v>268.64235267357145</v>
      </c>
      <c r="BK204" s="53">
        <v>749.70523257334389</v>
      </c>
      <c r="BL204" s="53">
        <v>-522.99950141724605</v>
      </c>
      <c r="BM204" s="53">
        <v>1.530632783127426</v>
      </c>
    </row>
    <row r="205" spans="1:65" s="56" customFormat="1" x14ac:dyDescent="0.4">
      <c r="A205" s="15" t="s">
        <v>10693</v>
      </c>
      <c r="B205" s="15" t="s">
        <v>10301</v>
      </c>
      <c r="C205" s="15" t="s">
        <v>10626</v>
      </c>
      <c r="D205" s="15" t="s">
        <v>10302</v>
      </c>
      <c r="E205" s="15" t="s">
        <v>10890</v>
      </c>
      <c r="F205" s="15">
        <v>1353415</v>
      </c>
      <c r="G205" s="15">
        <v>0.89712450680948685</v>
      </c>
      <c r="H205" s="15">
        <v>200</v>
      </c>
      <c r="I205" s="119">
        <v>783.96632719038439</v>
      </c>
      <c r="J205" s="120">
        <v>0.7457072563931253</v>
      </c>
      <c r="K205" s="15">
        <v>30</v>
      </c>
      <c r="L205" s="15">
        <v>719.89725392397418</v>
      </c>
      <c r="M205" s="15">
        <v>96.433088322008786</v>
      </c>
      <c r="N205" s="15">
        <v>5665272.6808408685</v>
      </c>
      <c r="O205" s="15">
        <v>1058610.0205055843</v>
      </c>
      <c r="P205" s="15">
        <v>2140856.9749538074</v>
      </c>
      <c r="Q205" s="15">
        <v>2465805.6853814772</v>
      </c>
      <c r="R205" s="15">
        <v>451805.49629705935</v>
      </c>
      <c r="S205" s="15">
        <v>946747.79510421108</v>
      </c>
      <c r="T205" s="15">
        <v>1067252.3939802072</v>
      </c>
      <c r="U205" s="15">
        <v>0</v>
      </c>
      <c r="V205" s="15">
        <v>687965787.16151929</v>
      </c>
      <c r="W205" s="15">
        <v>0</v>
      </c>
      <c r="X205" s="15">
        <v>0</v>
      </c>
      <c r="Y205" s="15">
        <v>950.14104939344384</v>
      </c>
      <c r="Z205" s="15">
        <v>0</v>
      </c>
      <c r="AA205" s="15">
        <v>952.60500000000002</v>
      </c>
      <c r="AB205" s="15">
        <v>0</v>
      </c>
      <c r="AC205" s="15">
        <v>-2.463950606556168</v>
      </c>
      <c r="AD205" s="15">
        <v>166.17472220305945</v>
      </c>
      <c r="AE205" s="15">
        <v>1.1708659717452345E-3</v>
      </c>
      <c r="AF205" s="15">
        <v>0</v>
      </c>
      <c r="AG205" s="15">
        <v>0</v>
      </c>
      <c r="AH205" s="15">
        <v>1.8017760868404605E-3</v>
      </c>
      <c r="AI205" s="15">
        <v>101.46076874999996</v>
      </c>
      <c r="AJ205" s="15">
        <v>44.401005576000891</v>
      </c>
      <c r="AK205" s="15">
        <v>0</v>
      </c>
      <c r="AL205" s="15">
        <v>0</v>
      </c>
      <c r="AM205" s="15">
        <v>20.309975235000003</v>
      </c>
      <c r="AN205" s="15">
        <v>-67.442391808056456</v>
      </c>
      <c r="AO205" s="15">
        <v>783.96632719038439</v>
      </c>
      <c r="AP205" s="15">
        <v>2.9726420585856951E-3</v>
      </c>
      <c r="AQ205" s="15">
        <v>1.1708659717452345E-3</v>
      </c>
      <c r="AR205" s="15">
        <v>0</v>
      </c>
      <c r="AS205" s="15">
        <v>0</v>
      </c>
      <c r="AT205" s="15">
        <v>1.8017760868404605E-3</v>
      </c>
      <c r="AU205" s="15">
        <v>218.4316841086187</v>
      </c>
      <c r="AV205" s="15">
        <v>47.591254131535791</v>
      </c>
      <c r="AW205" s="15">
        <v>47.591254131535791</v>
      </c>
      <c r="AX205" s="15">
        <v>0</v>
      </c>
      <c r="AY205" s="15">
        <v>0</v>
      </c>
      <c r="AZ205" s="15">
        <v>35.089376312557974</v>
      </c>
      <c r="BA205" s="15">
        <v>0</v>
      </c>
      <c r="BB205" s="15">
        <v>14.620573463565822</v>
      </c>
      <c r="BC205" s="15">
        <v>20.468802848992151</v>
      </c>
      <c r="BD205" s="15">
        <v>0</v>
      </c>
      <c r="BE205" s="15">
        <v>135.75105366452493</v>
      </c>
      <c r="BF205" s="15">
        <v>47.631948654219279</v>
      </c>
      <c r="BG205" s="15">
        <v>0</v>
      </c>
      <c r="BH205" s="15">
        <v>88.11910501030566</v>
      </c>
      <c r="BI205" s="15">
        <v>0</v>
      </c>
      <c r="BJ205" s="15">
        <v>218.43465675067728</v>
      </c>
      <c r="BK205" s="55">
        <v>384.60937895373672</v>
      </c>
      <c r="BL205" s="55">
        <v>-238.26505612498366</v>
      </c>
      <c r="BM205" s="55">
        <v>0.7457072563931253</v>
      </c>
    </row>
    <row r="206" spans="1:65" s="52" customFormat="1" x14ac:dyDescent="0.4">
      <c r="A206" s="15" t="s">
        <v>10693</v>
      </c>
      <c r="B206" s="15" t="s">
        <v>10301</v>
      </c>
      <c r="C206" s="15" t="s">
        <v>10626</v>
      </c>
      <c r="D206" s="15" t="s">
        <v>10303</v>
      </c>
      <c r="E206" s="15" t="s">
        <v>10891</v>
      </c>
      <c r="F206" s="15">
        <v>1353415</v>
      </c>
      <c r="G206" s="15">
        <v>0.89712450680948685</v>
      </c>
      <c r="H206" s="15">
        <v>200</v>
      </c>
      <c r="I206" s="119">
        <v>828.36903145592225</v>
      </c>
      <c r="J206" s="120">
        <v>0.65212996446949867</v>
      </c>
      <c r="K206" s="15">
        <v>30</v>
      </c>
      <c r="L206" s="15">
        <v>719.89725392397418</v>
      </c>
      <c r="M206" s="15">
        <v>96.433088322008786</v>
      </c>
      <c r="N206" s="15">
        <v>5665272.6808408685</v>
      </c>
      <c r="O206" s="15">
        <v>1058610.0205055843</v>
      </c>
      <c r="P206" s="15">
        <v>2140856.9749538074</v>
      </c>
      <c r="Q206" s="15">
        <v>2465805.6853814772</v>
      </c>
      <c r="R206" s="15">
        <v>451805.49629705935</v>
      </c>
      <c r="S206" s="15">
        <v>946747.79510421108</v>
      </c>
      <c r="T206" s="15">
        <v>1067252.3939802072</v>
      </c>
      <c r="U206" s="15">
        <v>0</v>
      </c>
      <c r="V206" s="15">
        <v>0</v>
      </c>
      <c r="W206" s="15">
        <v>171991446.79037982</v>
      </c>
      <c r="X206" s="15">
        <v>0</v>
      </c>
      <c r="Y206" s="15">
        <v>950.14104939344384</v>
      </c>
      <c r="Z206" s="15">
        <v>0</v>
      </c>
      <c r="AA206" s="15">
        <v>952.60500000000002</v>
      </c>
      <c r="AB206" s="15">
        <v>0</v>
      </c>
      <c r="AC206" s="15">
        <v>-2.463950606556168</v>
      </c>
      <c r="AD206" s="15">
        <v>121.77201793752158</v>
      </c>
      <c r="AE206" s="15">
        <v>-1.3304627947115402E-3</v>
      </c>
      <c r="AF206" s="15">
        <v>1.0704771958016497E-4</v>
      </c>
      <c r="AG206" s="15">
        <v>2.311108652221908E-4</v>
      </c>
      <c r="AH206" s="15">
        <v>0</v>
      </c>
      <c r="AI206" s="15">
        <v>101.46076874999996</v>
      </c>
      <c r="AJ206" s="15">
        <v>0</v>
      </c>
      <c r="AK206" s="15">
        <v>2.2662567315244833E-3</v>
      </c>
      <c r="AL206" s="15">
        <v>0</v>
      </c>
      <c r="AM206" s="15">
        <v>20.309975235000003</v>
      </c>
      <c r="AN206" s="15">
        <v>-49.421452529732633</v>
      </c>
      <c r="AO206" s="15">
        <v>828.36903145592225</v>
      </c>
      <c r="AP206" s="15">
        <v>0</v>
      </c>
      <c r="AQ206" s="15">
        <v>0</v>
      </c>
      <c r="AR206" s="15">
        <v>0</v>
      </c>
      <c r="AS206" s="15">
        <v>0</v>
      </c>
      <c r="AT206" s="15">
        <v>0</v>
      </c>
      <c r="AU206" s="15">
        <v>218.43224911346198</v>
      </c>
      <c r="AV206" s="15">
        <v>47.591254131535791</v>
      </c>
      <c r="AW206" s="15">
        <v>47.591254131535791</v>
      </c>
      <c r="AX206" s="15">
        <v>0</v>
      </c>
      <c r="AY206" s="15">
        <v>0</v>
      </c>
      <c r="AZ206" s="15">
        <v>35.089376312557974</v>
      </c>
      <c r="BA206" s="15">
        <v>0</v>
      </c>
      <c r="BB206" s="15">
        <v>14.620573463565822</v>
      </c>
      <c r="BC206" s="15">
        <v>20.468802848992151</v>
      </c>
      <c r="BD206" s="15">
        <v>0</v>
      </c>
      <c r="BE206" s="15">
        <v>135.75161866936821</v>
      </c>
      <c r="BF206" s="15">
        <v>47.632146901532707</v>
      </c>
      <c r="BG206" s="15">
        <v>0</v>
      </c>
      <c r="BH206" s="15">
        <v>88.119471767835492</v>
      </c>
      <c r="BI206" s="15">
        <v>0</v>
      </c>
      <c r="BJ206" s="15">
        <v>218.43224911346198</v>
      </c>
      <c r="BK206" s="51">
        <v>340.20426705098356</v>
      </c>
      <c r="BL206" s="51">
        <v>-220.24313970157874</v>
      </c>
      <c r="BM206" s="51">
        <v>0.65212996446949867</v>
      </c>
    </row>
    <row r="207" spans="1:65" x14ac:dyDescent="0.4">
      <c r="A207" s="15" t="s">
        <v>10693</v>
      </c>
      <c r="B207" s="15" t="s">
        <v>10301</v>
      </c>
      <c r="C207" s="15" t="s">
        <v>10626</v>
      </c>
      <c r="D207" s="15" t="s">
        <v>10304</v>
      </c>
      <c r="E207" s="15" t="s">
        <v>10892</v>
      </c>
      <c r="F207" s="15">
        <v>1353415</v>
      </c>
      <c r="G207" s="15">
        <v>0.89712450680948685</v>
      </c>
      <c r="H207" s="15">
        <v>200</v>
      </c>
      <c r="I207" s="119">
        <v>828.36936961450704</v>
      </c>
      <c r="J207" s="120">
        <v>0.6521293482053645</v>
      </c>
      <c r="K207" s="15">
        <v>30</v>
      </c>
      <c r="L207" s="15">
        <v>719.89725392397418</v>
      </c>
      <c r="M207" s="15">
        <v>96.433088322008786</v>
      </c>
      <c r="N207" s="15">
        <v>5665272.6808408685</v>
      </c>
      <c r="O207" s="15">
        <v>1058610.0205055843</v>
      </c>
      <c r="P207" s="15">
        <v>2140856.9749538074</v>
      </c>
      <c r="Q207" s="15">
        <v>2465805.6853814772</v>
      </c>
      <c r="R207" s="15">
        <v>451805.49629705935</v>
      </c>
      <c r="S207" s="15">
        <v>946747.79510421108</v>
      </c>
      <c r="T207" s="15">
        <v>1067252.3939802072</v>
      </c>
      <c r="U207" s="15">
        <v>0</v>
      </c>
      <c r="V207" s="15">
        <v>0</v>
      </c>
      <c r="W207" s="15">
        <v>0</v>
      </c>
      <c r="X207" s="15">
        <v>171991446790.37982</v>
      </c>
      <c r="Y207" s="15">
        <v>950.14104939344384</v>
      </c>
      <c r="Z207" s="15">
        <v>0</v>
      </c>
      <c r="AA207" s="15">
        <v>952.60500000000002</v>
      </c>
      <c r="AB207" s="15">
        <v>0</v>
      </c>
      <c r="AC207" s="15">
        <v>-2.463950606556168</v>
      </c>
      <c r="AD207" s="15">
        <v>121.7716797789368</v>
      </c>
      <c r="AE207" s="15">
        <v>-1.3304627947115402E-3</v>
      </c>
      <c r="AF207" s="15">
        <v>0</v>
      </c>
      <c r="AG207" s="15">
        <v>0</v>
      </c>
      <c r="AH207" s="15">
        <v>0</v>
      </c>
      <c r="AI207" s="15">
        <v>101.46076874999996</v>
      </c>
      <c r="AJ207" s="15">
        <v>0</v>
      </c>
      <c r="AK207" s="15">
        <v>2.2662567315244833E-3</v>
      </c>
      <c r="AL207" s="15">
        <v>0</v>
      </c>
      <c r="AM207" s="15">
        <v>20.309975235000003</v>
      </c>
      <c r="AN207" s="15">
        <v>-49.421315287296082</v>
      </c>
      <c r="AO207" s="15">
        <v>828.36936961450704</v>
      </c>
      <c r="AP207" s="15">
        <v>0</v>
      </c>
      <c r="AQ207" s="15">
        <v>0</v>
      </c>
      <c r="AR207" s="15">
        <v>0</v>
      </c>
      <c r="AS207" s="15">
        <v>0</v>
      </c>
      <c r="AT207" s="15">
        <v>0</v>
      </c>
      <c r="AU207" s="15">
        <v>218.43229730106032</v>
      </c>
      <c r="AV207" s="15">
        <v>47.591254131535791</v>
      </c>
      <c r="AW207" s="15">
        <v>47.591254131535791</v>
      </c>
      <c r="AX207" s="15">
        <v>0</v>
      </c>
      <c r="AY207" s="15">
        <v>0</v>
      </c>
      <c r="AZ207" s="15">
        <v>35.089376312557974</v>
      </c>
      <c r="BA207" s="15">
        <v>0</v>
      </c>
      <c r="BB207" s="15">
        <v>14.620573463565822</v>
      </c>
      <c r="BC207" s="15">
        <v>20.468802848992151</v>
      </c>
      <c r="BD207" s="15">
        <v>0</v>
      </c>
      <c r="BE207" s="15">
        <v>135.75166685696655</v>
      </c>
      <c r="BF207" s="15">
        <v>47.632163809461943</v>
      </c>
      <c r="BG207" s="15">
        <v>0</v>
      </c>
      <c r="BH207" s="15">
        <v>88.119503047504594</v>
      </c>
      <c r="BI207" s="15">
        <v>0</v>
      </c>
      <c r="BJ207" s="15">
        <v>218.43229730106032</v>
      </c>
      <c r="BK207" s="15">
        <v>340.20397707999712</v>
      </c>
      <c r="BL207" s="15">
        <v>-220.24302201618937</v>
      </c>
      <c r="BM207" s="15">
        <v>0.6521293482053645</v>
      </c>
    </row>
    <row r="208" spans="1:65" x14ac:dyDescent="0.4">
      <c r="A208" s="15" t="s">
        <v>10693</v>
      </c>
      <c r="B208" s="15" t="s">
        <v>10301</v>
      </c>
      <c r="C208" s="15" t="s">
        <v>10626</v>
      </c>
      <c r="D208" s="15" t="s">
        <v>10305</v>
      </c>
      <c r="E208" s="15" t="s">
        <v>10893</v>
      </c>
      <c r="F208" s="15">
        <v>1353415</v>
      </c>
      <c r="G208" s="15">
        <v>0.89712450680948685</v>
      </c>
      <c r="H208" s="15">
        <v>200</v>
      </c>
      <c r="I208" s="119">
        <v>828.39162677334718</v>
      </c>
      <c r="J208" s="120">
        <v>0.63592985311219796</v>
      </c>
      <c r="K208" s="15">
        <v>30</v>
      </c>
      <c r="L208" s="15">
        <v>489.39447044041208</v>
      </c>
      <c r="M208" s="15">
        <v>77.049579928572484</v>
      </c>
      <c r="N208" s="15">
        <v>5665272.6808408685</v>
      </c>
      <c r="O208" s="15">
        <v>798718.46890834998</v>
      </c>
      <c r="P208" s="15">
        <v>2233675.386238534</v>
      </c>
      <c r="Q208" s="15">
        <v>2632878.8256939854</v>
      </c>
      <c r="R208" s="15">
        <v>451805.49629705935</v>
      </c>
      <c r="S208" s="15">
        <v>1113820.9354167189</v>
      </c>
      <c r="T208" s="15">
        <v>1067252.3939802072</v>
      </c>
      <c r="U208" s="15">
        <v>0</v>
      </c>
      <c r="V208" s="15">
        <v>0</v>
      </c>
      <c r="W208" s="15">
        <v>0</v>
      </c>
      <c r="X208" s="15">
        <v>0</v>
      </c>
      <c r="Y208" s="15">
        <v>950.16132354082686</v>
      </c>
      <c r="Z208" s="15">
        <v>0</v>
      </c>
      <c r="AA208" s="15">
        <v>952.60500000000002</v>
      </c>
      <c r="AB208" s="15">
        <v>0</v>
      </c>
      <c r="AC208" s="15">
        <v>-2.4436764591731204</v>
      </c>
      <c r="AD208" s="15">
        <v>121.76969676747967</v>
      </c>
      <c r="AE208" s="15">
        <v>-1.0472175203360809E-3</v>
      </c>
      <c r="AF208" s="15">
        <v>0</v>
      </c>
      <c r="AG208" s="15">
        <v>0</v>
      </c>
      <c r="AH208" s="15">
        <v>0</v>
      </c>
      <c r="AI208" s="15">
        <v>101.46076874999996</v>
      </c>
      <c r="AJ208" s="15">
        <v>0</v>
      </c>
      <c r="AK208" s="15">
        <v>0</v>
      </c>
      <c r="AL208" s="15">
        <v>0</v>
      </c>
      <c r="AM208" s="15">
        <v>20.309975235000003</v>
      </c>
      <c r="AN208" s="15">
        <v>-49.830531497072052</v>
      </c>
      <c r="AO208" s="15">
        <v>828.39162677334718</v>
      </c>
      <c r="AP208" s="15">
        <v>0</v>
      </c>
      <c r="AQ208" s="15">
        <v>0</v>
      </c>
      <c r="AR208" s="15">
        <v>0</v>
      </c>
      <c r="AS208" s="15">
        <v>0</v>
      </c>
      <c r="AT208" s="15">
        <v>0</v>
      </c>
      <c r="AU208" s="15">
        <v>205.02926876586969</v>
      </c>
      <c r="AV208" s="15">
        <v>45.805441608863688</v>
      </c>
      <c r="AW208" s="15">
        <v>45.805441608863688</v>
      </c>
      <c r="AX208" s="15">
        <v>0</v>
      </c>
      <c r="AY208" s="15">
        <v>0</v>
      </c>
      <c r="AZ208" s="15">
        <v>23.473413363498853</v>
      </c>
      <c r="BA208" s="15">
        <v>0</v>
      </c>
      <c r="BB208" s="15">
        <v>9.7805889014578558</v>
      </c>
      <c r="BC208" s="15">
        <v>13.692824462040997</v>
      </c>
      <c r="BD208" s="15">
        <v>0</v>
      </c>
      <c r="BE208" s="15">
        <v>135.75041379350716</v>
      </c>
      <c r="BF208" s="15">
        <v>47.631724138072691</v>
      </c>
      <c r="BG208" s="15">
        <v>0</v>
      </c>
      <c r="BH208" s="15">
        <v>88.11868965543448</v>
      </c>
      <c r="BI208" s="15">
        <v>0</v>
      </c>
      <c r="BJ208" s="15">
        <v>205.02926876586969</v>
      </c>
      <c r="BK208" s="15">
        <v>326.79896553334936</v>
      </c>
      <c r="BL208" s="15">
        <v>-216.57639660350335</v>
      </c>
      <c r="BM208" s="15">
        <v>0.63592985311219796</v>
      </c>
    </row>
    <row r="209" spans="1:65" x14ac:dyDescent="0.4">
      <c r="A209" s="15" t="s">
        <v>10693</v>
      </c>
      <c r="B209" s="15" t="s">
        <v>10301</v>
      </c>
      <c r="C209" s="15" t="s">
        <v>10626</v>
      </c>
      <c r="D209" s="15" t="s">
        <v>10306</v>
      </c>
      <c r="E209" s="15" t="s">
        <v>10894</v>
      </c>
      <c r="F209" s="15">
        <v>1353415</v>
      </c>
      <c r="G209" s="15">
        <v>0.89712450680948685</v>
      </c>
      <c r="H209" s="15">
        <v>200</v>
      </c>
      <c r="I209" s="119">
        <v>810.41062848444926</v>
      </c>
      <c r="J209" s="120">
        <v>0.68329612424606112</v>
      </c>
      <c r="K209" s="15">
        <v>30</v>
      </c>
      <c r="L209" s="15">
        <v>780.08725504170047</v>
      </c>
      <c r="M209" s="15">
        <v>99.804196659140956</v>
      </c>
      <c r="N209" s="15">
        <v>5665272.6808408685</v>
      </c>
      <c r="O209" s="15">
        <v>1298551.3143572379</v>
      </c>
      <c r="P209" s="15">
        <v>1908063.838907205</v>
      </c>
      <c r="Q209" s="15">
        <v>2458657.527576427</v>
      </c>
      <c r="R209" s="15">
        <v>451805.49629705935</v>
      </c>
      <c r="S209" s="15">
        <v>0</v>
      </c>
      <c r="T209" s="15">
        <v>2006852.0312793674</v>
      </c>
      <c r="U209" s="15">
        <v>0</v>
      </c>
      <c r="V209" s="15">
        <v>0</v>
      </c>
      <c r="W209" s="15">
        <v>0</v>
      </c>
      <c r="X209" s="15">
        <v>0</v>
      </c>
      <c r="Y209" s="15">
        <v>950.06008035528885</v>
      </c>
      <c r="Z209" s="15">
        <v>0</v>
      </c>
      <c r="AA209" s="15">
        <v>952.60500000000002</v>
      </c>
      <c r="AB209" s="15">
        <v>0</v>
      </c>
      <c r="AC209" s="15">
        <v>-2.5449196447111473</v>
      </c>
      <c r="AD209" s="15">
        <v>139.64945187083958</v>
      </c>
      <c r="AE209" s="15">
        <v>-2.0159916604389591E-3</v>
      </c>
      <c r="AF209" s="15">
        <v>0</v>
      </c>
      <c r="AG209" s="15">
        <v>0</v>
      </c>
      <c r="AH209" s="15">
        <v>0</v>
      </c>
      <c r="AI209" s="15">
        <v>101.46076874999996</v>
      </c>
      <c r="AJ209" s="15">
        <v>0</v>
      </c>
      <c r="AK209" s="15">
        <v>0</v>
      </c>
      <c r="AL209" s="15">
        <v>0</v>
      </c>
      <c r="AM209" s="15">
        <v>38.190699112500006</v>
      </c>
      <c r="AN209" s="15">
        <v>-54.873815824031659</v>
      </c>
      <c r="AO209" s="15">
        <v>810.41062848444926</v>
      </c>
      <c r="AP209" s="15">
        <v>0</v>
      </c>
      <c r="AQ209" s="15">
        <v>0</v>
      </c>
      <c r="AR209" s="15">
        <v>0</v>
      </c>
      <c r="AS209" s="15">
        <v>0</v>
      </c>
      <c r="AT209" s="15">
        <v>0</v>
      </c>
      <c r="AU209" s="15">
        <v>214.1009896203991</v>
      </c>
      <c r="AV209" s="15">
        <v>52.422564838561776</v>
      </c>
      <c r="AW209" s="15">
        <v>52.422564838561776</v>
      </c>
      <c r="AX209" s="15">
        <v>0</v>
      </c>
      <c r="AY209" s="15">
        <v>0</v>
      </c>
      <c r="AZ209" s="15">
        <v>25.926322960097561</v>
      </c>
      <c r="BA209" s="15">
        <v>0</v>
      </c>
      <c r="BB209" s="15">
        <v>10.802634566707317</v>
      </c>
      <c r="BC209" s="15">
        <v>15.123688393390244</v>
      </c>
      <c r="BD209" s="15">
        <v>0</v>
      </c>
      <c r="BE209" s="15">
        <v>135.75210182173976</v>
      </c>
      <c r="BF209" s="15">
        <v>47.63231642868061</v>
      </c>
      <c r="BG209" s="15">
        <v>0</v>
      </c>
      <c r="BH209" s="15">
        <v>88.119785393059132</v>
      </c>
      <c r="BI209" s="15">
        <v>0</v>
      </c>
      <c r="BJ209" s="15">
        <v>214.1009896203991</v>
      </c>
      <c r="BK209" s="15">
        <v>353.75044149123869</v>
      </c>
      <c r="BL209" s="15">
        <v>-218.59054068447426</v>
      </c>
      <c r="BM209" s="15">
        <v>0.68329612424606112</v>
      </c>
    </row>
    <row r="210" spans="1:65" x14ac:dyDescent="0.4">
      <c r="A210" s="15" t="s">
        <v>10693</v>
      </c>
      <c r="B210" s="15" t="s">
        <v>10301</v>
      </c>
      <c r="C210" s="15" t="s">
        <v>10626</v>
      </c>
      <c r="D210" s="15" t="s">
        <v>10307</v>
      </c>
      <c r="E210" s="15" t="s">
        <v>10895</v>
      </c>
      <c r="F210" s="15">
        <v>1353415</v>
      </c>
      <c r="G210" s="15">
        <v>0.89712450680948685</v>
      </c>
      <c r="H210" s="15">
        <v>200</v>
      </c>
      <c r="I210" s="119">
        <v>468.44760230897879</v>
      </c>
      <c r="J210" s="120">
        <v>1.9952302551924876</v>
      </c>
      <c r="K210" s="15">
        <v>30</v>
      </c>
      <c r="L210" s="15">
        <v>1904.5505445501963</v>
      </c>
      <c r="M210" s="15">
        <v>171.59405574914391</v>
      </c>
      <c r="N210" s="15">
        <v>5665272.6808408685</v>
      </c>
      <c r="O210" s="15">
        <v>4140179.8800607119</v>
      </c>
      <c r="P210" s="15">
        <v>1042693.436908762</v>
      </c>
      <c r="Q210" s="15">
        <v>482399.36387139588</v>
      </c>
      <c r="R210" s="15">
        <v>482399.36387139588</v>
      </c>
      <c r="S210" s="15">
        <v>0</v>
      </c>
      <c r="T210" s="15">
        <v>0</v>
      </c>
      <c r="U210" s="15">
        <v>3692366776.0262976</v>
      </c>
      <c r="V210" s="15">
        <v>0</v>
      </c>
      <c r="W210" s="15">
        <v>0</v>
      </c>
      <c r="X210" s="15">
        <v>0</v>
      </c>
      <c r="Y210" s="15">
        <v>949.51298303200792</v>
      </c>
      <c r="Z210" s="15">
        <v>0</v>
      </c>
      <c r="AA210" s="15">
        <v>952.60500000000002</v>
      </c>
      <c r="AB210" s="15">
        <v>0</v>
      </c>
      <c r="AC210" s="15">
        <v>-3.0920169679920884</v>
      </c>
      <c r="AD210" s="15">
        <v>481.06538072302914</v>
      </c>
      <c r="AE210" s="15">
        <v>4.3029912633933461E-3</v>
      </c>
      <c r="AF210" s="15">
        <v>0</v>
      </c>
      <c r="AG210" s="15">
        <v>0</v>
      </c>
      <c r="AH210" s="15">
        <v>2.7862266052900947E-3</v>
      </c>
      <c r="AI210" s="15">
        <v>123.00035822944251</v>
      </c>
      <c r="AJ210" s="15">
        <v>358.05793327571797</v>
      </c>
      <c r="AK210" s="15">
        <v>0</v>
      </c>
      <c r="AL210" s="15">
        <v>0</v>
      </c>
      <c r="AM210" s="15">
        <v>0</v>
      </c>
      <c r="AN210" s="15">
        <v>-155.58303389111933</v>
      </c>
      <c r="AO210" s="15">
        <v>468.44760230897879</v>
      </c>
      <c r="AP210" s="15">
        <v>7.0892178686834412E-3</v>
      </c>
      <c r="AQ210" s="15">
        <v>4.3029912633933461E-3</v>
      </c>
      <c r="AR210" s="15">
        <v>0</v>
      </c>
      <c r="AS210" s="15">
        <v>0</v>
      </c>
      <c r="AT210" s="15">
        <v>2.7862266052900947E-3</v>
      </c>
      <c r="AU210" s="15">
        <v>253.58835915835493</v>
      </c>
      <c r="AV210" s="15">
        <v>79.029826341051759</v>
      </c>
      <c r="AW210" s="15">
        <v>79.029826341051759</v>
      </c>
      <c r="AX210" s="15">
        <v>0</v>
      </c>
      <c r="AY210" s="15">
        <v>0</v>
      </c>
      <c r="AZ210" s="15">
        <v>38.802578946944465</v>
      </c>
      <c r="BA210" s="15">
        <v>0</v>
      </c>
      <c r="BB210" s="15">
        <v>16.167741227893529</v>
      </c>
      <c r="BC210" s="15">
        <v>22.634837719050939</v>
      </c>
      <c r="BD210" s="15">
        <v>0</v>
      </c>
      <c r="BE210" s="15">
        <v>135.7559538703587</v>
      </c>
      <c r="BF210" s="15">
        <v>47.633668024687267</v>
      </c>
      <c r="BG210" s="15">
        <v>0</v>
      </c>
      <c r="BH210" s="15">
        <v>88.122285845671428</v>
      </c>
      <c r="BI210" s="15">
        <v>0</v>
      </c>
      <c r="BJ210" s="15">
        <v>253.59544837622363</v>
      </c>
      <c r="BK210" s="15">
        <v>734.66082909925274</v>
      </c>
      <c r="BL210" s="15">
        <v>-303.28192108085619</v>
      </c>
      <c r="BM210" s="15">
        <v>1.9952302551924876</v>
      </c>
    </row>
    <row r="211" spans="1:65" x14ac:dyDescent="0.4">
      <c r="A211" s="15" t="s">
        <v>10693</v>
      </c>
      <c r="B211" s="15" t="s">
        <v>10301</v>
      </c>
      <c r="C211" s="15" t="s">
        <v>10626</v>
      </c>
      <c r="D211" s="15" t="s">
        <v>10308</v>
      </c>
      <c r="E211" s="15" t="s">
        <v>10896</v>
      </c>
      <c r="F211" s="15">
        <v>1353415</v>
      </c>
      <c r="G211" s="15">
        <v>0.89712450680948685</v>
      </c>
      <c r="H211" s="15">
        <v>200</v>
      </c>
      <c r="I211" s="119">
        <v>468.44760230897879</v>
      </c>
      <c r="J211" s="120">
        <v>1.9952302551924876</v>
      </c>
      <c r="K211" s="15">
        <v>30</v>
      </c>
      <c r="L211" s="15">
        <v>1904.5505445501963</v>
      </c>
      <c r="M211" s="15">
        <v>171.59405574914391</v>
      </c>
      <c r="N211" s="15">
        <v>5665272.6808408685</v>
      </c>
      <c r="O211" s="15">
        <v>4140179.8800607119</v>
      </c>
      <c r="P211" s="15">
        <v>1042693.436908762</v>
      </c>
      <c r="Q211" s="15">
        <v>482399.36387139588</v>
      </c>
      <c r="R211" s="15">
        <v>482399.36387139588</v>
      </c>
      <c r="S211" s="15">
        <v>0</v>
      </c>
      <c r="T211" s="15">
        <v>0</v>
      </c>
      <c r="U211" s="15">
        <v>3692366776.0262976</v>
      </c>
      <c r="V211" s="15">
        <v>0</v>
      </c>
      <c r="W211" s="15">
        <v>0</v>
      </c>
      <c r="X211" s="15">
        <v>0</v>
      </c>
      <c r="Y211" s="15">
        <v>949.51298303200792</v>
      </c>
      <c r="Z211" s="15">
        <v>0</v>
      </c>
      <c r="AA211" s="15">
        <v>952.60500000000002</v>
      </c>
      <c r="AB211" s="15">
        <v>0</v>
      </c>
      <c r="AC211" s="15">
        <v>-3.0920169679920884</v>
      </c>
      <c r="AD211" s="15">
        <v>481.06538072302914</v>
      </c>
      <c r="AE211" s="15">
        <v>4.3029912633933461E-3</v>
      </c>
      <c r="AF211" s="15">
        <v>0</v>
      </c>
      <c r="AG211" s="15">
        <v>0</v>
      </c>
      <c r="AH211" s="15">
        <v>2.7862266052900947E-3</v>
      </c>
      <c r="AI211" s="15">
        <v>123.00035822944251</v>
      </c>
      <c r="AJ211" s="15">
        <v>358.05793327571797</v>
      </c>
      <c r="AK211" s="15">
        <v>0</v>
      </c>
      <c r="AL211" s="15">
        <v>0</v>
      </c>
      <c r="AM211" s="15">
        <v>0</v>
      </c>
      <c r="AN211" s="15">
        <v>-155.58303389111933</v>
      </c>
      <c r="AO211" s="15">
        <v>468.44760230897879</v>
      </c>
      <c r="AP211" s="15">
        <v>7.0892178686834412E-3</v>
      </c>
      <c r="AQ211" s="15">
        <v>4.3029912633933461E-3</v>
      </c>
      <c r="AR211" s="15">
        <v>0</v>
      </c>
      <c r="AS211" s="15">
        <v>0</v>
      </c>
      <c r="AT211" s="15">
        <v>2.7862266052900947E-3</v>
      </c>
      <c r="AU211" s="15">
        <v>253.58835915835493</v>
      </c>
      <c r="AV211" s="15">
        <v>79.029826341051759</v>
      </c>
      <c r="AW211" s="15">
        <v>79.029826341051759</v>
      </c>
      <c r="AX211" s="15">
        <v>0</v>
      </c>
      <c r="AY211" s="15">
        <v>0</v>
      </c>
      <c r="AZ211" s="15">
        <v>38.802578946944465</v>
      </c>
      <c r="BA211" s="15">
        <v>0</v>
      </c>
      <c r="BB211" s="15">
        <v>16.167741227893529</v>
      </c>
      <c r="BC211" s="15">
        <v>22.634837719050939</v>
      </c>
      <c r="BD211" s="15">
        <v>0</v>
      </c>
      <c r="BE211" s="15">
        <v>135.7559538703587</v>
      </c>
      <c r="BF211" s="15">
        <v>47.633668024687267</v>
      </c>
      <c r="BG211" s="15">
        <v>0</v>
      </c>
      <c r="BH211" s="15">
        <v>88.122285845671428</v>
      </c>
      <c r="BI211" s="15">
        <v>0</v>
      </c>
      <c r="BJ211" s="15">
        <v>253.59544837622363</v>
      </c>
      <c r="BK211" s="15">
        <v>734.66082909925274</v>
      </c>
      <c r="BL211" s="15">
        <v>-303.28192108085619</v>
      </c>
      <c r="BM211" s="15">
        <v>1.9952302551924876</v>
      </c>
    </row>
    <row r="212" spans="1:65" s="56" customFormat="1" x14ac:dyDescent="0.4">
      <c r="A212" s="55" t="s">
        <v>10693</v>
      </c>
      <c r="B212" s="55" t="s">
        <v>10301</v>
      </c>
      <c r="C212" s="55" t="s">
        <v>10879</v>
      </c>
      <c r="D212" s="55" t="s">
        <v>10307</v>
      </c>
      <c r="E212" s="55" t="s">
        <v>10897</v>
      </c>
      <c r="F212" s="55">
        <v>1353415</v>
      </c>
      <c r="G212" s="55">
        <v>0.89712450680948685</v>
      </c>
      <c r="H212" s="55">
        <v>200</v>
      </c>
      <c r="I212" s="55">
        <v>468.44760230897879</v>
      </c>
      <c r="J212" s="92">
        <v>1.9952302551924876</v>
      </c>
      <c r="K212" s="55">
        <v>30</v>
      </c>
      <c r="L212" s="55">
        <v>1904.5505445501963</v>
      </c>
      <c r="M212" s="55">
        <v>171.59405574914391</v>
      </c>
      <c r="N212" s="55">
        <v>5665272.6808408685</v>
      </c>
      <c r="O212" s="55">
        <v>4140179.8800607119</v>
      </c>
      <c r="P212" s="55">
        <v>1042693.436908762</v>
      </c>
      <c r="Q212" s="55">
        <v>482399.36387139588</v>
      </c>
      <c r="R212" s="55">
        <v>482399.36387139588</v>
      </c>
      <c r="S212" s="55">
        <v>0</v>
      </c>
      <c r="T212" s="55">
        <v>0</v>
      </c>
      <c r="U212" s="55">
        <v>3692366776.0262976</v>
      </c>
      <c r="V212" s="55">
        <v>0</v>
      </c>
      <c r="W212" s="55">
        <v>0</v>
      </c>
      <c r="X212" s="55">
        <v>0</v>
      </c>
      <c r="Y212" s="55">
        <v>949.51298303200792</v>
      </c>
      <c r="Z212" s="55">
        <v>0</v>
      </c>
      <c r="AA212" s="55">
        <v>952.60500000000002</v>
      </c>
      <c r="AB212" s="55">
        <v>0</v>
      </c>
      <c r="AC212" s="55">
        <v>-3.0920169679920884</v>
      </c>
      <c r="AD212" s="55">
        <v>481.06538072302914</v>
      </c>
      <c r="AE212" s="55">
        <v>4.3029912633933461E-3</v>
      </c>
      <c r="AF212" s="55">
        <v>0</v>
      </c>
      <c r="AG212" s="55">
        <v>0</v>
      </c>
      <c r="AH212" s="55">
        <v>2.7862266052900947E-3</v>
      </c>
      <c r="AI212" s="55">
        <v>123.00035822944251</v>
      </c>
      <c r="AJ212" s="55">
        <v>358.05793327571797</v>
      </c>
      <c r="AK212" s="55">
        <v>0</v>
      </c>
      <c r="AL212" s="55">
        <v>0</v>
      </c>
      <c r="AM212" s="55">
        <v>0</v>
      </c>
      <c r="AN212" s="55">
        <v>-155.58303389111933</v>
      </c>
      <c r="AO212" s="55">
        <v>468.44760230897879</v>
      </c>
      <c r="AP212" s="55">
        <v>7.0892178686834412E-3</v>
      </c>
      <c r="AQ212" s="55">
        <v>4.3029912633933461E-3</v>
      </c>
      <c r="AR212" s="55">
        <v>0</v>
      </c>
      <c r="AS212" s="55">
        <v>0</v>
      </c>
      <c r="AT212" s="55">
        <v>2.7862266052900947E-3</v>
      </c>
      <c r="AU212" s="55">
        <v>253.58835915835493</v>
      </c>
      <c r="AV212" s="55">
        <v>79.029826341051759</v>
      </c>
      <c r="AW212" s="55">
        <v>79.029826341051759</v>
      </c>
      <c r="AX212" s="55">
        <v>0</v>
      </c>
      <c r="AY212" s="55">
        <v>0</v>
      </c>
      <c r="AZ212" s="55">
        <v>38.802578946944465</v>
      </c>
      <c r="BA212" s="55">
        <v>0</v>
      </c>
      <c r="BB212" s="55">
        <v>16.167741227893529</v>
      </c>
      <c r="BC212" s="55">
        <v>22.634837719050939</v>
      </c>
      <c r="BD212" s="55">
        <v>0</v>
      </c>
      <c r="BE212" s="55">
        <v>135.7559538703587</v>
      </c>
      <c r="BF212" s="55">
        <v>47.633668024687267</v>
      </c>
      <c r="BG212" s="55">
        <v>0</v>
      </c>
      <c r="BH212" s="55">
        <v>88.122285845671428</v>
      </c>
      <c r="BI212" s="55">
        <v>0</v>
      </c>
      <c r="BJ212" s="55">
        <v>253.59544837622363</v>
      </c>
      <c r="BK212" s="55">
        <v>734.66082909925274</v>
      </c>
      <c r="BL212" s="55">
        <v>-303.28192108085619</v>
      </c>
      <c r="BM212" s="55">
        <v>1.9952302551924876</v>
      </c>
    </row>
    <row r="213" spans="1:65" s="52" customFormat="1" x14ac:dyDescent="0.4">
      <c r="A213" s="51" t="s">
        <v>10693</v>
      </c>
      <c r="B213" s="51" t="s">
        <v>10881</v>
      </c>
      <c r="C213" s="51" t="s">
        <v>9780</v>
      </c>
      <c r="D213" s="51" t="s">
        <v>9780</v>
      </c>
      <c r="E213" s="51" t="s">
        <v>10559</v>
      </c>
      <c r="F213" s="51">
        <f>F204+F212</f>
        <v>3317141</v>
      </c>
      <c r="G213" s="51">
        <f>G204</f>
        <v>0.89712450607071414</v>
      </c>
      <c r="H213" s="51">
        <f>(H204*N204+H212*N212)/(N204+N212)</f>
        <v>200</v>
      </c>
      <c r="I213" s="51">
        <f>(I204*N204+I212*N212)/(N204+N212)</f>
        <v>558.44136742179023</v>
      </c>
      <c r="J213" s="93">
        <f>(H213+AD213+AE213+AF213+AG213+AH213+AU213)/(I213)</f>
        <v>1.6896438437684003</v>
      </c>
      <c r="K213" s="51">
        <f>K204</f>
        <v>30</v>
      </c>
      <c r="L213" s="51">
        <f t="shared" ref="L213:W213" si="10">L204+L212</f>
        <v>4361.6404141116527</v>
      </c>
      <c r="M213" s="51">
        <f t="shared" si="10"/>
        <v>535.57287305077375</v>
      </c>
      <c r="N213" s="51">
        <f t="shared" si="10"/>
        <v>13885251.956447802</v>
      </c>
      <c r="O213" s="51">
        <f t="shared" si="10"/>
        <v>10147338.710468963</v>
      </c>
      <c r="P213" s="51">
        <f t="shared" si="10"/>
        <v>2555580.6225842182</v>
      </c>
      <c r="Q213" s="51">
        <f t="shared" si="10"/>
        <v>1182332.6233946232</v>
      </c>
      <c r="R213" s="51">
        <f t="shared" si="10"/>
        <v>1182332.6233946232</v>
      </c>
      <c r="S213" s="51">
        <f t="shared" si="10"/>
        <v>0</v>
      </c>
      <c r="T213" s="51">
        <f t="shared" si="10"/>
        <v>0</v>
      </c>
      <c r="U213" s="51">
        <f t="shared" si="10"/>
        <v>9049774986.8471203</v>
      </c>
      <c r="V213" s="51">
        <f t="shared" si="10"/>
        <v>0</v>
      </c>
      <c r="W213" s="51">
        <f t="shared" si="10"/>
        <v>0</v>
      </c>
      <c r="X213" s="51">
        <f>(X204*N204+X212*N212)/(N204+N212)</f>
        <v>0</v>
      </c>
      <c r="Y213" s="51">
        <f>(Y204*N204+Y212*N212)/(N204+N212)</f>
        <v>1039.50526767364</v>
      </c>
      <c r="Z213" s="51">
        <f>(Z204*N204+Z212*N212)/(N204+N212)</f>
        <v>0</v>
      </c>
      <c r="AA213" s="51">
        <f>(AA204*N204+AA212*N212)/(N204+N212)</f>
        <v>406.63186602604463</v>
      </c>
      <c r="AB213" s="51">
        <f>(AB204*N204+AB212*N212)/(N204+N212)</f>
        <v>635.2120141778845</v>
      </c>
      <c r="AC213" s="51">
        <f>(AC204*N204+AC212*N212)/(N204+N212)</f>
        <v>-2.3386125302892857</v>
      </c>
      <c r="AD213" s="51">
        <f>(AD204*N204+AD212*N212)/(N204+N212)</f>
        <v>481.06390025184965</v>
      </c>
      <c r="AE213" s="51">
        <f>(AE204*N204+AE212*N212)/(N204+N212)</f>
        <v>4.3029713315380445E-3</v>
      </c>
      <c r="AF213" s="51">
        <f>(AF204*N204+AF212*N212)/(N204+N212)</f>
        <v>0</v>
      </c>
      <c r="AG213" s="51">
        <f>(AG204*N204+AG212*N212)/(N204+N212)</f>
        <v>0</v>
      </c>
      <c r="AH213" s="51">
        <f>(AH204*N204+AH212*N212)/(N204+N212)</f>
        <v>2.2735884289268203E-3</v>
      </c>
      <c r="AI213" s="51">
        <f>(AI204*N204+AI212*N212)/(N204+N212)</f>
        <v>123.0003582294425</v>
      </c>
      <c r="AJ213" s="51">
        <f>(AJ204*N204+AJ212*N212)/(N204+N212)</f>
        <v>358.05696546264653</v>
      </c>
      <c r="AK213" s="51">
        <f>(AK204*N204+AK212*N212)/(N204+N212)</f>
        <v>0</v>
      </c>
      <c r="AL213" s="51">
        <f>(AL204*N204+AL212*N212)/(N204+N212)</f>
        <v>0</v>
      </c>
      <c r="AM213" s="51">
        <f>(AM204*N204+AM212*N212)/(N204+N212)</f>
        <v>0</v>
      </c>
      <c r="AN213" s="51">
        <f>(AN204*N204+AN212*N212)/(N204+N212)</f>
        <v>-220.0097776805425</v>
      </c>
      <c r="AO213" s="51">
        <f>(AO204*N204+AO212*N212)/(N204+N212)</f>
        <v>558.44136742179023</v>
      </c>
      <c r="AP213" s="51">
        <f>(AP204*N204+AP212*N212)/(N204+N212)</f>
        <v>6.5765597604648647E-3</v>
      </c>
      <c r="AQ213" s="51">
        <f>(AQ204*N204+AQ212*N212)/(N204+N212)</f>
        <v>4.3029713315380445E-3</v>
      </c>
      <c r="AR213" s="51">
        <f>(AR204*N204+AR212*N212)/(N204+N212)</f>
        <v>0</v>
      </c>
      <c r="AS213" s="51">
        <f>(AS204*N204+AS212*N212)/(N204+N212)</f>
        <v>0</v>
      </c>
      <c r="AT213" s="51">
        <f>(AT204*N204+AT212*N212)/(N204+N212)</f>
        <v>2.2735884289268203E-3</v>
      </c>
      <c r="AU213" s="51">
        <f>(AU204*N204+AU212*N212)/(N204+N212)</f>
        <v>262.49654175822502</v>
      </c>
      <c r="AV213" s="51">
        <f>(AV204*N204+AV212*N212)/(N204+N212)</f>
        <v>73.277552723557122</v>
      </c>
      <c r="AW213" s="51">
        <f>(AW204*N204+AW212*N212)/(N204+N212)</f>
        <v>73.277552723557122</v>
      </c>
      <c r="AX213" s="51">
        <f>(AX204*N204+AX212*N212)/(N204+N212)</f>
        <v>0</v>
      </c>
      <c r="AY213" s="51">
        <f>(AY204*N204+AY212*N212)/(N204+N212)</f>
        <v>0</v>
      </c>
      <c r="AZ213" s="51">
        <f>(AZ204*N204+AZ212*N212)/(N204+N212)</f>
        <v>40.744778572167085</v>
      </c>
      <c r="BA213" s="51">
        <f>(BA204*N204+BA212*N212)/(N204+N212)</f>
        <v>0</v>
      </c>
      <c r="BB213" s="51">
        <f>(BB204*N204+BB212*N212)/(N204+N212)</f>
        <v>16.976991071736286</v>
      </c>
      <c r="BC213" s="51">
        <f>(BC204*N204+BC212*N212)/(N204+N212)</f>
        <v>23.767787500430799</v>
      </c>
      <c r="BD213" s="51">
        <f>(BD204*N204+BD212*N212)/(N204+N212)</f>
        <v>0</v>
      </c>
      <c r="BE213" s="51">
        <f>(BE204*N204+BE212*N212)/(N204+N212)</f>
        <v>148.47421046250079</v>
      </c>
      <c r="BF213" s="51">
        <f>(BF204*N204+BF212*N212)/(N204+N212)</f>
        <v>52.096214197368695</v>
      </c>
      <c r="BG213" s="51">
        <f>(BG204*N204+BG212*N212)/(N204+N212)</f>
        <v>0</v>
      </c>
      <c r="BH213" s="51">
        <f>(BH204*N204+BH212*N212)/(N204+N212)</f>
        <v>96.377996265132083</v>
      </c>
      <c r="BI213" s="51">
        <f>(BI204*N204+BI212*N212)/(N204+N212)</f>
        <v>0</v>
      </c>
      <c r="BJ213" s="51">
        <f>(BJ204*N204+BJ212*N212)/(N204+N212)</f>
        <v>262.50311831798547</v>
      </c>
      <c r="BK213" s="51">
        <f>(BK204*N204+BK212*N212)/(N204+N212)</f>
        <v>743.56701856983511</v>
      </c>
      <c r="BL213" s="51">
        <f>(BL204*N204+BL212*N212)/(N204+N212)</f>
        <v>-433.35330635470797</v>
      </c>
      <c r="BM213" s="51">
        <f>(BM204*N204+BM212*N212)/(N204+N212)</f>
        <v>1.7201915591823096</v>
      </c>
    </row>
    <row r="214" spans="1:65" x14ac:dyDescent="0.4">
      <c r="A214" s="15" t="s">
        <v>10702</v>
      </c>
      <c r="B214" s="15" t="s">
        <v>10301</v>
      </c>
      <c r="C214" s="15" t="s">
        <v>10625</v>
      </c>
      <c r="D214" s="15" t="s">
        <v>10302</v>
      </c>
      <c r="E214" s="15" t="s">
        <v>10898</v>
      </c>
      <c r="F214" s="15">
        <v>1963726</v>
      </c>
      <c r="G214" s="15">
        <v>0.89712450607071414</v>
      </c>
      <c r="H214" s="15">
        <v>200</v>
      </c>
      <c r="I214" s="118">
        <v>-115.4909709661552</v>
      </c>
      <c r="J214" s="117">
        <v>-3.8220455453199724</v>
      </c>
      <c r="K214" s="15">
        <v>30</v>
      </c>
      <c r="L214" s="15">
        <v>723.77382232754928</v>
      </c>
      <c r="M214" s="15">
        <v>122.45427825453091</v>
      </c>
      <c r="N214" s="15">
        <v>8219979.275606934</v>
      </c>
      <c r="O214" s="15">
        <v>1535981.2174502737</v>
      </c>
      <c r="P214" s="15">
        <v>3106258.2434331989</v>
      </c>
      <c r="Q214" s="15">
        <v>3577739.8147234609</v>
      </c>
      <c r="R214" s="15">
        <v>655543.34722965304</v>
      </c>
      <c r="S214" s="15">
        <v>1373675.671658596</v>
      </c>
      <c r="T214" s="15">
        <v>1548520.7958352126</v>
      </c>
      <c r="U214" s="15">
        <v>0</v>
      </c>
      <c r="V214" s="15">
        <v>998198115.32089341</v>
      </c>
      <c r="W214" s="15">
        <v>0</v>
      </c>
      <c r="X214" s="15">
        <v>0</v>
      </c>
      <c r="Y214" s="15">
        <v>30.373834504839543</v>
      </c>
      <c r="Z214" s="15">
        <v>0</v>
      </c>
      <c r="AA214" s="15">
        <v>30.343</v>
      </c>
      <c r="AB214" s="15">
        <v>0</v>
      </c>
      <c r="AC214" s="15">
        <v>3.0834504839542965E-2</v>
      </c>
      <c r="AD214" s="15">
        <v>145.86480547099475</v>
      </c>
      <c r="AE214" s="15">
        <v>1.1097715531791384E-3</v>
      </c>
      <c r="AF214" s="15">
        <v>0</v>
      </c>
      <c r="AG214" s="15">
        <v>0</v>
      </c>
      <c r="AH214" s="15">
        <v>1.2417978804473253E-3</v>
      </c>
      <c r="AI214" s="15">
        <v>101.46076874999997</v>
      </c>
      <c r="AJ214" s="15">
        <v>44.401685151561146</v>
      </c>
      <c r="AK214" s="15">
        <v>0</v>
      </c>
      <c r="AL214" s="15">
        <v>0</v>
      </c>
      <c r="AM214" s="15">
        <v>0</v>
      </c>
      <c r="AN214" s="15">
        <v>4730.57071063888</v>
      </c>
      <c r="AO214" s="15">
        <v>-115.4909709661552</v>
      </c>
      <c r="AP214" s="15">
        <v>2.3515694336264637E-3</v>
      </c>
      <c r="AQ214" s="15">
        <v>1.1097715531791384E-3</v>
      </c>
      <c r="AR214" s="15">
        <v>0</v>
      </c>
      <c r="AS214" s="15">
        <v>0</v>
      </c>
      <c r="AT214" s="15">
        <v>1.2417978804473253E-3</v>
      </c>
      <c r="AU214" s="15">
        <v>95.544594065443363</v>
      </c>
      <c r="AV214" s="15">
        <v>62.210874999999987</v>
      </c>
      <c r="AW214" s="15">
        <v>62.210874999999987</v>
      </c>
      <c r="AX214" s="15">
        <v>0</v>
      </c>
      <c r="AY214" s="15">
        <v>0</v>
      </c>
      <c r="AZ214" s="15">
        <v>29.005782747148032</v>
      </c>
      <c r="BA214" s="15">
        <v>0</v>
      </c>
      <c r="BB214" s="15">
        <v>12.085742811311681</v>
      </c>
      <c r="BC214" s="15">
        <v>16.92003993583635</v>
      </c>
      <c r="BD214" s="15">
        <v>0</v>
      </c>
      <c r="BE214" s="15">
        <v>4.3279363182953414</v>
      </c>
      <c r="BF214" s="15">
        <v>1.5185741467702956</v>
      </c>
      <c r="BG214" s="15">
        <v>0</v>
      </c>
      <c r="BH214" s="15">
        <v>2.8093621715250463</v>
      </c>
      <c r="BI214" s="15">
        <v>0</v>
      </c>
      <c r="BJ214" s="15">
        <v>95.546945634876991</v>
      </c>
      <c r="BK214" s="15">
        <v>241.41175110587176</v>
      </c>
      <c r="BL214" s="15">
        <v>14314.512877631618</v>
      </c>
      <c r="BM214" s="15">
        <v>-3.8220455453199724</v>
      </c>
    </row>
    <row r="215" spans="1:65" x14ac:dyDescent="0.4">
      <c r="A215" s="15" t="s">
        <v>10702</v>
      </c>
      <c r="B215" s="15" t="s">
        <v>10301</v>
      </c>
      <c r="C215" s="15" t="s">
        <v>10625</v>
      </c>
      <c r="D215" s="15" t="s">
        <v>10303</v>
      </c>
      <c r="E215" s="15" t="s">
        <v>10899</v>
      </c>
      <c r="F215" s="15">
        <v>1963726</v>
      </c>
      <c r="G215" s="15">
        <v>0.89712450607071414</v>
      </c>
      <c r="H215" s="15">
        <v>200</v>
      </c>
      <c r="I215" s="118">
        <v>-71.086593805579042</v>
      </c>
      <c r="J215" s="117">
        <v>-5.5848154020062291</v>
      </c>
      <c r="K215" s="15">
        <v>30</v>
      </c>
      <c r="L215" s="15">
        <v>723.77382232754928</v>
      </c>
      <c r="M215" s="15">
        <v>122.45427825453091</v>
      </c>
      <c r="N215" s="15">
        <v>8219979.275606934</v>
      </c>
      <c r="O215" s="15">
        <v>1535981.2174502737</v>
      </c>
      <c r="P215" s="15">
        <v>3106258.2434331989</v>
      </c>
      <c r="Q215" s="15">
        <v>3577739.8147234609</v>
      </c>
      <c r="R215" s="15">
        <v>655543.34722965304</v>
      </c>
      <c r="S215" s="15">
        <v>1373675.671658596</v>
      </c>
      <c r="T215" s="15">
        <v>1548520.7958352126</v>
      </c>
      <c r="U215" s="15">
        <v>0</v>
      </c>
      <c r="V215" s="15">
        <v>0</v>
      </c>
      <c r="W215" s="15">
        <v>249549528.83022335</v>
      </c>
      <c r="X215" s="15">
        <v>0</v>
      </c>
      <c r="Y215" s="15">
        <v>30.373834504839543</v>
      </c>
      <c r="Z215" s="15">
        <v>0</v>
      </c>
      <c r="AA215" s="15">
        <v>30.343</v>
      </c>
      <c r="AB215" s="15">
        <v>0</v>
      </c>
      <c r="AC215" s="15">
        <v>3.0834504839542965E-2</v>
      </c>
      <c r="AD215" s="15">
        <v>101.46042831041859</v>
      </c>
      <c r="AE215" s="15">
        <v>-1.2610408003686973E-3</v>
      </c>
      <c r="AF215" s="15">
        <v>7.3778108307827128E-5</v>
      </c>
      <c r="AG215" s="15">
        <v>1.5928337859368868E-4</v>
      </c>
      <c r="AH215" s="15">
        <v>0</v>
      </c>
      <c r="AI215" s="15">
        <v>101.46076874999997</v>
      </c>
      <c r="AJ215" s="15">
        <v>0</v>
      </c>
      <c r="AK215" s="15">
        <v>6.8753973208285043E-4</v>
      </c>
      <c r="AL215" s="15">
        <v>0</v>
      </c>
      <c r="AM215" s="15">
        <v>0</v>
      </c>
      <c r="AN215" s="15">
        <v>3290.4834644953703</v>
      </c>
      <c r="AO215" s="15">
        <v>-71.086593805579042</v>
      </c>
      <c r="AP215" s="15">
        <v>0</v>
      </c>
      <c r="AQ215" s="15">
        <v>0</v>
      </c>
      <c r="AR215" s="15">
        <v>0</v>
      </c>
      <c r="AS215" s="15">
        <v>0</v>
      </c>
      <c r="AT215" s="15">
        <v>0</v>
      </c>
      <c r="AU215" s="15">
        <v>95.545075651139825</v>
      </c>
      <c r="AV215" s="15">
        <v>62.210874999999987</v>
      </c>
      <c r="AW215" s="15">
        <v>62.210874999999987</v>
      </c>
      <c r="AX215" s="15">
        <v>0</v>
      </c>
      <c r="AY215" s="15">
        <v>0</v>
      </c>
      <c r="AZ215" s="15">
        <v>29.005782747148032</v>
      </c>
      <c r="BA215" s="15">
        <v>0</v>
      </c>
      <c r="BB215" s="15">
        <v>12.085742811311681</v>
      </c>
      <c r="BC215" s="15">
        <v>16.92003993583635</v>
      </c>
      <c r="BD215" s="15">
        <v>0</v>
      </c>
      <c r="BE215" s="15">
        <v>4.328417903991804</v>
      </c>
      <c r="BF215" s="15">
        <v>1.5187431242076508</v>
      </c>
      <c r="BG215" s="15">
        <v>0</v>
      </c>
      <c r="BH215" s="15">
        <v>2.8096747797841535</v>
      </c>
      <c r="BI215" s="15">
        <v>0</v>
      </c>
      <c r="BJ215" s="15">
        <v>95.545075651139825</v>
      </c>
      <c r="BK215" s="15">
        <v>197.00550396155842</v>
      </c>
      <c r="BL215" s="15">
        <v>12874.364985671127</v>
      </c>
      <c r="BM215" s="15">
        <v>-5.5848154020062291</v>
      </c>
    </row>
    <row r="216" spans="1:65" x14ac:dyDescent="0.4">
      <c r="A216" s="15" t="s">
        <v>10702</v>
      </c>
      <c r="B216" s="15" t="s">
        <v>10301</v>
      </c>
      <c r="C216" s="15" t="s">
        <v>10625</v>
      </c>
      <c r="D216" s="15" t="s">
        <v>10304</v>
      </c>
      <c r="E216" s="15" t="s">
        <v>10900</v>
      </c>
      <c r="F216" s="15">
        <v>1963726</v>
      </c>
      <c r="G216" s="15">
        <v>0.89712450607071414</v>
      </c>
      <c r="H216" s="15">
        <v>200</v>
      </c>
      <c r="I216" s="118">
        <v>-71.086360744092147</v>
      </c>
      <c r="J216" s="117">
        <v>-5.5848309008325163</v>
      </c>
      <c r="K216" s="15">
        <v>30</v>
      </c>
      <c r="L216" s="15">
        <v>723.77382232754928</v>
      </c>
      <c r="M216" s="15">
        <v>122.45427825453091</v>
      </c>
      <c r="N216" s="15">
        <v>8219979.275606934</v>
      </c>
      <c r="O216" s="15">
        <v>1535981.2174502737</v>
      </c>
      <c r="P216" s="15">
        <v>3106258.2434331989</v>
      </c>
      <c r="Q216" s="15">
        <v>3577739.8147234609</v>
      </c>
      <c r="R216" s="15">
        <v>655543.34722965304</v>
      </c>
      <c r="S216" s="15">
        <v>1373675.671658596</v>
      </c>
      <c r="T216" s="15">
        <v>1548520.7958352126</v>
      </c>
      <c r="U216" s="15">
        <v>0</v>
      </c>
      <c r="V216" s="15">
        <v>0</v>
      </c>
      <c r="W216" s="15">
        <v>0</v>
      </c>
      <c r="X216" s="15">
        <v>249549528830.22336</v>
      </c>
      <c r="Y216" s="15">
        <v>30.373834504839543</v>
      </c>
      <c r="Z216" s="15">
        <v>0</v>
      </c>
      <c r="AA216" s="15">
        <v>30.343</v>
      </c>
      <c r="AB216" s="15">
        <v>0</v>
      </c>
      <c r="AC216" s="15">
        <v>3.0834504839542965E-2</v>
      </c>
      <c r="AD216" s="15">
        <v>101.46019524893168</v>
      </c>
      <c r="AE216" s="15">
        <v>-1.2610408003686973E-3</v>
      </c>
      <c r="AF216" s="15">
        <v>0</v>
      </c>
      <c r="AG216" s="15">
        <v>0</v>
      </c>
      <c r="AH216" s="15">
        <v>0</v>
      </c>
      <c r="AI216" s="15">
        <v>101.46076874999997</v>
      </c>
      <c r="AJ216" s="15">
        <v>0</v>
      </c>
      <c r="AK216" s="15">
        <v>6.8753973208285043E-4</v>
      </c>
      <c r="AL216" s="15">
        <v>0</v>
      </c>
      <c r="AM216" s="15">
        <v>0</v>
      </c>
      <c r="AN216" s="15">
        <v>3290.4759060316255</v>
      </c>
      <c r="AO216" s="15">
        <v>-71.086360744092147</v>
      </c>
      <c r="AP216" s="15">
        <v>0</v>
      </c>
      <c r="AQ216" s="15">
        <v>0</v>
      </c>
      <c r="AR216" s="15">
        <v>0</v>
      </c>
      <c r="AS216" s="15">
        <v>0</v>
      </c>
      <c r="AT216" s="15">
        <v>0</v>
      </c>
      <c r="AU216" s="15">
        <v>95.545108862401705</v>
      </c>
      <c r="AV216" s="15">
        <v>62.210874999999987</v>
      </c>
      <c r="AW216" s="15">
        <v>62.210874999999987</v>
      </c>
      <c r="AX216" s="15">
        <v>0</v>
      </c>
      <c r="AY216" s="15">
        <v>0</v>
      </c>
      <c r="AZ216" s="15">
        <v>29.005782747148032</v>
      </c>
      <c r="BA216" s="15">
        <v>0</v>
      </c>
      <c r="BB216" s="15">
        <v>12.085742811311681</v>
      </c>
      <c r="BC216" s="15">
        <v>16.92003993583635</v>
      </c>
      <c r="BD216" s="15">
        <v>0</v>
      </c>
      <c r="BE216" s="15">
        <v>4.3284511152536869</v>
      </c>
      <c r="BF216" s="15">
        <v>1.5187547772819956</v>
      </c>
      <c r="BG216" s="15">
        <v>0</v>
      </c>
      <c r="BH216" s="15">
        <v>2.8096963379716913</v>
      </c>
      <c r="BI216" s="15">
        <v>0</v>
      </c>
      <c r="BJ216" s="15">
        <v>95.545108862401705</v>
      </c>
      <c r="BK216" s="15">
        <v>197.00530411133337</v>
      </c>
      <c r="BL216" s="15">
        <v>12874.358504288466</v>
      </c>
      <c r="BM216" s="15">
        <v>-5.5848309008325163</v>
      </c>
    </row>
    <row r="217" spans="1:65" x14ac:dyDescent="0.4">
      <c r="A217" s="15" t="s">
        <v>10702</v>
      </c>
      <c r="B217" s="15" t="s">
        <v>10301</v>
      </c>
      <c r="C217" s="15" t="s">
        <v>10625</v>
      </c>
      <c r="D217" s="15" t="s">
        <v>10305</v>
      </c>
      <c r="E217" s="15" t="s">
        <v>10901</v>
      </c>
      <c r="F217" s="15">
        <v>1963726</v>
      </c>
      <c r="G217" s="15">
        <v>0.89712450607071414</v>
      </c>
      <c r="H217" s="15">
        <v>200</v>
      </c>
      <c r="I217" s="118">
        <v>-71.093089884686151</v>
      </c>
      <c r="J217" s="117">
        <v>-5.448906056752481</v>
      </c>
      <c r="K217" s="15">
        <v>30</v>
      </c>
      <c r="L217" s="15">
        <v>421.85084510562172</v>
      </c>
      <c r="M217" s="15">
        <v>100.14385477013553</v>
      </c>
      <c r="N217" s="15">
        <v>8219979.275606934</v>
      </c>
      <c r="O217" s="15">
        <v>1158893.7781714434</v>
      </c>
      <c r="P217" s="15">
        <v>3240932.3288899241</v>
      </c>
      <c r="Q217" s="15">
        <v>3820153.1685455665</v>
      </c>
      <c r="R217" s="15">
        <v>655543.34722965304</v>
      </c>
      <c r="S217" s="15">
        <v>1616089.0254807011</v>
      </c>
      <c r="T217" s="15">
        <v>1548520.7958352126</v>
      </c>
      <c r="U217" s="15">
        <v>0</v>
      </c>
      <c r="V217" s="15">
        <v>0</v>
      </c>
      <c r="W217" s="15">
        <v>0</v>
      </c>
      <c r="X217" s="15">
        <v>0</v>
      </c>
      <c r="Y217" s="15">
        <v>30.366706591991917</v>
      </c>
      <c r="Z217" s="15">
        <v>0</v>
      </c>
      <c r="AA217" s="15">
        <v>30.343</v>
      </c>
      <c r="AB217" s="15">
        <v>0</v>
      </c>
      <c r="AC217" s="15">
        <v>2.3706591991915969E-2</v>
      </c>
      <c r="AD217" s="15">
        <v>101.45979647667806</v>
      </c>
      <c r="AE217" s="15">
        <v>-9.7227332189778464E-4</v>
      </c>
      <c r="AF217" s="15">
        <v>0</v>
      </c>
      <c r="AG217" s="15">
        <v>0</v>
      </c>
      <c r="AH217" s="15">
        <v>0</v>
      </c>
      <c r="AI217" s="15">
        <v>101.46076874999997</v>
      </c>
      <c r="AJ217" s="15">
        <v>0</v>
      </c>
      <c r="AK217" s="15">
        <v>0</v>
      </c>
      <c r="AL217" s="15">
        <v>0</v>
      </c>
      <c r="AM217" s="15">
        <v>0</v>
      </c>
      <c r="AN217" s="15">
        <v>4279.8136700237728</v>
      </c>
      <c r="AO217" s="15">
        <v>-71.093089884686151</v>
      </c>
      <c r="AP217" s="15">
        <v>0</v>
      </c>
      <c r="AQ217" s="15">
        <v>0</v>
      </c>
      <c r="AR217" s="15">
        <v>0</v>
      </c>
      <c r="AS217" s="15">
        <v>0</v>
      </c>
      <c r="AT217" s="15">
        <v>0</v>
      </c>
      <c r="AU217" s="15">
        <v>85.919771589236831</v>
      </c>
      <c r="AV217" s="15">
        <v>60.572499999999998</v>
      </c>
      <c r="AW217" s="15">
        <v>60.572499999999998</v>
      </c>
      <c r="AX217" s="15">
        <v>0</v>
      </c>
      <c r="AY217" s="15">
        <v>0</v>
      </c>
      <c r="AZ217" s="15">
        <v>21.019877350929619</v>
      </c>
      <c r="BA217" s="15">
        <v>0</v>
      </c>
      <c r="BB217" s="15">
        <v>8.758282229554009</v>
      </c>
      <c r="BC217" s="15">
        <v>12.261595121375612</v>
      </c>
      <c r="BD217" s="15">
        <v>0</v>
      </c>
      <c r="BE217" s="15">
        <v>4.3273942383072193</v>
      </c>
      <c r="BF217" s="15">
        <v>1.5183839432656911</v>
      </c>
      <c r="BG217" s="15">
        <v>0</v>
      </c>
      <c r="BH217" s="15">
        <v>2.8090102950415283</v>
      </c>
      <c r="BI217" s="15">
        <v>0</v>
      </c>
      <c r="BJ217" s="15">
        <v>85.919771589236831</v>
      </c>
      <c r="BK217" s="15">
        <v>187.3795680659149</v>
      </c>
      <c r="BL217" s="15">
        <v>16339.584433140482</v>
      </c>
      <c r="BM217" s="15">
        <v>-5.448906056752481</v>
      </c>
    </row>
    <row r="218" spans="1:65" x14ac:dyDescent="0.4">
      <c r="A218" s="15" t="s">
        <v>10702</v>
      </c>
      <c r="B218" s="15" t="s">
        <v>10301</v>
      </c>
      <c r="C218" s="15" t="s">
        <v>10625</v>
      </c>
      <c r="D218" s="15" t="s">
        <v>10306</v>
      </c>
      <c r="E218" s="15" t="s">
        <v>10902</v>
      </c>
      <c r="F218" s="15">
        <v>1963726</v>
      </c>
      <c r="G218" s="15">
        <v>0.89712450607071414</v>
      </c>
      <c r="H218" s="15">
        <v>200</v>
      </c>
      <c r="I218" s="118">
        <v>-71.076903290924548</v>
      </c>
      <c r="J218" s="117">
        <v>-5.5913230355158552</v>
      </c>
      <c r="K218" s="15">
        <v>30</v>
      </c>
      <c r="L218" s="15">
        <v>1002.5055946268693</v>
      </c>
      <c r="M218" s="15">
        <v>148.04052917240384</v>
      </c>
      <c r="N218" s="15">
        <v>8219979.275606934</v>
      </c>
      <c r="O218" s="15">
        <v>1884121.9997100541</v>
      </c>
      <c r="P218" s="15">
        <v>2768489.020024416</v>
      </c>
      <c r="Q218" s="15">
        <v>3567368.2558724657</v>
      </c>
      <c r="R218" s="15">
        <v>655543.34722965304</v>
      </c>
      <c r="S218" s="15">
        <v>0</v>
      </c>
      <c r="T218" s="15">
        <v>2911824.9086428126</v>
      </c>
      <c r="U218" s="15">
        <v>0</v>
      </c>
      <c r="V218" s="15">
        <v>0</v>
      </c>
      <c r="W218" s="15">
        <v>0</v>
      </c>
      <c r="X218" s="15">
        <v>0</v>
      </c>
      <c r="Y218" s="15">
        <v>30.381849467414987</v>
      </c>
      <c r="Z218" s="15">
        <v>0</v>
      </c>
      <c r="AA218" s="15">
        <v>30.343</v>
      </c>
      <c r="AB218" s="15">
        <v>0</v>
      </c>
      <c r="AC218" s="15">
        <v>3.8849467414987279E-2</v>
      </c>
      <c r="AD218" s="15">
        <v>101.45875275833953</v>
      </c>
      <c r="AE218" s="15">
        <v>-2.01599166043896E-3</v>
      </c>
      <c r="AF218" s="15">
        <v>0</v>
      </c>
      <c r="AG218" s="15">
        <v>0</v>
      </c>
      <c r="AH218" s="15">
        <v>0</v>
      </c>
      <c r="AI218" s="15">
        <v>101.46076874999997</v>
      </c>
      <c r="AJ218" s="15">
        <v>0</v>
      </c>
      <c r="AK218" s="15">
        <v>0</v>
      </c>
      <c r="AL218" s="15">
        <v>0</v>
      </c>
      <c r="AM218" s="15">
        <v>0</v>
      </c>
      <c r="AN218" s="15">
        <v>2611.5867091449227</v>
      </c>
      <c r="AO218" s="15">
        <v>-71.076903290924548</v>
      </c>
      <c r="AP218" s="15">
        <v>0</v>
      </c>
      <c r="AQ218" s="15">
        <v>0</v>
      </c>
      <c r="AR218" s="15">
        <v>0</v>
      </c>
      <c r="AS218" s="15">
        <v>0</v>
      </c>
      <c r="AT218" s="15">
        <v>0</v>
      </c>
      <c r="AU218" s="15">
        <v>95.955173905339606</v>
      </c>
      <c r="AV218" s="15">
        <v>66.320000000000007</v>
      </c>
      <c r="AW218" s="15">
        <v>66.320000000000007</v>
      </c>
      <c r="AX218" s="15">
        <v>0</v>
      </c>
      <c r="AY218" s="15">
        <v>0</v>
      </c>
      <c r="AZ218" s="15">
        <v>25.305473077421347</v>
      </c>
      <c r="BA218" s="15">
        <v>0</v>
      </c>
      <c r="BB218" s="15">
        <v>10.543947115592228</v>
      </c>
      <c r="BC218" s="15">
        <v>14.761525961829118</v>
      </c>
      <c r="BD218" s="15">
        <v>0</v>
      </c>
      <c r="BE218" s="15">
        <v>4.3297008279182476</v>
      </c>
      <c r="BF218" s="15">
        <v>1.5191932729537712</v>
      </c>
      <c r="BG218" s="15">
        <v>0</v>
      </c>
      <c r="BH218" s="15">
        <v>2.8105075549644765</v>
      </c>
      <c r="BI218" s="15">
        <v>0</v>
      </c>
      <c r="BJ218" s="15">
        <v>95.955173905339606</v>
      </c>
      <c r="BK218" s="15">
        <v>197.41392666367915</v>
      </c>
      <c r="BL218" s="15">
        <v>10228.584936610108</v>
      </c>
      <c r="BM218" s="15">
        <v>-5.5913230355158552</v>
      </c>
    </row>
    <row r="219" spans="1:65" x14ac:dyDescent="0.4">
      <c r="A219" s="15" t="s">
        <v>10702</v>
      </c>
      <c r="B219" s="15" t="s">
        <v>10301</v>
      </c>
      <c r="C219" s="15" t="s">
        <v>10625</v>
      </c>
      <c r="D219" s="15" t="s">
        <v>10307</v>
      </c>
      <c r="E219" s="15" t="s">
        <v>10903</v>
      </c>
      <c r="F219" s="15">
        <v>1963726</v>
      </c>
      <c r="G219" s="15">
        <v>0.89712450607071414</v>
      </c>
      <c r="H219" s="15">
        <v>200</v>
      </c>
      <c r="I219" s="118">
        <v>-346.7656720624318</v>
      </c>
      <c r="J219" s="117">
        <v>-2.021407355986812</v>
      </c>
      <c r="K219" s="15">
        <v>30</v>
      </c>
      <c r="L219" s="15">
        <v>2379.1870416630259</v>
      </c>
      <c r="M219" s="15">
        <v>235.94930782416182</v>
      </c>
      <c r="N219" s="15">
        <v>8219979.275606934</v>
      </c>
      <c r="O219" s="15">
        <v>6007158.8304082518</v>
      </c>
      <c r="P219" s="15">
        <v>1512887.1856754562</v>
      </c>
      <c r="Q219" s="15">
        <v>699933.25952322735</v>
      </c>
      <c r="R219" s="15">
        <v>699933.25952322735</v>
      </c>
      <c r="S219" s="15">
        <v>0</v>
      </c>
      <c r="T219" s="15">
        <v>0</v>
      </c>
      <c r="U219" s="15">
        <v>5357408210.8208227</v>
      </c>
      <c r="V219" s="15">
        <v>0</v>
      </c>
      <c r="W219" s="15">
        <v>0</v>
      </c>
      <c r="X219" s="15">
        <v>0</v>
      </c>
      <c r="Y219" s="15">
        <v>30.412684559262996</v>
      </c>
      <c r="Z219" s="15">
        <v>0</v>
      </c>
      <c r="AA219" s="15">
        <v>30.343</v>
      </c>
      <c r="AB219" s="15">
        <v>0</v>
      </c>
      <c r="AC219" s="15">
        <v>6.9684559262996479E-2</v>
      </c>
      <c r="AD219" s="15">
        <v>377.17835662169477</v>
      </c>
      <c r="AE219" s="15">
        <v>4.3029995622570318E-3</v>
      </c>
      <c r="AF219" s="15">
        <v>0</v>
      </c>
      <c r="AG219" s="15">
        <v>0</v>
      </c>
      <c r="AH219" s="15">
        <v>1.9202922796136244E-3</v>
      </c>
      <c r="AI219" s="15">
        <v>123.0003582294425</v>
      </c>
      <c r="AJ219" s="15">
        <v>254.17177510041043</v>
      </c>
      <c r="AK219" s="15">
        <v>0</v>
      </c>
      <c r="AL219" s="15">
        <v>0</v>
      </c>
      <c r="AM219" s="15">
        <v>0</v>
      </c>
      <c r="AN219" s="15">
        <v>5412.6532564866493</v>
      </c>
      <c r="AO219" s="15">
        <v>-346.7656720624318</v>
      </c>
      <c r="AP219" s="15">
        <v>6.2232918418706562E-3</v>
      </c>
      <c r="AQ219" s="15">
        <v>4.3029995622570318E-3</v>
      </c>
      <c r="AR219" s="15">
        <v>0</v>
      </c>
      <c r="AS219" s="15">
        <v>0</v>
      </c>
      <c r="AT219" s="15">
        <v>1.9202922796136244E-3</v>
      </c>
      <c r="AU219" s="15">
        <v>123.77010039717348</v>
      </c>
      <c r="AV219" s="15">
        <v>81.594999999999999</v>
      </c>
      <c r="AW219" s="15">
        <v>81.594999999999999</v>
      </c>
      <c r="AX219" s="15">
        <v>0</v>
      </c>
      <c r="AY219" s="15">
        <v>0</v>
      </c>
      <c r="AZ219" s="15">
        <v>37.842179666565968</v>
      </c>
      <c r="BA219" s="15">
        <v>0</v>
      </c>
      <c r="BB219" s="15">
        <v>15.767574861069154</v>
      </c>
      <c r="BC219" s="15">
        <v>22.074604805496815</v>
      </c>
      <c r="BD219" s="15">
        <v>0</v>
      </c>
      <c r="BE219" s="15">
        <v>4.3329207306075137</v>
      </c>
      <c r="BF219" s="15">
        <v>1.5203230633710576</v>
      </c>
      <c r="BG219" s="15">
        <v>0</v>
      </c>
      <c r="BH219" s="15">
        <v>2.8125976672364565</v>
      </c>
      <c r="BI219" s="15">
        <v>0</v>
      </c>
      <c r="BJ219" s="15">
        <v>123.77632368901536</v>
      </c>
      <c r="BK219" s="15">
        <v>500.95468031071016</v>
      </c>
      <c r="BL219" s="15">
        <v>10057.966975241061</v>
      </c>
      <c r="BM219" s="15">
        <v>-2.021407355986812</v>
      </c>
    </row>
    <row r="220" spans="1:65" s="56" customFormat="1" x14ac:dyDescent="0.4">
      <c r="A220" s="15" t="s">
        <v>10702</v>
      </c>
      <c r="B220" s="15" t="s">
        <v>10301</v>
      </c>
      <c r="C220" s="15" t="s">
        <v>10625</v>
      </c>
      <c r="D220" s="15" t="s">
        <v>10308</v>
      </c>
      <c r="E220" s="15" t="s">
        <v>10904</v>
      </c>
      <c r="F220" s="15">
        <v>1963726</v>
      </c>
      <c r="G220" s="15">
        <v>0.89712450607071414</v>
      </c>
      <c r="H220" s="15">
        <v>200</v>
      </c>
      <c r="I220" s="118">
        <v>-346.7656720624318</v>
      </c>
      <c r="J220" s="117">
        <v>-2.021407355986812</v>
      </c>
      <c r="K220" s="15">
        <v>30</v>
      </c>
      <c r="L220" s="15">
        <v>2379.1870416630259</v>
      </c>
      <c r="M220" s="15">
        <v>235.94930782416182</v>
      </c>
      <c r="N220" s="15">
        <v>8219979.275606934</v>
      </c>
      <c r="O220" s="15">
        <v>6007158.8304082518</v>
      </c>
      <c r="P220" s="15">
        <v>1512887.1856754562</v>
      </c>
      <c r="Q220" s="15">
        <v>699933.25952322735</v>
      </c>
      <c r="R220" s="15">
        <v>699933.25952322735</v>
      </c>
      <c r="S220" s="15">
        <v>0</v>
      </c>
      <c r="T220" s="15">
        <v>0</v>
      </c>
      <c r="U220" s="15">
        <v>5357408210.8208227</v>
      </c>
      <c r="V220" s="15">
        <v>0</v>
      </c>
      <c r="W220" s="15">
        <v>0</v>
      </c>
      <c r="X220" s="15">
        <v>0</v>
      </c>
      <c r="Y220" s="15">
        <v>30.412684559262996</v>
      </c>
      <c r="Z220" s="15">
        <v>0</v>
      </c>
      <c r="AA220" s="15">
        <v>30.343</v>
      </c>
      <c r="AB220" s="15">
        <v>0</v>
      </c>
      <c r="AC220" s="15">
        <v>6.9684559262996479E-2</v>
      </c>
      <c r="AD220" s="15">
        <v>377.17835662169477</v>
      </c>
      <c r="AE220" s="15">
        <v>4.3029995622570318E-3</v>
      </c>
      <c r="AF220" s="15">
        <v>0</v>
      </c>
      <c r="AG220" s="15">
        <v>0</v>
      </c>
      <c r="AH220" s="15">
        <v>1.9202922796136244E-3</v>
      </c>
      <c r="AI220" s="15">
        <v>123.0003582294425</v>
      </c>
      <c r="AJ220" s="15">
        <v>254.17177510041043</v>
      </c>
      <c r="AK220" s="15">
        <v>0</v>
      </c>
      <c r="AL220" s="15">
        <v>0</v>
      </c>
      <c r="AM220" s="15">
        <v>0</v>
      </c>
      <c r="AN220" s="15">
        <v>5412.6532564866493</v>
      </c>
      <c r="AO220" s="15">
        <v>-346.7656720624318</v>
      </c>
      <c r="AP220" s="15">
        <v>6.2232918418706562E-3</v>
      </c>
      <c r="AQ220" s="15">
        <v>4.3029995622570318E-3</v>
      </c>
      <c r="AR220" s="15">
        <v>0</v>
      </c>
      <c r="AS220" s="15">
        <v>0</v>
      </c>
      <c r="AT220" s="15">
        <v>1.9202922796136244E-3</v>
      </c>
      <c r="AU220" s="15">
        <v>123.77010039717348</v>
      </c>
      <c r="AV220" s="15">
        <v>81.594999999999999</v>
      </c>
      <c r="AW220" s="15">
        <v>81.594999999999999</v>
      </c>
      <c r="AX220" s="15">
        <v>0</v>
      </c>
      <c r="AY220" s="15">
        <v>0</v>
      </c>
      <c r="AZ220" s="15">
        <v>37.842179666565968</v>
      </c>
      <c r="BA220" s="15">
        <v>0</v>
      </c>
      <c r="BB220" s="15">
        <v>15.767574861069154</v>
      </c>
      <c r="BC220" s="15">
        <v>22.074604805496815</v>
      </c>
      <c r="BD220" s="15">
        <v>0</v>
      </c>
      <c r="BE220" s="15">
        <v>4.3329207306075137</v>
      </c>
      <c r="BF220" s="15">
        <v>1.5203230633710576</v>
      </c>
      <c r="BG220" s="15">
        <v>0</v>
      </c>
      <c r="BH220" s="15">
        <v>2.8125976672364565</v>
      </c>
      <c r="BI220" s="15">
        <v>0</v>
      </c>
      <c r="BJ220" s="15">
        <v>123.77632368901536</v>
      </c>
      <c r="BK220" s="55">
        <v>500.95468031071016</v>
      </c>
      <c r="BL220" s="55">
        <v>10057.966975241061</v>
      </c>
      <c r="BM220" s="55">
        <v>-2.021407355986812</v>
      </c>
    </row>
    <row r="221" spans="1:65" s="56" customFormat="1" x14ac:dyDescent="0.4">
      <c r="A221" s="55" t="s">
        <v>10702</v>
      </c>
      <c r="B221" s="55" t="s">
        <v>10301</v>
      </c>
      <c r="C221" s="55" t="s">
        <v>10870</v>
      </c>
      <c r="D221" s="55" t="s">
        <v>10307</v>
      </c>
      <c r="E221" s="55" t="s">
        <v>10905</v>
      </c>
      <c r="F221" s="55">
        <v>1963726</v>
      </c>
      <c r="G221" s="55">
        <v>0.89712450607071414</v>
      </c>
      <c r="H221" s="55">
        <v>200</v>
      </c>
      <c r="I221" s="55">
        <v>-346.7656720624318</v>
      </c>
      <c r="J221" s="92">
        <v>-2.021407355986812</v>
      </c>
      <c r="K221" s="55">
        <v>30</v>
      </c>
      <c r="L221" s="55">
        <v>2379.1870416630259</v>
      </c>
      <c r="M221" s="55">
        <v>235.94930782416182</v>
      </c>
      <c r="N221" s="55">
        <v>8219979.275606934</v>
      </c>
      <c r="O221" s="55">
        <v>6007158.8304082518</v>
      </c>
      <c r="P221" s="55">
        <v>1512887.1856754562</v>
      </c>
      <c r="Q221" s="55">
        <v>699933.25952322735</v>
      </c>
      <c r="R221" s="55">
        <v>699933.25952322735</v>
      </c>
      <c r="S221" s="55">
        <v>0</v>
      </c>
      <c r="T221" s="55">
        <v>0</v>
      </c>
      <c r="U221" s="55">
        <v>5357408210.8208227</v>
      </c>
      <c r="V221" s="55">
        <v>0</v>
      </c>
      <c r="W221" s="55">
        <v>0</v>
      </c>
      <c r="X221" s="55">
        <v>0</v>
      </c>
      <c r="Y221" s="55">
        <v>30.412684559262996</v>
      </c>
      <c r="Z221" s="55">
        <v>0</v>
      </c>
      <c r="AA221" s="55">
        <v>30.343</v>
      </c>
      <c r="AB221" s="55">
        <v>0</v>
      </c>
      <c r="AC221" s="55">
        <v>6.9684559262996479E-2</v>
      </c>
      <c r="AD221" s="55">
        <v>377.17835662169477</v>
      </c>
      <c r="AE221" s="55">
        <v>4.3029995622570318E-3</v>
      </c>
      <c r="AF221" s="55">
        <v>0</v>
      </c>
      <c r="AG221" s="55">
        <v>0</v>
      </c>
      <c r="AH221" s="55">
        <v>1.9202922796136244E-3</v>
      </c>
      <c r="AI221" s="55">
        <v>123.0003582294425</v>
      </c>
      <c r="AJ221" s="55">
        <v>254.17177510041043</v>
      </c>
      <c r="AK221" s="55">
        <v>0</v>
      </c>
      <c r="AL221" s="55">
        <v>0</v>
      </c>
      <c r="AM221" s="55">
        <v>0</v>
      </c>
      <c r="AN221" s="55">
        <v>5412.6532564866493</v>
      </c>
      <c r="AO221" s="55">
        <v>-346.7656720624318</v>
      </c>
      <c r="AP221" s="55">
        <v>6.2232918418706562E-3</v>
      </c>
      <c r="AQ221" s="55">
        <v>4.3029995622570318E-3</v>
      </c>
      <c r="AR221" s="55">
        <v>0</v>
      </c>
      <c r="AS221" s="55">
        <v>0</v>
      </c>
      <c r="AT221" s="55">
        <v>1.9202922796136244E-3</v>
      </c>
      <c r="AU221" s="55">
        <v>123.77010039717348</v>
      </c>
      <c r="AV221" s="55">
        <v>81.594999999999999</v>
      </c>
      <c r="AW221" s="55">
        <v>81.594999999999999</v>
      </c>
      <c r="AX221" s="55">
        <v>0</v>
      </c>
      <c r="AY221" s="55">
        <v>0</v>
      </c>
      <c r="AZ221" s="55">
        <v>37.842179666565968</v>
      </c>
      <c r="BA221" s="55">
        <v>0</v>
      </c>
      <c r="BB221" s="55">
        <v>15.767574861069154</v>
      </c>
      <c r="BC221" s="55">
        <v>22.074604805496815</v>
      </c>
      <c r="BD221" s="55">
        <v>0</v>
      </c>
      <c r="BE221" s="55">
        <v>4.3329207306075137</v>
      </c>
      <c r="BF221" s="55">
        <v>1.5203230633710576</v>
      </c>
      <c r="BG221" s="55">
        <v>0</v>
      </c>
      <c r="BH221" s="55">
        <v>2.8125976672364565</v>
      </c>
      <c r="BI221" s="55">
        <v>0</v>
      </c>
      <c r="BJ221" s="55">
        <v>123.77632368901536</v>
      </c>
      <c r="BK221" s="55">
        <v>500.95468031071016</v>
      </c>
      <c r="BL221" s="55">
        <v>10057.966975241061</v>
      </c>
      <c r="BM221" s="55">
        <v>-2.021407355986812</v>
      </c>
    </row>
    <row r="222" spans="1:65" x14ac:dyDescent="0.4">
      <c r="A222" s="15" t="s">
        <v>10702</v>
      </c>
      <c r="B222" s="15" t="s">
        <v>10301</v>
      </c>
      <c r="C222" s="15" t="s">
        <v>10626</v>
      </c>
      <c r="D222" s="15" t="s">
        <v>10302</v>
      </c>
      <c r="E222" s="15" t="s">
        <v>10906</v>
      </c>
      <c r="F222" s="15">
        <v>1353415</v>
      </c>
      <c r="G222" s="15">
        <v>0.89712450680948685</v>
      </c>
      <c r="H222" s="15">
        <v>200</v>
      </c>
      <c r="I222" s="119">
        <v>1666.2743893921152</v>
      </c>
      <c r="J222" s="120">
        <v>0.73736577371600576</v>
      </c>
      <c r="K222" s="15">
        <v>30</v>
      </c>
      <c r="L222" s="15">
        <v>623.25373943528768</v>
      </c>
      <c r="M222" s="15">
        <v>241.2081028741888</v>
      </c>
      <c r="N222" s="15">
        <v>5665272.6808408685</v>
      </c>
      <c r="O222" s="15">
        <v>1058610.0205055843</v>
      </c>
      <c r="P222" s="15">
        <v>2140856.9749538074</v>
      </c>
      <c r="Q222" s="15">
        <v>2465805.6853814772</v>
      </c>
      <c r="R222" s="15">
        <v>451805.49629705935</v>
      </c>
      <c r="S222" s="15">
        <v>946747.79510421108</v>
      </c>
      <c r="T222" s="15">
        <v>1067252.3939802072</v>
      </c>
      <c r="U222" s="15">
        <v>0</v>
      </c>
      <c r="V222" s="15">
        <v>687965787.16151929</v>
      </c>
      <c r="W222" s="15">
        <v>0</v>
      </c>
      <c r="X222" s="15">
        <v>0</v>
      </c>
      <c r="Y222" s="15">
        <v>1812.1391363601747</v>
      </c>
      <c r="Z222" s="15">
        <v>0</v>
      </c>
      <c r="AA222" s="15">
        <v>952.60500000000002</v>
      </c>
      <c r="AB222" s="15">
        <v>859.45799999999997</v>
      </c>
      <c r="AC222" s="15">
        <v>7.6136360174600612E-2</v>
      </c>
      <c r="AD222" s="15">
        <v>145.86474696805953</v>
      </c>
      <c r="AE222" s="15">
        <v>1.1708659717452345E-3</v>
      </c>
      <c r="AF222" s="15">
        <v>0</v>
      </c>
      <c r="AG222" s="15">
        <v>0</v>
      </c>
      <c r="AH222" s="15">
        <v>1.8017760868404605E-3</v>
      </c>
      <c r="AI222" s="15">
        <v>101.46076874999996</v>
      </c>
      <c r="AJ222" s="15">
        <v>44.401005576000891</v>
      </c>
      <c r="AK222" s="15">
        <v>0</v>
      </c>
      <c r="AL222" s="15">
        <v>0</v>
      </c>
      <c r="AM222" s="15">
        <v>0</v>
      </c>
      <c r="AN222" s="15">
        <v>1915.8355696746401</v>
      </c>
      <c r="AO222" s="15">
        <v>1666.2743893921152</v>
      </c>
      <c r="AP222" s="15">
        <v>2.9726420585856951E-3</v>
      </c>
      <c r="AQ222" s="15">
        <v>1.1708659717452345E-3</v>
      </c>
      <c r="AR222" s="15">
        <v>0</v>
      </c>
      <c r="AS222" s="15">
        <v>0</v>
      </c>
      <c r="AT222" s="15">
        <v>1.8017760868404605E-3</v>
      </c>
      <c r="AU222" s="15">
        <v>882.78598474716409</v>
      </c>
      <c r="AV222" s="15">
        <v>596.88721705750004</v>
      </c>
      <c r="AW222" s="15">
        <v>596.88721705750004</v>
      </c>
      <c r="AX222" s="15">
        <v>0</v>
      </c>
      <c r="AY222" s="15">
        <v>0</v>
      </c>
      <c r="AZ222" s="15">
        <v>27.669364359832446</v>
      </c>
      <c r="BA222" s="15">
        <v>0</v>
      </c>
      <c r="BB222" s="15">
        <v>11.528901816596854</v>
      </c>
      <c r="BC222" s="15">
        <v>16.140462543235593</v>
      </c>
      <c r="BD222" s="15">
        <v>0</v>
      </c>
      <c r="BE222" s="15">
        <v>258.22940332983154</v>
      </c>
      <c r="BF222" s="15">
        <v>90.606808185905805</v>
      </c>
      <c r="BG222" s="15">
        <v>0</v>
      </c>
      <c r="BH222" s="15">
        <v>167.62259514392574</v>
      </c>
      <c r="BI222" s="15">
        <v>0</v>
      </c>
      <c r="BJ222" s="15">
        <v>882.78895738922267</v>
      </c>
      <c r="BK222" s="15">
        <v>1028.6537043572821</v>
      </c>
      <c r="BL222" s="15">
        <v>16136.541925298996</v>
      </c>
      <c r="BM222" s="15">
        <v>0.73736577371600576</v>
      </c>
    </row>
    <row r="223" spans="1:65" x14ac:dyDescent="0.4">
      <c r="A223" s="15" t="s">
        <v>10702</v>
      </c>
      <c r="B223" s="15" t="s">
        <v>10301</v>
      </c>
      <c r="C223" s="15" t="s">
        <v>10626</v>
      </c>
      <c r="D223" s="15" t="s">
        <v>10303</v>
      </c>
      <c r="E223" s="15" t="s">
        <v>10907</v>
      </c>
      <c r="F223" s="15">
        <v>1353415</v>
      </c>
      <c r="G223" s="15">
        <v>0.89712450680948685</v>
      </c>
      <c r="H223" s="15">
        <v>200</v>
      </c>
      <c r="I223" s="119">
        <v>1710.6783623344502</v>
      </c>
      <c r="J223" s="120">
        <v>0.69226766986265453</v>
      </c>
      <c r="K223" s="15">
        <v>30</v>
      </c>
      <c r="L223" s="15">
        <v>623.25373943528768</v>
      </c>
      <c r="M223" s="15">
        <v>241.2081028741888</v>
      </c>
      <c r="N223" s="15">
        <v>5665272.6808408685</v>
      </c>
      <c r="O223" s="15">
        <v>1058610.0205055843</v>
      </c>
      <c r="P223" s="15">
        <v>2140856.9749538074</v>
      </c>
      <c r="Q223" s="15">
        <v>2465805.6853814772</v>
      </c>
      <c r="R223" s="15">
        <v>451805.49629705935</v>
      </c>
      <c r="S223" s="15">
        <v>946747.79510421108</v>
      </c>
      <c r="T223" s="15">
        <v>1067252.3939802072</v>
      </c>
      <c r="U223" s="15">
        <v>0</v>
      </c>
      <c r="V223" s="15">
        <v>0</v>
      </c>
      <c r="W223" s="15">
        <v>171991446.79037982</v>
      </c>
      <c r="X223" s="15">
        <v>0</v>
      </c>
      <c r="Y223" s="15">
        <v>1812.1391363601747</v>
      </c>
      <c r="Z223" s="15">
        <v>0</v>
      </c>
      <c r="AA223" s="15">
        <v>952.60500000000002</v>
      </c>
      <c r="AB223" s="15">
        <v>859.45799999999997</v>
      </c>
      <c r="AC223" s="15">
        <v>7.6136360174600612E-2</v>
      </c>
      <c r="AD223" s="15">
        <v>101.4607740257245</v>
      </c>
      <c r="AE223" s="15">
        <v>-1.3304627947115402E-3</v>
      </c>
      <c r="AF223" s="15">
        <v>1.0704771958016497E-4</v>
      </c>
      <c r="AG223" s="15">
        <v>2.311108652221908E-4</v>
      </c>
      <c r="AH223" s="15">
        <v>0</v>
      </c>
      <c r="AI223" s="15">
        <v>101.46076874999996</v>
      </c>
      <c r="AJ223" s="15">
        <v>0</v>
      </c>
      <c r="AK223" s="15">
        <v>9.975799343233979E-4</v>
      </c>
      <c r="AL223" s="15">
        <v>0</v>
      </c>
      <c r="AM223" s="15">
        <v>0</v>
      </c>
      <c r="AN223" s="15">
        <v>1332.6191821233426</v>
      </c>
      <c r="AO223" s="15">
        <v>1710.6783623344502</v>
      </c>
      <c r="AP223" s="15">
        <v>0</v>
      </c>
      <c r="AQ223" s="15">
        <v>0</v>
      </c>
      <c r="AR223" s="15">
        <v>0</v>
      </c>
      <c r="AS223" s="15">
        <v>0</v>
      </c>
      <c r="AT223" s="15">
        <v>0</v>
      </c>
      <c r="AU223" s="15">
        <v>882.78654975200732</v>
      </c>
      <c r="AV223" s="15">
        <v>596.88721705750004</v>
      </c>
      <c r="AW223" s="15">
        <v>596.88721705750004</v>
      </c>
      <c r="AX223" s="15">
        <v>0</v>
      </c>
      <c r="AY223" s="15">
        <v>0</v>
      </c>
      <c r="AZ223" s="15">
        <v>27.669364359832446</v>
      </c>
      <c r="BA223" s="15">
        <v>0</v>
      </c>
      <c r="BB223" s="15">
        <v>11.528901816596854</v>
      </c>
      <c r="BC223" s="15">
        <v>16.140462543235593</v>
      </c>
      <c r="BD223" s="15">
        <v>0</v>
      </c>
      <c r="BE223" s="15">
        <v>258.22996833467482</v>
      </c>
      <c r="BF223" s="15">
        <v>90.607006433219226</v>
      </c>
      <c r="BG223" s="15">
        <v>0</v>
      </c>
      <c r="BH223" s="15">
        <v>167.62296190145557</v>
      </c>
      <c r="BI223" s="15">
        <v>0</v>
      </c>
      <c r="BJ223" s="15">
        <v>882.78654975200732</v>
      </c>
      <c r="BK223" s="15">
        <v>984.24732377773182</v>
      </c>
      <c r="BL223" s="15">
        <v>15553.293915048505</v>
      </c>
      <c r="BM223" s="15">
        <v>0.69226766986265453</v>
      </c>
    </row>
    <row r="224" spans="1:65" x14ac:dyDescent="0.4">
      <c r="A224" s="15" t="s">
        <v>10702</v>
      </c>
      <c r="B224" s="15" t="s">
        <v>10301</v>
      </c>
      <c r="C224" s="15" t="s">
        <v>10626</v>
      </c>
      <c r="D224" s="15" t="s">
        <v>10304</v>
      </c>
      <c r="E224" s="15" t="s">
        <v>10908</v>
      </c>
      <c r="F224" s="15">
        <v>1353415</v>
      </c>
      <c r="G224" s="15">
        <v>0.89712450680948685</v>
      </c>
      <c r="H224" s="15">
        <v>200</v>
      </c>
      <c r="I224" s="119">
        <v>1710.678700493035</v>
      </c>
      <c r="J224" s="120">
        <v>0.69226736351217399</v>
      </c>
      <c r="K224" s="15">
        <v>30</v>
      </c>
      <c r="L224" s="15">
        <v>623.25373943528768</v>
      </c>
      <c r="M224" s="15">
        <v>241.2081028741888</v>
      </c>
      <c r="N224" s="15">
        <v>5665272.6808408685</v>
      </c>
      <c r="O224" s="15">
        <v>1058610.0205055843</v>
      </c>
      <c r="P224" s="15">
        <v>2140856.9749538074</v>
      </c>
      <c r="Q224" s="15">
        <v>2465805.6853814772</v>
      </c>
      <c r="R224" s="15">
        <v>451805.49629705935</v>
      </c>
      <c r="S224" s="15">
        <v>946747.79510421108</v>
      </c>
      <c r="T224" s="15">
        <v>1067252.3939802072</v>
      </c>
      <c r="U224" s="15">
        <v>0</v>
      </c>
      <c r="V224" s="15">
        <v>0</v>
      </c>
      <c r="W224" s="15">
        <v>0</v>
      </c>
      <c r="X224" s="15">
        <v>171991446790.37982</v>
      </c>
      <c r="Y224" s="15">
        <v>1812.1391363601747</v>
      </c>
      <c r="Z224" s="15">
        <v>0</v>
      </c>
      <c r="AA224" s="15">
        <v>952.60500000000002</v>
      </c>
      <c r="AB224" s="15">
        <v>859.45799999999997</v>
      </c>
      <c r="AC224" s="15">
        <v>7.6136360174600612E-2</v>
      </c>
      <c r="AD224" s="15">
        <v>101.46043586713972</v>
      </c>
      <c r="AE224" s="15">
        <v>-1.3304627947115402E-3</v>
      </c>
      <c r="AF224" s="15">
        <v>0</v>
      </c>
      <c r="AG224" s="15">
        <v>0</v>
      </c>
      <c r="AH224" s="15">
        <v>0</v>
      </c>
      <c r="AI224" s="15">
        <v>101.46076874999996</v>
      </c>
      <c r="AJ224" s="15">
        <v>0</v>
      </c>
      <c r="AK224" s="15">
        <v>9.975799343233979E-4</v>
      </c>
      <c r="AL224" s="15">
        <v>0</v>
      </c>
      <c r="AM224" s="15">
        <v>0</v>
      </c>
      <c r="AN224" s="15">
        <v>1332.6147406372511</v>
      </c>
      <c r="AO224" s="15">
        <v>1710.678700493035</v>
      </c>
      <c r="AP224" s="15">
        <v>0</v>
      </c>
      <c r="AQ224" s="15">
        <v>0</v>
      </c>
      <c r="AR224" s="15">
        <v>0</v>
      </c>
      <c r="AS224" s="15">
        <v>0</v>
      </c>
      <c r="AT224" s="15">
        <v>0</v>
      </c>
      <c r="AU224" s="15">
        <v>882.7865979396056</v>
      </c>
      <c r="AV224" s="15">
        <v>596.88721705750004</v>
      </c>
      <c r="AW224" s="15">
        <v>596.88721705750004</v>
      </c>
      <c r="AX224" s="15">
        <v>0</v>
      </c>
      <c r="AY224" s="15">
        <v>0</v>
      </c>
      <c r="AZ224" s="15">
        <v>27.669364359832446</v>
      </c>
      <c r="BA224" s="15">
        <v>0</v>
      </c>
      <c r="BB224" s="15">
        <v>11.528901816596854</v>
      </c>
      <c r="BC224" s="15">
        <v>16.140462543235593</v>
      </c>
      <c r="BD224" s="15">
        <v>0</v>
      </c>
      <c r="BE224" s="15">
        <v>258.2300165222731</v>
      </c>
      <c r="BF224" s="15">
        <v>90.607023341148476</v>
      </c>
      <c r="BG224" s="15">
        <v>0</v>
      </c>
      <c r="BH224" s="15">
        <v>167.62299318112466</v>
      </c>
      <c r="BI224" s="15">
        <v>0</v>
      </c>
      <c r="BJ224" s="15">
        <v>882.7865979396056</v>
      </c>
      <c r="BK224" s="15">
        <v>984.24703380674532</v>
      </c>
      <c r="BL224" s="15">
        <v>15553.290106474184</v>
      </c>
      <c r="BM224" s="15">
        <v>0.69226736351217399</v>
      </c>
    </row>
    <row r="225" spans="1:65" x14ac:dyDescent="0.4">
      <c r="A225" s="15" t="s">
        <v>10702</v>
      </c>
      <c r="B225" s="15" t="s">
        <v>10301</v>
      </c>
      <c r="C225" s="15" t="s">
        <v>10626</v>
      </c>
      <c r="D225" s="15" t="s">
        <v>10305</v>
      </c>
      <c r="E225" s="15" t="s">
        <v>10909</v>
      </c>
      <c r="F225" s="15">
        <v>1353415</v>
      </c>
      <c r="G225" s="15">
        <v>0.89712450680948685</v>
      </c>
      <c r="H225" s="15">
        <v>200</v>
      </c>
      <c r="I225" s="119">
        <v>1710.6726882063153</v>
      </c>
      <c r="J225" s="120">
        <v>0.67618000554799806</v>
      </c>
      <c r="K225" s="15">
        <v>30</v>
      </c>
      <c r="L225" s="15">
        <v>389.98094888229076</v>
      </c>
      <c r="M225" s="15">
        <v>228.34298780880536</v>
      </c>
      <c r="N225" s="15">
        <v>5665272.6808408685</v>
      </c>
      <c r="O225" s="15">
        <v>798718.46890834998</v>
      </c>
      <c r="P225" s="15">
        <v>2233675.386238534</v>
      </c>
      <c r="Q225" s="15">
        <v>2632878.8256939854</v>
      </c>
      <c r="R225" s="15">
        <v>451805.49629705935</v>
      </c>
      <c r="S225" s="15">
        <v>1113820.9354167189</v>
      </c>
      <c r="T225" s="15">
        <v>1067252.3939802072</v>
      </c>
      <c r="U225" s="15">
        <v>0</v>
      </c>
      <c r="V225" s="15">
        <v>0</v>
      </c>
      <c r="W225" s="15">
        <v>0</v>
      </c>
      <c r="X225" s="15">
        <v>0</v>
      </c>
      <c r="Y225" s="15">
        <v>1812.1324097387949</v>
      </c>
      <c r="Z225" s="15">
        <v>0</v>
      </c>
      <c r="AA225" s="15">
        <v>952.60500000000002</v>
      </c>
      <c r="AB225" s="15">
        <v>859.45799999999997</v>
      </c>
      <c r="AC225" s="15">
        <v>6.9409738794844564E-2</v>
      </c>
      <c r="AD225" s="15">
        <v>101.45972153247953</v>
      </c>
      <c r="AE225" s="15">
        <v>-1.0472175203360809E-3</v>
      </c>
      <c r="AF225" s="15">
        <v>0</v>
      </c>
      <c r="AG225" s="15">
        <v>0</v>
      </c>
      <c r="AH225" s="15">
        <v>0</v>
      </c>
      <c r="AI225" s="15">
        <v>101.46076874999996</v>
      </c>
      <c r="AJ225" s="15">
        <v>0</v>
      </c>
      <c r="AK225" s="15">
        <v>0</v>
      </c>
      <c r="AL225" s="15">
        <v>0</v>
      </c>
      <c r="AM225" s="15">
        <v>0</v>
      </c>
      <c r="AN225" s="15">
        <v>1461.7505164853826</v>
      </c>
      <c r="AO225" s="15">
        <v>1710.6726882063153</v>
      </c>
      <c r="AP225" s="15">
        <v>0</v>
      </c>
      <c r="AQ225" s="15">
        <v>0</v>
      </c>
      <c r="AR225" s="15">
        <v>0</v>
      </c>
      <c r="AS225" s="15">
        <v>0</v>
      </c>
      <c r="AT225" s="15">
        <v>0</v>
      </c>
      <c r="AU225" s="15">
        <v>855.26294626967547</v>
      </c>
      <c r="AV225" s="15">
        <v>581.16769705000002</v>
      </c>
      <c r="AW225" s="15">
        <v>581.16769705000002</v>
      </c>
      <c r="AX225" s="15">
        <v>0</v>
      </c>
      <c r="AY225" s="15">
        <v>0</v>
      </c>
      <c r="AZ225" s="15">
        <v>15.866231603400493</v>
      </c>
      <c r="BA225" s="15">
        <v>0</v>
      </c>
      <c r="BB225" s="15">
        <v>6.6109298347502055</v>
      </c>
      <c r="BC225" s="15">
        <v>9.2553017686502876</v>
      </c>
      <c r="BD225" s="15">
        <v>0</v>
      </c>
      <c r="BE225" s="15">
        <v>258.22901761627492</v>
      </c>
      <c r="BF225" s="15">
        <v>90.606672847815773</v>
      </c>
      <c r="BG225" s="15">
        <v>0</v>
      </c>
      <c r="BH225" s="15">
        <v>167.62234476845916</v>
      </c>
      <c r="BI225" s="15">
        <v>0</v>
      </c>
      <c r="BJ225" s="15">
        <v>855.26294626967547</v>
      </c>
      <c r="BK225" s="15">
        <v>956.722667802155</v>
      </c>
      <c r="BL225" s="15">
        <v>16664.135006790591</v>
      </c>
      <c r="BM225" s="15">
        <v>0.67618000554799806</v>
      </c>
    </row>
    <row r="226" spans="1:65" x14ac:dyDescent="0.4">
      <c r="A226" s="15" t="s">
        <v>10702</v>
      </c>
      <c r="B226" s="15" t="s">
        <v>10301</v>
      </c>
      <c r="C226" s="15" t="s">
        <v>10626</v>
      </c>
      <c r="D226" s="15" t="s">
        <v>10306</v>
      </c>
      <c r="E226" s="15" t="s">
        <v>10910</v>
      </c>
      <c r="F226" s="15">
        <v>1353415</v>
      </c>
      <c r="G226" s="15">
        <v>0.89712450680948685</v>
      </c>
      <c r="H226" s="15">
        <v>200</v>
      </c>
      <c r="I226" s="119">
        <v>1710.6782771983931</v>
      </c>
      <c r="J226" s="120">
        <v>0.71023106488289989</v>
      </c>
      <c r="K226" s="15">
        <v>30</v>
      </c>
      <c r="L226" s="15">
        <v>690.39105438482397</v>
      </c>
      <c r="M226" s="15">
        <v>228.2307604694974</v>
      </c>
      <c r="N226" s="15">
        <v>5665272.6808408685</v>
      </c>
      <c r="O226" s="15">
        <v>1298551.3143572379</v>
      </c>
      <c r="P226" s="15">
        <v>1908063.838907205</v>
      </c>
      <c r="Q226" s="15">
        <v>2458657.527576427</v>
      </c>
      <c r="R226" s="15">
        <v>451805.49629705935</v>
      </c>
      <c r="S226" s="15">
        <v>0</v>
      </c>
      <c r="T226" s="15">
        <v>2006852.0312793674</v>
      </c>
      <c r="U226" s="15">
        <v>0</v>
      </c>
      <c r="V226" s="15">
        <v>0</v>
      </c>
      <c r="W226" s="15">
        <v>0</v>
      </c>
      <c r="X226" s="15">
        <v>0</v>
      </c>
      <c r="Y226" s="15">
        <v>1812.1370299567325</v>
      </c>
      <c r="Z226" s="15">
        <v>0</v>
      </c>
      <c r="AA226" s="15">
        <v>952.60500000000002</v>
      </c>
      <c r="AB226" s="15">
        <v>859.45799999999997</v>
      </c>
      <c r="AC226" s="15">
        <v>7.4029956732484456E-2</v>
      </c>
      <c r="AD226" s="15">
        <v>101.45875275833941</v>
      </c>
      <c r="AE226" s="15">
        <v>-2.0159916604389591E-3</v>
      </c>
      <c r="AF226" s="15">
        <v>0</v>
      </c>
      <c r="AG226" s="15">
        <v>0</v>
      </c>
      <c r="AH226" s="15">
        <v>0</v>
      </c>
      <c r="AI226" s="15">
        <v>101.46076874999996</v>
      </c>
      <c r="AJ226" s="15">
        <v>0</v>
      </c>
      <c r="AK226" s="15">
        <v>0</v>
      </c>
      <c r="AL226" s="15">
        <v>0</v>
      </c>
      <c r="AM226" s="15">
        <v>0</v>
      </c>
      <c r="AN226" s="15">
        <v>1370.5094158702805</v>
      </c>
      <c r="AO226" s="15">
        <v>1710.6782771983931</v>
      </c>
      <c r="AP226" s="15">
        <v>0</v>
      </c>
      <c r="AQ226" s="15">
        <v>0</v>
      </c>
      <c r="AR226" s="15">
        <v>0</v>
      </c>
      <c r="AS226" s="15">
        <v>0</v>
      </c>
      <c r="AT226" s="15">
        <v>0</v>
      </c>
      <c r="AU226" s="15">
        <v>913.51810172831983</v>
      </c>
      <c r="AV226" s="15">
        <v>636.31254560000002</v>
      </c>
      <c r="AW226" s="15">
        <v>636.31254560000002</v>
      </c>
      <c r="AX226" s="15">
        <v>0</v>
      </c>
      <c r="AY226" s="15">
        <v>0</v>
      </c>
      <c r="AZ226" s="15">
        <v>18.975742080673875</v>
      </c>
      <c r="BA226" s="15">
        <v>0</v>
      </c>
      <c r="BB226" s="15">
        <v>7.906559200280781</v>
      </c>
      <c r="BC226" s="15">
        <v>11.069182880393093</v>
      </c>
      <c r="BD226" s="15">
        <v>0</v>
      </c>
      <c r="BE226" s="15">
        <v>258.22981404764602</v>
      </c>
      <c r="BF226" s="15">
        <v>90.606952297419653</v>
      </c>
      <c r="BG226" s="15">
        <v>0</v>
      </c>
      <c r="BH226" s="15">
        <v>167.62286175022635</v>
      </c>
      <c r="BI226" s="15">
        <v>0</v>
      </c>
      <c r="BJ226" s="15">
        <v>913.51810172831983</v>
      </c>
      <c r="BK226" s="15">
        <v>1014.9768544866592</v>
      </c>
      <c r="BL226" s="15">
        <v>16410.962239517637</v>
      </c>
      <c r="BM226" s="15">
        <v>0.71023106488289989</v>
      </c>
    </row>
    <row r="227" spans="1:65" x14ac:dyDescent="0.4">
      <c r="A227" s="15" t="s">
        <v>10702</v>
      </c>
      <c r="B227" s="15" t="s">
        <v>10301</v>
      </c>
      <c r="C227" s="15" t="s">
        <v>10626</v>
      </c>
      <c r="D227" s="15" t="s">
        <v>10307</v>
      </c>
      <c r="E227" s="15" t="s">
        <v>10911</v>
      </c>
      <c r="F227" s="15">
        <v>1353415</v>
      </c>
      <c r="G227" s="15">
        <v>0.89712450680948685</v>
      </c>
      <c r="H227" s="15">
        <v>200</v>
      </c>
      <c r="I227" s="119">
        <v>1434.9809070269789</v>
      </c>
      <c r="J227" s="120">
        <v>1.1511517647473886</v>
      </c>
      <c r="K227" s="15">
        <v>30</v>
      </c>
      <c r="L227" s="15">
        <v>1840.6798465930178</v>
      </c>
      <c r="M227" s="15">
        <v>239.24792827331294</v>
      </c>
      <c r="N227" s="15">
        <v>5665272.6808408685</v>
      </c>
      <c r="O227" s="15">
        <v>4140179.8800607119</v>
      </c>
      <c r="P227" s="15">
        <v>1042693.436908762</v>
      </c>
      <c r="Q227" s="15">
        <v>482399.36387139588</v>
      </c>
      <c r="R227" s="15">
        <v>482399.36387139588</v>
      </c>
      <c r="S227" s="15">
        <v>0</v>
      </c>
      <c r="T227" s="15">
        <v>0</v>
      </c>
      <c r="U227" s="15">
        <v>3692366776.0262976</v>
      </c>
      <c r="V227" s="15">
        <v>0</v>
      </c>
      <c r="W227" s="15">
        <v>0</v>
      </c>
      <c r="X227" s="15">
        <v>0</v>
      </c>
      <c r="Y227" s="15">
        <v>1812.156538448148</v>
      </c>
      <c r="Z227" s="15">
        <v>0</v>
      </c>
      <c r="AA227" s="15">
        <v>952.60500000000002</v>
      </c>
      <c r="AB227" s="15">
        <v>859.45799999999997</v>
      </c>
      <c r="AC227" s="15">
        <v>9.3538448148001108E-2</v>
      </c>
      <c r="AD227" s="15">
        <v>377.1756314211691</v>
      </c>
      <c r="AE227" s="15">
        <v>4.3029607182117286E-3</v>
      </c>
      <c r="AF227" s="15">
        <v>0</v>
      </c>
      <c r="AG227" s="15">
        <v>0</v>
      </c>
      <c r="AH227" s="15">
        <v>2.7862075877247293E-3</v>
      </c>
      <c r="AI227" s="15">
        <v>123.00035822944251</v>
      </c>
      <c r="AJ227" s="15">
        <v>254.16818402342068</v>
      </c>
      <c r="AK227" s="15">
        <v>0</v>
      </c>
      <c r="AL227" s="15">
        <v>0</v>
      </c>
      <c r="AM227" s="15">
        <v>0</v>
      </c>
      <c r="AN227" s="15">
        <v>4032.3058473707342</v>
      </c>
      <c r="AO227" s="15">
        <v>1434.9809070269789</v>
      </c>
      <c r="AP227" s="15">
        <v>7.0891683059364583E-3</v>
      </c>
      <c r="AQ227" s="15">
        <v>4.3029607182117286E-3</v>
      </c>
      <c r="AR227" s="15">
        <v>0</v>
      </c>
      <c r="AS227" s="15">
        <v>0</v>
      </c>
      <c r="AT227" s="15">
        <v>2.7862075877247293E-3</v>
      </c>
      <c r="AU227" s="15">
        <v>1074.69808291344</v>
      </c>
      <c r="AV227" s="15">
        <v>782.86975510000002</v>
      </c>
      <c r="AW227" s="15">
        <v>782.86975510000002</v>
      </c>
      <c r="AX227" s="15">
        <v>0</v>
      </c>
      <c r="AY227" s="15">
        <v>0</v>
      </c>
      <c r="AZ227" s="15">
        <v>33.597031291062443</v>
      </c>
      <c r="BA227" s="15">
        <v>0</v>
      </c>
      <c r="BB227" s="15">
        <v>13.998763037942686</v>
      </c>
      <c r="BC227" s="15">
        <v>19.598268253119759</v>
      </c>
      <c r="BD227" s="15">
        <v>0</v>
      </c>
      <c r="BE227" s="15">
        <v>258.23129652237748</v>
      </c>
      <c r="BF227" s="15">
        <v>90.60747246399211</v>
      </c>
      <c r="BG227" s="15">
        <v>0</v>
      </c>
      <c r="BH227" s="15">
        <v>167.62382405838537</v>
      </c>
      <c r="BI227" s="15">
        <v>0</v>
      </c>
      <c r="BJ227" s="15">
        <v>1074.705172081746</v>
      </c>
      <c r="BK227" s="15">
        <v>1451.8808035029151</v>
      </c>
      <c r="BL227" s="15">
        <v>17658.912433967565</v>
      </c>
      <c r="BM227" s="15">
        <v>1.1511517647473886</v>
      </c>
    </row>
    <row r="228" spans="1:65" s="56" customFormat="1" x14ac:dyDescent="0.4">
      <c r="A228" s="15" t="s">
        <v>10702</v>
      </c>
      <c r="B228" s="15" t="s">
        <v>10301</v>
      </c>
      <c r="C228" s="15" t="s">
        <v>10626</v>
      </c>
      <c r="D228" s="15" t="s">
        <v>10308</v>
      </c>
      <c r="E228" s="15" t="s">
        <v>10912</v>
      </c>
      <c r="F228" s="15">
        <v>1353415</v>
      </c>
      <c r="G228" s="15">
        <v>0.89712450680948685</v>
      </c>
      <c r="H228" s="15">
        <v>200</v>
      </c>
      <c r="I228" s="119">
        <v>1434.9809070269789</v>
      </c>
      <c r="J228" s="120">
        <v>1.1511517647473886</v>
      </c>
      <c r="K228" s="15">
        <v>30</v>
      </c>
      <c r="L228" s="15">
        <v>1840.6798465930178</v>
      </c>
      <c r="M228" s="15">
        <v>239.24792827331294</v>
      </c>
      <c r="N228" s="15">
        <v>5665272.6808408685</v>
      </c>
      <c r="O228" s="15">
        <v>4140179.8800607119</v>
      </c>
      <c r="P228" s="15">
        <v>1042693.436908762</v>
      </c>
      <c r="Q228" s="15">
        <v>482399.36387139588</v>
      </c>
      <c r="R228" s="15">
        <v>482399.36387139588</v>
      </c>
      <c r="S228" s="15">
        <v>0</v>
      </c>
      <c r="T228" s="15">
        <v>0</v>
      </c>
      <c r="U228" s="15">
        <v>3692366776.0262976</v>
      </c>
      <c r="V228" s="15">
        <v>0</v>
      </c>
      <c r="W228" s="15">
        <v>0</v>
      </c>
      <c r="X228" s="15">
        <v>0</v>
      </c>
      <c r="Y228" s="15">
        <v>1812.156538448148</v>
      </c>
      <c r="Z228" s="15">
        <v>0</v>
      </c>
      <c r="AA228" s="15">
        <v>952.60500000000002</v>
      </c>
      <c r="AB228" s="15">
        <v>859.45799999999997</v>
      </c>
      <c r="AC228" s="15">
        <v>9.3538448148001108E-2</v>
      </c>
      <c r="AD228" s="15">
        <v>377.1756314211691</v>
      </c>
      <c r="AE228" s="15">
        <v>4.3029607182117286E-3</v>
      </c>
      <c r="AF228" s="15">
        <v>0</v>
      </c>
      <c r="AG228" s="15">
        <v>0</v>
      </c>
      <c r="AH228" s="15">
        <v>2.7862075877247293E-3</v>
      </c>
      <c r="AI228" s="15">
        <v>123.00035822944251</v>
      </c>
      <c r="AJ228" s="15">
        <v>254.16818402342068</v>
      </c>
      <c r="AK228" s="15">
        <v>0</v>
      </c>
      <c r="AL228" s="15">
        <v>0</v>
      </c>
      <c r="AM228" s="15">
        <v>0</v>
      </c>
      <c r="AN228" s="15">
        <v>4032.3058473707342</v>
      </c>
      <c r="AO228" s="15">
        <v>1434.9809070269789</v>
      </c>
      <c r="AP228" s="15">
        <v>7.0891683059364583E-3</v>
      </c>
      <c r="AQ228" s="15">
        <v>4.3029607182117286E-3</v>
      </c>
      <c r="AR228" s="15">
        <v>0</v>
      </c>
      <c r="AS228" s="15">
        <v>0</v>
      </c>
      <c r="AT228" s="15">
        <v>2.7862075877247293E-3</v>
      </c>
      <c r="AU228" s="15">
        <v>1074.69808291344</v>
      </c>
      <c r="AV228" s="15">
        <v>782.86975510000002</v>
      </c>
      <c r="AW228" s="15">
        <v>782.86975510000002</v>
      </c>
      <c r="AX228" s="15">
        <v>0</v>
      </c>
      <c r="AY228" s="15">
        <v>0</v>
      </c>
      <c r="AZ228" s="15">
        <v>33.597031291062443</v>
      </c>
      <c r="BA228" s="15">
        <v>0</v>
      </c>
      <c r="BB228" s="15">
        <v>13.998763037942686</v>
      </c>
      <c r="BC228" s="15">
        <v>19.598268253119759</v>
      </c>
      <c r="BD228" s="15">
        <v>0</v>
      </c>
      <c r="BE228" s="15">
        <v>258.23129652237748</v>
      </c>
      <c r="BF228" s="15">
        <v>90.60747246399211</v>
      </c>
      <c r="BG228" s="15">
        <v>0</v>
      </c>
      <c r="BH228" s="15">
        <v>167.62382405838537</v>
      </c>
      <c r="BI228" s="15">
        <v>0</v>
      </c>
      <c r="BJ228" s="15">
        <v>1074.705172081746</v>
      </c>
      <c r="BK228" s="55">
        <v>1451.8808035029151</v>
      </c>
      <c r="BL228" s="55">
        <v>17658.912433967565</v>
      </c>
      <c r="BM228" s="55">
        <v>1.1511517647473886</v>
      </c>
    </row>
    <row r="229" spans="1:65" s="54" customFormat="1" x14ac:dyDescent="0.4">
      <c r="A229" s="55" t="s">
        <v>10702</v>
      </c>
      <c r="B229" s="55" t="s">
        <v>10301</v>
      </c>
      <c r="C229" s="55" t="s">
        <v>10879</v>
      </c>
      <c r="D229" s="55" t="s">
        <v>10307</v>
      </c>
      <c r="E229" s="55" t="s">
        <v>10913</v>
      </c>
      <c r="F229" s="55">
        <v>1353415</v>
      </c>
      <c r="G229" s="55">
        <v>0.89712450680948685</v>
      </c>
      <c r="H229" s="55">
        <v>200</v>
      </c>
      <c r="I229" s="55">
        <v>1434.9809070269789</v>
      </c>
      <c r="J229" s="92">
        <v>1.1511517647473886</v>
      </c>
      <c r="K229" s="55">
        <v>30</v>
      </c>
      <c r="L229" s="55">
        <v>1840.6798465930178</v>
      </c>
      <c r="M229" s="55">
        <v>239.24792827331294</v>
      </c>
      <c r="N229" s="55">
        <v>5665272.6808408685</v>
      </c>
      <c r="O229" s="55">
        <v>4140179.8800607119</v>
      </c>
      <c r="P229" s="55">
        <v>1042693.436908762</v>
      </c>
      <c r="Q229" s="55">
        <v>482399.36387139588</v>
      </c>
      <c r="R229" s="55">
        <v>482399.36387139588</v>
      </c>
      <c r="S229" s="55">
        <v>0</v>
      </c>
      <c r="T229" s="55">
        <v>0</v>
      </c>
      <c r="U229" s="55">
        <v>3692366776.0262976</v>
      </c>
      <c r="V229" s="55">
        <v>0</v>
      </c>
      <c r="W229" s="55">
        <v>0</v>
      </c>
      <c r="X229" s="55">
        <v>0</v>
      </c>
      <c r="Y229" s="55">
        <v>1812.156538448148</v>
      </c>
      <c r="Z229" s="55">
        <v>0</v>
      </c>
      <c r="AA229" s="55">
        <v>952.60500000000002</v>
      </c>
      <c r="AB229" s="55">
        <v>859.45799999999997</v>
      </c>
      <c r="AC229" s="55">
        <v>9.3538448148001108E-2</v>
      </c>
      <c r="AD229" s="55">
        <v>377.1756314211691</v>
      </c>
      <c r="AE229" s="55">
        <v>4.3029607182117286E-3</v>
      </c>
      <c r="AF229" s="55">
        <v>0</v>
      </c>
      <c r="AG229" s="55">
        <v>0</v>
      </c>
      <c r="AH229" s="55">
        <v>2.7862075877247293E-3</v>
      </c>
      <c r="AI229" s="55">
        <v>123.00035822944251</v>
      </c>
      <c r="AJ229" s="55">
        <v>254.16818402342068</v>
      </c>
      <c r="AK229" s="55">
        <v>0</v>
      </c>
      <c r="AL229" s="55">
        <v>0</v>
      </c>
      <c r="AM229" s="55">
        <v>0</v>
      </c>
      <c r="AN229" s="55">
        <v>4032.3058473707342</v>
      </c>
      <c r="AO229" s="55">
        <v>1434.9809070269789</v>
      </c>
      <c r="AP229" s="55">
        <v>7.0891683059364583E-3</v>
      </c>
      <c r="AQ229" s="55">
        <v>4.3029607182117286E-3</v>
      </c>
      <c r="AR229" s="55">
        <v>0</v>
      </c>
      <c r="AS229" s="55">
        <v>0</v>
      </c>
      <c r="AT229" s="55">
        <v>2.7862075877247293E-3</v>
      </c>
      <c r="AU229" s="55">
        <v>1074.69808291344</v>
      </c>
      <c r="AV229" s="55">
        <v>782.86975510000002</v>
      </c>
      <c r="AW229" s="55">
        <v>782.86975510000002</v>
      </c>
      <c r="AX229" s="55">
        <v>0</v>
      </c>
      <c r="AY229" s="55">
        <v>0</v>
      </c>
      <c r="AZ229" s="55">
        <v>33.597031291062443</v>
      </c>
      <c r="BA229" s="55">
        <v>0</v>
      </c>
      <c r="BB229" s="55">
        <v>13.998763037942686</v>
      </c>
      <c r="BC229" s="55">
        <v>19.598268253119759</v>
      </c>
      <c r="BD229" s="55">
        <v>0</v>
      </c>
      <c r="BE229" s="55">
        <v>258.23129652237748</v>
      </c>
      <c r="BF229" s="55">
        <v>90.60747246399211</v>
      </c>
      <c r="BG229" s="55">
        <v>0</v>
      </c>
      <c r="BH229" s="55">
        <v>167.62382405838537</v>
      </c>
      <c r="BI229" s="55">
        <v>0</v>
      </c>
      <c r="BJ229" s="55">
        <v>1074.705172081746</v>
      </c>
      <c r="BK229" s="53">
        <v>1451.8808035029151</v>
      </c>
      <c r="BL229" s="53">
        <v>17658.912433967565</v>
      </c>
      <c r="BM229" s="53">
        <v>1.1511517647473886</v>
      </c>
    </row>
    <row r="230" spans="1:65" s="52" customFormat="1" x14ac:dyDescent="0.4">
      <c r="A230" s="51" t="s">
        <v>10702</v>
      </c>
      <c r="B230" s="51" t="s">
        <v>10881</v>
      </c>
      <c r="C230" s="51" t="s">
        <v>9780</v>
      </c>
      <c r="D230" s="51" t="s">
        <v>9780</v>
      </c>
      <c r="E230" s="51" t="s">
        <v>10560</v>
      </c>
      <c r="F230" s="51">
        <f>F221+F229</f>
        <v>3317141</v>
      </c>
      <c r="G230" s="51">
        <f>G221</f>
        <v>0.89712450607071414</v>
      </c>
      <c r="H230" s="51">
        <f>(H221*N221+H229*N229)/(N221+N229)</f>
        <v>200</v>
      </c>
      <c r="I230" s="51">
        <f>(I221*N221+I229*N229)/(N221+N229)</f>
        <v>380.19846588463594</v>
      </c>
      <c r="J230" s="93">
        <f>(H230+AD230+AE230+AF230+AG230+AH230+AU230)/(I230)</f>
        <v>2.8641322673811818</v>
      </c>
      <c r="K230" s="51">
        <f>K221</f>
        <v>30</v>
      </c>
      <c r="L230" s="51">
        <f t="shared" ref="L230:W230" si="11">L221+L229</f>
        <v>4219.8668882560432</v>
      </c>
      <c r="M230" s="51">
        <f t="shared" si="11"/>
        <v>475.19723609747473</v>
      </c>
      <c r="N230" s="51">
        <f t="shared" si="11"/>
        <v>13885251.956447802</v>
      </c>
      <c r="O230" s="51">
        <f t="shared" si="11"/>
        <v>10147338.710468963</v>
      </c>
      <c r="P230" s="51">
        <f t="shared" si="11"/>
        <v>2555580.6225842182</v>
      </c>
      <c r="Q230" s="51">
        <f t="shared" si="11"/>
        <v>1182332.6233946232</v>
      </c>
      <c r="R230" s="51">
        <f t="shared" si="11"/>
        <v>1182332.6233946232</v>
      </c>
      <c r="S230" s="51">
        <f t="shared" si="11"/>
        <v>0</v>
      </c>
      <c r="T230" s="51">
        <f t="shared" si="11"/>
        <v>0</v>
      </c>
      <c r="U230" s="51">
        <f t="shared" si="11"/>
        <v>9049774986.8471203</v>
      </c>
      <c r="V230" s="51">
        <f t="shared" si="11"/>
        <v>0</v>
      </c>
      <c r="W230" s="51">
        <f t="shared" si="11"/>
        <v>0</v>
      </c>
      <c r="X230" s="51">
        <f>(X221*N221+X229*N229)/(N221+N229)</f>
        <v>0</v>
      </c>
      <c r="Y230" s="51">
        <f>(Y221*N221+Y229*N229)/(N221+N229)</f>
        <v>757.37571060687537</v>
      </c>
      <c r="Z230" s="51">
        <f>(Z221*N221+Z229*N229)/(N221+N229)</f>
        <v>0</v>
      </c>
      <c r="AA230" s="51">
        <f>(AA221*N221+AA229*N229)/(N221+N229)</f>
        <v>406.63186602604463</v>
      </c>
      <c r="AB230" s="51">
        <f>(AB221*N221+AB229*N229)/(N221+N229)</f>
        <v>350.66442748049064</v>
      </c>
      <c r="AC230" s="51">
        <f>(AC221*N221+AC229*N229)/(N221+N229)</f>
        <v>7.9417100340097857E-2</v>
      </c>
      <c r="AD230" s="51">
        <f>(AD221*N221+AD229*N229)/(N221+N229)</f>
        <v>377.17724472223944</v>
      </c>
      <c r="AE230" s="51">
        <f>(AE221*N221+AE229*N229)/(N221+N229)</f>
        <v>4.3029837136351013E-3</v>
      </c>
      <c r="AF230" s="51">
        <f>(AF221*N221+AF229*N229)/(N221+N229)</f>
        <v>0</v>
      </c>
      <c r="AG230" s="51">
        <f>(AG221*N221+AG229*N229)/(N221+N229)</f>
        <v>0</v>
      </c>
      <c r="AH230" s="51">
        <f>(AH221*N221+AH229*N229)/(N221+N229)</f>
        <v>2.2735913306031704E-3</v>
      </c>
      <c r="AI230" s="51">
        <f>(AI221*N221+AI229*N229)/(N221+N229)</f>
        <v>123.0003582294425</v>
      </c>
      <c r="AJ230" s="51">
        <f>(AJ221*N221+AJ229*N229)/(N221+N229)</f>
        <v>254.17030991775269</v>
      </c>
      <c r="AK230" s="51">
        <f>(AK221*N221+AK229*N229)/(N221+N229)</f>
        <v>0</v>
      </c>
      <c r="AL230" s="51">
        <f>(AL221*N221+AL229*N229)/(N221+N229)</f>
        <v>0</v>
      </c>
      <c r="AM230" s="51">
        <f>(AM221*N221+AM229*N229)/(N221+N229)</f>
        <v>0</v>
      </c>
      <c r="AN230" s="51">
        <f>(AN221*N221+AN229*N229)/(N221+N229)</f>
        <v>4849.4625782431394</v>
      </c>
      <c r="AO230" s="51">
        <f>(AO221*N221+AO229*N229)/(N221+N229)</f>
        <v>380.19846588463594</v>
      </c>
      <c r="AP230" s="51">
        <f>(AP221*N221+AP229*N229)/(N221+N229)</f>
        <v>6.5765750442382713E-3</v>
      </c>
      <c r="AQ230" s="51">
        <f>(AQ221*N221+AQ229*N229)/(N221+N229)</f>
        <v>4.3029837136351013E-3</v>
      </c>
      <c r="AR230" s="51">
        <f>(AR221*N221+AR229*N229)/(N221+N229)</f>
        <v>0</v>
      </c>
      <c r="AS230" s="51">
        <f>(AS221*N221+AS229*N229)/(N221+N229)</f>
        <v>0</v>
      </c>
      <c r="AT230" s="51">
        <f>(AT221*N221+AT229*N229)/(N221+N229)</f>
        <v>2.2735913306031704E-3</v>
      </c>
      <c r="AU230" s="51">
        <f>(AU221*N221+AU229*N229)/(N221+N229)</f>
        <v>511.75487285172574</v>
      </c>
      <c r="AV230" s="51">
        <f>(AV221*N221+AV229*N229)/(N221+N229)</f>
        <v>367.71963960270637</v>
      </c>
      <c r="AW230" s="51">
        <f>(AW221*N221+AW229*N229)/(N221+N229)</f>
        <v>367.71963960270637</v>
      </c>
      <c r="AX230" s="51">
        <f>(AX221*N221+AX229*N229)/(N221+N229)</f>
        <v>0</v>
      </c>
      <c r="AY230" s="51">
        <f>(AY221*N221+AY229*N229)/(N221+N229)</f>
        <v>0</v>
      </c>
      <c r="AZ230" s="51">
        <f>(AZ221*N221+AZ229*N229)/(N221+N229)</f>
        <v>36.110131649483485</v>
      </c>
      <c r="BA230" s="51">
        <f>(BA221*N221+BA229*N229)/(N221+N229)</f>
        <v>0</v>
      </c>
      <c r="BB230" s="51">
        <f>(BB221*N221+BB229*N229)/(N221+N229)</f>
        <v>15.045888187284785</v>
      </c>
      <c r="BC230" s="51">
        <f>(BC221*N221+BC229*N229)/(N221+N229)</f>
        <v>21.064243462198696</v>
      </c>
      <c r="BD230" s="51">
        <f>(BD221*N221+BD229*N229)/(N221+N229)</f>
        <v>0</v>
      </c>
      <c r="BE230" s="51">
        <f>(BE221*N221+BE229*N229)/(N221+N229)</f>
        <v>107.92510159953592</v>
      </c>
      <c r="BF230" s="51">
        <f>(BF221*N221+BF229*N229)/(N221+N229)</f>
        <v>37.868456701591562</v>
      </c>
      <c r="BG230" s="51">
        <f>(BG221*N221+BG229*N229)/(N221+N229)</f>
        <v>0</v>
      </c>
      <c r="BH230" s="51">
        <f>(BH221*N221+BH229*N229)/(N221+N229)</f>
        <v>70.056644897944366</v>
      </c>
      <c r="BI230" s="51">
        <f>(BI221*N221+BI229*N229)/(N221+N229)</f>
        <v>0</v>
      </c>
      <c r="BJ230" s="51">
        <f>(BJ221*N221+BJ229*N229)/(N221+N229)</f>
        <v>511.76144942677007</v>
      </c>
      <c r="BK230" s="51">
        <f>(BK221*N221+BK229*N229)/(N221+N229)</f>
        <v>888.93869414900951</v>
      </c>
      <c r="BL230" s="51">
        <f>(BL221*N221+BL229*N229)/(N221+N229)</f>
        <v>13159.201925168531</v>
      </c>
      <c r="BM230" s="51">
        <f>(BM221*N221+BM229*N229)/(N221+N229)</f>
        <v>-0.72698269798110693</v>
      </c>
    </row>
    <row r="237" spans="1:65" s="56" customFormat="1" x14ac:dyDescent="0.4">
      <c r="A237" s="15"/>
      <c r="B237" s="15"/>
      <c r="C237" s="15"/>
      <c r="D237" s="15"/>
      <c r="E237" s="15"/>
      <c r="F237" s="15"/>
      <c r="G237" s="15"/>
      <c r="H237" s="15"/>
      <c r="I237" s="15"/>
      <c r="J237" s="2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55"/>
      <c r="BL237" s="55"/>
      <c r="BM237" s="55"/>
    </row>
    <row r="245" spans="1:65" s="56" customFormat="1" x14ac:dyDescent="0.4">
      <c r="A245" s="15"/>
      <c r="B245" s="15"/>
      <c r="C245" s="15"/>
      <c r="D245" s="15"/>
      <c r="E245" s="15"/>
      <c r="F245" s="15"/>
      <c r="G245" s="15"/>
      <c r="H245" s="15"/>
      <c r="I245" s="15"/>
      <c r="J245" s="2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55"/>
      <c r="BL245" s="55"/>
      <c r="BM245" s="55"/>
    </row>
    <row r="253" spans="1:65" s="56" customFormat="1" x14ac:dyDescent="0.4">
      <c r="A253" s="15"/>
      <c r="B253" s="15"/>
      <c r="C253" s="15"/>
      <c r="D253" s="15"/>
      <c r="E253" s="15"/>
      <c r="F253" s="15"/>
      <c r="G253" s="15"/>
      <c r="H253" s="15"/>
      <c r="I253" s="15"/>
      <c r="J253" s="2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55"/>
      <c r="BL253" s="55"/>
      <c r="BM253" s="55"/>
    </row>
    <row r="254" spans="1:65" s="52" customFormat="1" x14ac:dyDescent="0.4">
      <c r="A254" s="15"/>
      <c r="B254" s="15"/>
      <c r="C254" s="15"/>
      <c r="D254" s="15"/>
      <c r="E254" s="15"/>
      <c r="F254" s="15"/>
      <c r="G254" s="15"/>
      <c r="H254" s="15"/>
      <c r="I254" s="15"/>
      <c r="J254" s="2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51"/>
      <c r="BL254" s="51"/>
      <c r="BM254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10344</v>
      </c>
      <c r="C1" s="36" t="s">
        <v>10345</v>
      </c>
      <c r="D1" s="36" t="s">
        <v>10346</v>
      </c>
      <c r="E1" s="37" t="s">
        <v>10347</v>
      </c>
      <c r="F1" s="37" t="s">
        <v>10348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10351</v>
      </c>
      <c r="J1" s="37" t="s">
        <v>10352</v>
      </c>
      <c r="K1" s="37" t="s">
        <v>10353</v>
      </c>
      <c r="L1" s="37" t="s">
        <v>10354</v>
      </c>
      <c r="M1" s="37" t="s">
        <v>10355</v>
      </c>
      <c r="N1" s="37" t="s">
        <v>10356</v>
      </c>
      <c r="O1" s="37" t="s">
        <v>10357</v>
      </c>
      <c r="P1" s="37" t="s">
        <v>10358</v>
      </c>
      <c r="Q1" s="37" t="s">
        <v>10359</v>
      </c>
      <c r="R1" s="37" t="s">
        <v>10360</v>
      </c>
      <c r="S1" s="37" t="s">
        <v>10361</v>
      </c>
      <c r="T1" s="37" t="s">
        <v>10362</v>
      </c>
      <c r="U1" s="37" t="s">
        <v>10363</v>
      </c>
      <c r="V1" s="37" t="s">
        <v>10364</v>
      </c>
      <c r="W1" s="37" t="s">
        <v>10365</v>
      </c>
      <c r="X1" s="37" t="s">
        <v>10366</v>
      </c>
      <c r="Y1" s="37" t="s">
        <v>10367</v>
      </c>
      <c r="Z1" s="37" t="s">
        <v>10368</v>
      </c>
      <c r="AA1" s="37" t="s">
        <v>10369</v>
      </c>
      <c r="AB1" s="37" t="s">
        <v>10370</v>
      </c>
      <c r="AC1" s="37" t="s">
        <v>10371</v>
      </c>
      <c r="AD1" s="37" t="s">
        <v>10372</v>
      </c>
      <c r="AE1" s="37" t="s">
        <v>10373</v>
      </c>
      <c r="AF1" s="37" t="s">
        <v>10374</v>
      </c>
      <c r="AG1" s="37" t="s">
        <v>10375</v>
      </c>
      <c r="AH1" s="37" t="s">
        <v>10376</v>
      </c>
      <c r="AI1" s="37" t="s">
        <v>10377</v>
      </c>
      <c r="AJ1" s="37" t="s">
        <v>10378</v>
      </c>
      <c r="AK1" s="37" t="s">
        <v>10379</v>
      </c>
      <c r="AL1" s="36" t="s">
        <v>9917</v>
      </c>
      <c r="AM1" s="37" t="s">
        <v>10349</v>
      </c>
      <c r="AN1" s="37" t="s">
        <v>10380</v>
      </c>
      <c r="AO1" s="37" t="s">
        <v>10381</v>
      </c>
      <c r="AP1" s="37" t="s">
        <v>10382</v>
      </c>
      <c r="AQ1" s="37" t="s">
        <v>10383</v>
      </c>
      <c r="AR1" s="37" t="s">
        <v>10384</v>
      </c>
      <c r="AS1" s="37" t="s">
        <v>10385</v>
      </c>
      <c r="AT1" s="37" t="s">
        <v>10386</v>
      </c>
      <c r="AU1" s="37" t="s">
        <v>10387</v>
      </c>
      <c r="AV1" s="37" t="s">
        <v>10388</v>
      </c>
      <c r="AW1" s="36" t="s">
        <v>9928</v>
      </c>
      <c r="AX1" s="37" t="s">
        <v>10389</v>
      </c>
      <c r="AY1" s="37" t="s">
        <v>10390</v>
      </c>
      <c r="AZ1" s="37" t="s">
        <v>10391</v>
      </c>
      <c r="BA1" s="37" t="s">
        <v>10392</v>
      </c>
      <c r="BB1" s="36" t="s">
        <v>9933</v>
      </c>
      <c r="BC1" s="37" t="s">
        <v>10393</v>
      </c>
      <c r="BD1" s="37" t="s">
        <v>10394</v>
      </c>
      <c r="BE1" s="37" t="s">
        <v>10395</v>
      </c>
      <c r="BF1" s="37" t="s">
        <v>10396</v>
      </c>
      <c r="BG1" s="36" t="s">
        <v>9938</v>
      </c>
      <c r="BH1" s="37" t="s">
        <v>10397</v>
      </c>
      <c r="BI1" s="37" t="s">
        <v>10398</v>
      </c>
      <c r="BJ1" s="37" t="s">
        <v>10399</v>
      </c>
      <c r="BK1" s="37" t="s">
        <v>10350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10316</v>
      </c>
      <c r="E3" s="36" t="s">
        <v>10400</v>
      </c>
      <c r="F3" s="36" t="s">
        <v>9948</v>
      </c>
      <c r="G3" s="36" t="s">
        <v>9948</v>
      </c>
      <c r="H3" s="36" t="s">
        <v>9634</v>
      </c>
      <c r="I3" s="36" t="s">
        <v>10317</v>
      </c>
      <c r="J3" s="36" t="s">
        <v>9796</v>
      </c>
      <c r="K3" s="36" t="s">
        <v>9796</v>
      </c>
      <c r="L3" s="36" t="s">
        <v>10318</v>
      </c>
      <c r="M3" s="36" t="s">
        <v>10318</v>
      </c>
      <c r="N3" s="36" t="s">
        <v>10318</v>
      </c>
      <c r="O3" s="36" t="s">
        <v>10318</v>
      </c>
      <c r="P3" s="36" t="s">
        <v>10318</v>
      </c>
      <c r="Q3" s="36" t="s">
        <v>10318</v>
      </c>
      <c r="R3" s="36" t="s">
        <v>10318</v>
      </c>
      <c r="S3" s="36" t="s">
        <v>10319</v>
      </c>
      <c r="T3" s="36" t="s">
        <v>10319</v>
      </c>
      <c r="U3" s="36" t="s">
        <v>10320</v>
      </c>
      <c r="V3" s="36" t="s">
        <v>10401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9998</v>
      </c>
      <c r="B4" s="32">
        <f>'Banco de Dados'!$I$29</f>
        <v>300</v>
      </c>
      <c r="C4" s="25">
        <f>'Banco de Dados'!$I$31/100</f>
        <v>0.35</v>
      </c>
      <c r="D4" s="29">
        <f>IFERROR(VLOOKUP($A4,'Arranjos Consolidados'!$E$3:$BM$303,D$2,FALSE),"")</f>
        <v>3317141</v>
      </c>
      <c r="E4" s="33">
        <f>IFERROR(VLOOKUP($A4,'Arranjos Consolidados'!$E$3:$BM$303,E$2,FALSE),"")</f>
        <v>0.89712450637213792</v>
      </c>
      <c r="F4" s="29">
        <f>IFERROR(VLOOKUP($A4,'Arranjos Consolidados'!$E$3:$BM$303,F$2,FALSE),"")</f>
        <v>200</v>
      </c>
      <c r="G4" s="31">
        <f>IFERROR(VLOOKUP($A4,'Arranjos Consolidados'!$E$3:$BM$303,G$2,FALSE),"")</f>
        <v>1424.5981623124785</v>
      </c>
      <c r="H4" s="34">
        <f>IFERROR(VLOOKUP($A4,'Arranjos Consolidados'!$E$3:$BM$303,H$2,FALSE),"")</f>
        <v>0.65189079908186809</v>
      </c>
      <c r="I4" s="29">
        <f>IFERROR(VLOOKUP($A4,'Arranjos Consolidados'!$E$3:$BM$303,I$2,FALSE),"")</f>
        <v>30</v>
      </c>
      <c r="J4" s="31">
        <f>IFERROR(VLOOKUP($A4,'Arranjos Consolidados'!$E$3:$BM$303,J$2,FALSE),"")</f>
        <v>4054.5774732336968</v>
      </c>
      <c r="K4" s="31">
        <f>IFERROR(VLOOKUP($A4,'Arranjos Consolidados'!$E$3:$BM$303,K$2,FALSE),"")</f>
        <v>372.88752005541562</v>
      </c>
      <c r="L4" s="31">
        <f>IFERROR(VLOOKUP($A4,'Arranjos Consolidados'!$E$3:$BM$303,L$2,FALSE),"")</f>
        <v>13885251.956447791</v>
      </c>
      <c r="M4" s="31">
        <f>IFERROR(VLOOKUP($A4,'Arranjos Consolidados'!$E$3:$BM$303,M$2,FALSE),"")</f>
        <v>10147338.710468953</v>
      </c>
      <c r="N4" s="31">
        <f>IFERROR(VLOOKUP($A4,'Arranjos Consolidados'!$E$3:$BM$303,N$2,FALSE),"")</f>
        <v>2555580.6225842177</v>
      </c>
      <c r="O4" s="31">
        <f>IFERROR(VLOOKUP($A4,'Arranjos Consolidados'!$E$3:$BM$303,O$2,FALSE),"")</f>
        <v>1182332.6233946225</v>
      </c>
      <c r="P4" s="31">
        <f>IFERROR(VLOOKUP($A4,'Arranjos Consolidados'!$E$3:$BM$303,P$2,FALSE),"")</f>
        <v>1182332.6233946225</v>
      </c>
      <c r="Q4" s="31">
        <f>IFERROR(VLOOKUP($A4,'Arranjos Consolidados'!$E$3:$BM$303,Q$2,FALSE),"")</f>
        <v>0</v>
      </c>
      <c r="R4" s="31">
        <f>IFERROR(VLOOKUP($A4,'Arranjos Consolidados'!$E$3:$BM$303,R$2,FALSE),"")</f>
        <v>0</v>
      </c>
      <c r="S4" s="31">
        <f>IFERROR(VLOOKUP($A4,'Arranjos Consolidados'!$E$3:$BM$303,S$2,FALSE),"")</f>
        <v>9049774986.8471146</v>
      </c>
      <c r="T4" s="31">
        <f>IFERROR(VLOOKUP($A4,'Arranjos Consolidados'!$E$3:$BM$303,T$2,FALSE),"")</f>
        <v>0</v>
      </c>
      <c r="U4" s="31">
        <f>IFERROR(VLOOKUP($A4,'Arranjos Consolidados'!$E$3:$BM$303,U$2,FALSE),"")</f>
        <v>0</v>
      </c>
      <c r="V4" s="31">
        <f>IFERROR(VLOOKUP($A4,'Arranjos Consolidados'!$E$3:$BM$303,V$2,FALSE),"")</f>
        <v>0</v>
      </c>
      <c r="W4" s="31">
        <f>IFERROR(VLOOKUP($A4,'Arranjos Consolidados'!$E$3:$BM$303,W$2,FALSE),"")</f>
        <v>1801.7766085718592</v>
      </c>
      <c r="X4" s="29">
        <f>IFERROR(VLOOKUP($A4,'Arranjos Consolidados'!$E$3:$BM$303,X$2,FALSE),"")</f>
        <v>0</v>
      </c>
      <c r="Y4" s="31">
        <f>IFERROR(VLOOKUP($A4,'Arranjos Consolidados'!$E$3:$BM$303,Y$2,FALSE),"")</f>
        <v>1802.6839999999997</v>
      </c>
      <c r="Z4" s="29">
        <f>IFERROR(VLOOKUP($A4,'Arranjos Consolidados'!$E$3:$BM$303,Z$2,FALSE),"")</f>
        <v>0</v>
      </c>
      <c r="AA4" s="31">
        <f>IFERROR(VLOOKUP($A4,'Arranjos Consolidados'!$E$3:$BM$303,AA$2,FALSE),"")</f>
        <v>-0.9073914281408032</v>
      </c>
      <c r="AB4" s="31">
        <f>IFERROR(VLOOKUP($A4,'Arranjos Consolidados'!$E$3:$BM$303,AB$2,FALSE),"")</f>
        <v>377.17844625938051</v>
      </c>
      <c r="AC4" s="31">
        <f>IFERROR(VLOOKUP($A4,'Arranjos Consolidados'!$E$3:$BM$303,AC$2,FALSE),"")</f>
        <v>3.9972757405824146E-3</v>
      </c>
      <c r="AD4" s="31">
        <f>IFERROR(VLOOKUP($A4,'Arranjos Consolidados'!$E$3:$BM$303,AD$2,FALSE),"")</f>
        <v>0</v>
      </c>
      <c r="AE4" s="31">
        <f>IFERROR(VLOOKUP($A4,'Arranjos Consolidados'!$E$3:$BM$303,AE$2,FALSE),"")</f>
        <v>0</v>
      </c>
      <c r="AF4" s="31">
        <f>IFERROR(VLOOKUP($A4,'Arranjos Consolidados'!$E$3:$BM$303,AF$2,FALSE),"")</f>
        <v>1.1368017823452055E-3</v>
      </c>
      <c r="AG4" s="31">
        <f>IFERROR(VLOOKUP($A4,'Arranjos Consolidados'!$E$3:$BM$303,AG$2,FALSE),"")</f>
        <v>123.00035822944251</v>
      </c>
      <c r="AH4" s="31">
        <f>IFERROR(VLOOKUP($A4,'Arranjos Consolidados'!$E$3:$BM$303,AH$2,FALSE),"")</f>
        <v>254.17295395241484</v>
      </c>
      <c r="AI4" s="31">
        <f>IFERROR(VLOOKUP($A4,'Arranjos Consolidados'!$E$3:$BM$303,AI$2,FALSE),"")</f>
        <v>0</v>
      </c>
      <c r="AJ4" s="31">
        <f>IFERROR(VLOOKUP($A4,'Arranjos Consolidados'!$E$3:$BM$303,AJ$2,FALSE),"")</f>
        <v>0</v>
      </c>
      <c r="AK4" s="31">
        <f>IFERROR(VLOOKUP($A4,'Arranjos Consolidados'!$E$3:$BM$303,AK$2,FALSE),"")</f>
        <v>0</v>
      </c>
      <c r="AL4" s="34">
        <f>IFERROR(VLOOKUP($A4,'Arranjos Consolidados'!$E$3:$BM$303,AL$2,FALSE),"")</f>
        <v>-415.67336274291137</v>
      </c>
      <c r="AM4" s="31">
        <f>IFERROR(VLOOKUP($A4,'Arranjos Consolidados'!$E$3:$BM$303,AM$2,FALSE),"")</f>
        <v>1424.5981623124785</v>
      </c>
      <c r="AN4" s="31">
        <f>IFERROR(VLOOKUP($A4,'Arranjos Consolidados'!$E$3:$BM$303,AN$2,FALSE),"")</f>
        <v>5.1340775229276204E-3</v>
      </c>
      <c r="AO4" s="31">
        <f>IFERROR(VLOOKUP($A4,'Arranjos Consolidados'!$E$3:$BM$303,AO$2,FALSE),"")</f>
        <v>3.9972757405824146E-3</v>
      </c>
      <c r="AP4" s="31">
        <f>IFERROR(VLOOKUP($A4,'Arranjos Consolidados'!$E$3:$BM$303,AP$2,FALSE),"")</f>
        <v>0</v>
      </c>
      <c r="AQ4" s="31">
        <f>IFERROR(VLOOKUP($A4,'Arranjos Consolidados'!$E$3:$BM$303,AQ$2,FALSE),"")</f>
        <v>0</v>
      </c>
      <c r="AR4" s="31">
        <f>IFERROR(VLOOKUP($A4,'Arranjos Consolidados'!$E$3:$BM$303,AR$2,FALSE),"")</f>
        <v>1.1368017823452055E-3</v>
      </c>
      <c r="AS4" s="31">
        <f>IFERROR(VLOOKUP($A4,'Arranjos Consolidados'!$E$3:$BM$303,AS$2,FALSE),"")</f>
        <v>351.49885406353906</v>
      </c>
      <c r="AT4" s="31">
        <f>IFERROR(VLOOKUP($A4,'Arranjos Consolidados'!$E$3:$BM$303,AT$2,FALSE),"")</f>
        <v>59.589502147500106</v>
      </c>
      <c r="AU4" s="31">
        <f>IFERROR(VLOOKUP($A4,'Arranjos Consolidados'!$E$3:$BM$303,AU$2,FALSE),"")</f>
        <v>59.589502147500106</v>
      </c>
      <c r="AV4" s="31">
        <f>IFERROR(VLOOKUP($A4,'Arranjos Consolidados'!$E$3:$BM$303,AV$2,FALSE),"")</f>
        <v>0</v>
      </c>
      <c r="AW4" s="31">
        <f>IFERROR(VLOOKUP($A4,'Arranjos Consolidados'!$E$3:$BM$303,AW$2,FALSE),"")</f>
        <v>0</v>
      </c>
      <c r="AX4" s="31">
        <f>IFERROR(VLOOKUP($A4,'Arranjos Consolidados'!$E$3:$BM$303,AX$2,FALSE),"")</f>
        <v>35.01811690763968</v>
      </c>
      <c r="AY4" s="31">
        <f>IFERROR(VLOOKUP($A4,'Arranjos Consolidados'!$E$3:$BM$303,AY$2,FALSE),"")</f>
        <v>0</v>
      </c>
      <c r="AZ4" s="31">
        <f>IFERROR(VLOOKUP($A4,'Arranjos Consolidados'!$E$3:$BM$303,AZ$2,FALSE),"")</f>
        <v>14.590882044849867</v>
      </c>
      <c r="BA4" s="31">
        <f>IFERROR(VLOOKUP($A4,'Arranjos Consolidados'!$E$3:$BM$303,BA$2,FALSE),"")</f>
        <v>20.427234862789813</v>
      </c>
      <c r="BB4" s="31">
        <f>IFERROR(VLOOKUP($A4,'Arranjos Consolidados'!$E$3:$BM$303,BB$2,FALSE),"")</f>
        <v>0</v>
      </c>
      <c r="BC4" s="31">
        <f>IFERROR(VLOOKUP($A4,'Arranjos Consolidados'!$E$3:$BM$303,BC$2,FALSE),"")</f>
        <v>256.89123500839924</v>
      </c>
      <c r="BD4" s="31">
        <f>IFERROR(VLOOKUP($A4,'Arranjos Consolidados'!$E$3:$BM$303,BD$2,FALSE),"")</f>
        <v>90.137275441543579</v>
      </c>
      <c r="BE4" s="31">
        <f>IFERROR(VLOOKUP($A4,'Arranjos Consolidados'!$E$3:$BM$303,BE$2,FALSE),"")</f>
        <v>0</v>
      </c>
      <c r="BF4" s="31">
        <f>IFERROR(VLOOKUP($A4,'Arranjos Consolidados'!$E$3:$BM$303,BF$2,FALSE),"")</f>
        <v>166.75395956685563</v>
      </c>
      <c r="BG4" s="31">
        <f>IFERROR(VLOOKUP($A4,'Arranjos Consolidados'!$E$3:$BM$303,BG$2,FALSE),"")</f>
        <v>0</v>
      </c>
      <c r="BH4" s="31">
        <f>IFERROR(VLOOKUP($A4,'Arranjos Consolidados'!$E$3:$BM$303,BH$2,FALSE),"")</f>
        <v>351.503988141062</v>
      </c>
      <c r="BI4" s="31">
        <f>IFERROR(VLOOKUP($A4,'Arranjos Consolidados'!$E$3:$BM$303,BI$2,FALSE),"")</f>
        <v>728.6824344004425</v>
      </c>
      <c r="BJ4" s="34">
        <f>IFERROR(VLOOKUP($A4,'Arranjos Consolidados'!$E$3:$BM$303,BJ$2,FALSE),"")</f>
        <v>-1024.4639711147188</v>
      </c>
      <c r="BK4" s="34">
        <f>IFERROR(VLOOKUP($A4,'Arranjos Consolidados'!$E$3:$BM$303,BK$2,FALSE),"")</f>
        <v>0.65189079908186809</v>
      </c>
    </row>
    <row r="5" spans="1:63" ht="16.2" x14ac:dyDescent="0.3">
      <c r="A5" s="24" t="s">
        <v>10552</v>
      </c>
      <c r="B5" s="32">
        <f>'Banco de Dados'!$I$29</f>
        <v>300</v>
      </c>
      <c r="C5" s="25">
        <f>'Banco de Dados'!$I$31/100</f>
        <v>0.35</v>
      </c>
      <c r="D5" s="29">
        <f>IFERROR(VLOOKUP($A5,'Arranjos Consolidados'!$E$3:$BM$303,D$2,FALSE),"")</f>
        <v>3317141</v>
      </c>
      <c r="E5" s="33">
        <f>IFERROR(VLOOKUP($A5,'Arranjos Consolidados'!$E$3:$BM$303,E$2,FALSE),"")</f>
        <v>0.89712450607071414</v>
      </c>
      <c r="F5" s="29">
        <f>IFERROR(VLOOKUP($A5,'Arranjos Consolidados'!$E$3:$BM$303,F$2,FALSE),"")</f>
        <v>200</v>
      </c>
      <c r="G5" s="31">
        <f>IFERROR(VLOOKUP($A5,'Arranjos Consolidados'!$E$3:$BM$303,G$2,FALSE),"")</f>
        <v>569.77773752865039</v>
      </c>
      <c r="H5" s="34">
        <f>IFERROR(VLOOKUP($A5,'Arranjos Consolidados'!$E$3:$BM$303,H$2,FALSE),"")</f>
        <v>1.4772630112932856</v>
      </c>
      <c r="I5" s="29">
        <f>IFERROR(VLOOKUP($A5,'Arranjos Consolidados'!$E$3:$BM$303,I$2,FALSE),"")</f>
        <v>30</v>
      </c>
      <c r="J5" s="31">
        <f>IFERROR(VLOOKUP($A5,'Arranjos Consolidados'!$E$3:$BM$303,J$2,FALSE),"")</f>
        <v>4264.6323429267832</v>
      </c>
      <c r="K5" s="31">
        <f>IFERROR(VLOOKUP($A5,'Arranjos Consolidados'!$E$3:$BM$303,K$2,FALSE),"")</f>
        <v>587.87744538993547</v>
      </c>
      <c r="L5" s="31">
        <f>IFERROR(VLOOKUP($A5,'Arranjos Consolidados'!$E$3:$BM$303,L$2,FALSE),"")</f>
        <v>13885255.944849033</v>
      </c>
      <c r="M5" s="31">
        <f>IFERROR(VLOOKUP($A5,'Arranjos Consolidados'!$E$3:$BM$303,M$2,FALSE),"")</f>
        <v>10147341.625191599</v>
      </c>
      <c r="N5" s="31">
        <f>IFERROR(VLOOKUP($A5,'Arranjos Consolidados'!$E$3:$BM$303,N$2,FALSE),"")</f>
        <v>2555581.3566494645</v>
      </c>
      <c r="O5" s="31">
        <f>IFERROR(VLOOKUP($A5,'Arranjos Consolidados'!$E$3:$BM$303,O$2,FALSE),"")</f>
        <v>1182332.96300797</v>
      </c>
      <c r="P5" s="31">
        <f>IFERROR(VLOOKUP($A5,'Arranjos Consolidados'!$E$3:$BM$303,P$2,FALSE),"")</f>
        <v>1182332.96300797</v>
      </c>
      <c r="Q5" s="31">
        <f>IFERROR(VLOOKUP($A5,'Arranjos Consolidados'!$E$3:$BM$303,Q$2,FALSE),"")</f>
        <v>0</v>
      </c>
      <c r="R5" s="31">
        <f>IFERROR(VLOOKUP($A5,'Arranjos Consolidados'!$E$3:$BM$303,R$2,FALSE),"")</f>
        <v>0</v>
      </c>
      <c r="S5" s="31">
        <f>IFERROR(VLOOKUP($A5,'Arranjos Consolidados'!$E$3:$BM$303,S$2,FALSE),"")</f>
        <v>9049777586.3054371</v>
      </c>
      <c r="T5" s="31">
        <f>IFERROR(VLOOKUP($A5,'Arranjos Consolidados'!$E$3:$BM$303,T$2,FALSE),"")</f>
        <v>0</v>
      </c>
      <c r="U5" s="31">
        <f>IFERROR(VLOOKUP($A5,'Arranjos Consolidados'!$E$3:$BM$303,U$2,FALSE),"")</f>
        <v>0</v>
      </c>
      <c r="V5" s="31">
        <f>IFERROR(VLOOKUP($A5,'Arranjos Consolidados'!$E$3:$BM$303,V$2,FALSE),"")</f>
        <v>0</v>
      </c>
      <c r="W5" s="31">
        <f>IFERROR(VLOOKUP($A5,'Arranjos Consolidados'!$E$3:$BM$303,W$2,FALSE),"")</f>
        <v>946.95363838756032</v>
      </c>
      <c r="X5" s="29">
        <f>IFERROR(VLOOKUP($A5,'Arranjos Consolidados'!$E$3:$BM$303,X$2,FALSE),"")</f>
        <v>0</v>
      </c>
      <c r="Y5" s="31">
        <f>IFERROR(VLOOKUP($A5,'Arranjos Consolidados'!$E$3:$BM$303,Y$2,FALSE),"")</f>
        <v>173.07329870808047</v>
      </c>
      <c r="Z5" s="29">
        <f>IFERROR(VLOOKUP($A5,'Arranjos Consolidados'!$E$3:$BM$303,Z$2,FALSE),"")</f>
        <v>778.26708407572926</v>
      </c>
      <c r="AA5" s="31">
        <f>IFERROR(VLOOKUP($A5,'Arranjos Consolidados'!$E$3:$BM$303,AA$2,FALSE),"")</f>
        <v>-4.3867443962493828</v>
      </c>
      <c r="AB5" s="31">
        <f>IFERROR(VLOOKUP($A5,'Arranjos Consolidados'!$E$3:$BM$303,AB$2,FALSE),"")</f>
        <v>377.17590085890998</v>
      </c>
      <c r="AC5" s="31">
        <f>IFERROR(VLOOKUP($A5,'Arranjos Consolidados'!$E$3:$BM$303,AC$2,FALSE),"")</f>
        <v>4.3776885406827965E-3</v>
      </c>
      <c r="AD5" s="31">
        <f>IFERROR(VLOOKUP($A5,'Arranjos Consolidados'!$E$3:$BM$303,AD$2,FALSE),"")</f>
        <v>0</v>
      </c>
      <c r="AE5" s="31">
        <f>IFERROR(VLOOKUP($A5,'Arranjos Consolidados'!$E$3:$BM$303,AE$2,FALSE),"")</f>
        <v>0</v>
      </c>
      <c r="AF5" s="31">
        <f>IFERROR(VLOOKUP($A5,'Arranjos Consolidados'!$E$3:$BM$303,AF$2,FALSE),"")</f>
        <v>3.4103606542780721E-3</v>
      </c>
      <c r="AG5" s="31">
        <f>IFERROR(VLOOKUP($A5,'Arranjos Consolidados'!$E$3:$BM$303,AG$2,FALSE),"")</f>
        <v>123.0003582294425</v>
      </c>
      <c r="AH5" s="31">
        <f>IFERROR(VLOOKUP($A5,'Arranjos Consolidados'!$E$3:$BM$303,AH$2,FALSE),"")</f>
        <v>254.16775458027249</v>
      </c>
      <c r="AI5" s="31">
        <f>IFERROR(VLOOKUP($A5,'Arranjos Consolidados'!$E$3:$BM$303,AI$2,FALSE),"")</f>
        <v>0</v>
      </c>
      <c r="AJ5" s="31">
        <f>IFERROR(VLOOKUP($A5,'Arranjos Consolidados'!$E$3:$BM$303,AJ$2,FALSE),"")</f>
        <v>0</v>
      </c>
      <c r="AK5" s="31">
        <f>IFERROR(VLOOKUP($A5,'Arranjos Consolidados'!$E$3:$BM$303,AK$2,FALSE),"")</f>
        <v>0</v>
      </c>
      <c r="AL5" s="34">
        <f>IFERROR(VLOOKUP($A5,'Arranjos Consolidados'!$E$3:$BM$303,AL$2,FALSE),"")</f>
        <v>-150.48188740459574</v>
      </c>
      <c r="AM5" s="31">
        <f>IFERROR(VLOOKUP($A5,'Arranjos Consolidados'!$E$3:$BM$303,AM$2,FALSE),"")</f>
        <v>569.77773752865039</v>
      </c>
      <c r="AN5" s="31">
        <f>IFERROR(VLOOKUP($A5,'Arranjos Consolidados'!$E$3:$BM$303,AN$2,FALSE),"")</f>
        <v>7.7880491949608678E-3</v>
      </c>
      <c r="AO5" s="31">
        <f>IFERROR(VLOOKUP($A5,'Arranjos Consolidados'!$E$3:$BM$303,AO$2,FALSE),"")</f>
        <v>4.3776885406827965E-3</v>
      </c>
      <c r="AP5" s="31">
        <f>IFERROR(VLOOKUP($A5,'Arranjos Consolidados'!$E$3:$BM$303,AP$2,FALSE),"")</f>
        <v>0</v>
      </c>
      <c r="AQ5" s="31">
        <f>IFERROR(VLOOKUP($A5,'Arranjos Consolidados'!$E$3:$BM$303,AQ$2,FALSE),"")</f>
        <v>0</v>
      </c>
      <c r="AR5" s="31">
        <f>IFERROR(VLOOKUP($A5,'Arranjos Consolidados'!$E$3:$BM$303,AR$2,FALSE),"")</f>
        <v>3.4103606542780721E-3</v>
      </c>
      <c r="AS5" s="31">
        <f>IFERROR(VLOOKUP($A5,'Arranjos Consolidados'!$E$3:$BM$303,AS$2,FALSE),"")</f>
        <v>264.52788740134451</v>
      </c>
      <c r="AT5" s="31">
        <f>IFERROR(VLOOKUP($A5,'Arranjos Consolidados'!$E$3:$BM$303,AT$2,FALSE),"")</f>
        <v>79.356285111023126</v>
      </c>
      <c r="AU5" s="31">
        <f>IFERROR(VLOOKUP($A5,'Arranjos Consolidados'!$E$3:$BM$303,AU$2,FALSE),"")</f>
        <v>79.356285111023126</v>
      </c>
      <c r="AV5" s="31">
        <f>IFERROR(VLOOKUP($A5,'Arranjos Consolidados'!$E$3:$BM$303,AV$2,FALSE),"")</f>
        <v>0</v>
      </c>
      <c r="AW5" s="31">
        <f>IFERROR(VLOOKUP($A5,'Arranjos Consolidados'!$E$3:$BM$303,AW$2,FALSE),"")</f>
        <v>0</v>
      </c>
      <c r="AX5" s="31">
        <f>IFERROR(VLOOKUP($A5,'Arranjos Consolidados'!$E$3:$BM$303,AX$2,FALSE),"")</f>
        <v>49.593527826229447</v>
      </c>
      <c r="AY5" s="31">
        <f>IFERROR(VLOOKUP($A5,'Arranjos Consolidados'!$E$3:$BM$303,AY$2,FALSE),"")</f>
        <v>0</v>
      </c>
      <c r="AZ5" s="31">
        <f>IFERROR(VLOOKUP($A5,'Arranjos Consolidados'!$E$3:$BM$303,AZ$2,FALSE),"")</f>
        <v>20.663969927595605</v>
      </c>
      <c r="BA5" s="31">
        <f>IFERROR(VLOOKUP($A5,'Arranjos Consolidados'!$E$3:$BM$303,BA$2,FALSE),"")</f>
        <v>28.929557898633842</v>
      </c>
      <c r="BB5" s="31">
        <f>IFERROR(VLOOKUP($A5,'Arranjos Consolidados'!$E$3:$BM$303,BB$2,FALSE),"")</f>
        <v>0</v>
      </c>
      <c r="BC5" s="31">
        <f>IFERROR(VLOOKUP($A5,'Arranjos Consolidados'!$E$3:$BM$303,BC$2,FALSE),"")</f>
        <v>135.57807446409194</v>
      </c>
      <c r="BD5" s="31">
        <f>IFERROR(VLOOKUP($A5,'Arranjos Consolidados'!$E$3:$BM$303,BD$2,FALSE),"")</f>
        <v>47.571254197926997</v>
      </c>
      <c r="BE5" s="31">
        <f>IFERROR(VLOOKUP($A5,'Arranjos Consolidados'!$E$3:$BM$303,BE$2,FALSE),"")</f>
        <v>0</v>
      </c>
      <c r="BF5" s="31">
        <f>IFERROR(VLOOKUP($A5,'Arranjos Consolidados'!$E$3:$BM$303,BF$2,FALSE),"")</f>
        <v>88.006820266164937</v>
      </c>
      <c r="BG5" s="31">
        <f>IFERROR(VLOOKUP($A5,'Arranjos Consolidados'!$E$3:$BM$303,BG$2,FALSE),"")</f>
        <v>0</v>
      </c>
      <c r="BH5" s="31">
        <f>IFERROR(VLOOKUP($A5,'Arranjos Consolidados'!$E$3:$BM$303,BH$2,FALSE),"")</f>
        <v>264.53567545053949</v>
      </c>
      <c r="BI5" s="31">
        <f>IFERROR(VLOOKUP($A5,'Arranjos Consolidados'!$E$3:$BM$303,BI$2,FALSE),"")</f>
        <v>641.71157630944947</v>
      </c>
      <c r="BJ5" s="34">
        <f>IFERROR(VLOOKUP($A5,'Arranjos Consolidados'!$E$3:$BM$303,BJ$2,FALSE),"")</f>
        <v>-334.82546963948198</v>
      </c>
      <c r="BK5" s="34">
        <f>IFERROR(VLOOKUP($A5,'Arranjos Consolidados'!$E$3:$BM$303,BK$2,FALSE),"")</f>
        <v>2.8162502584909213</v>
      </c>
    </row>
    <row r="6" spans="1:63" ht="16.2" x14ac:dyDescent="0.3">
      <c r="A6" s="24" t="s">
        <v>10555</v>
      </c>
      <c r="B6" s="32">
        <f>'Banco de Dados'!$I$29</f>
        <v>300</v>
      </c>
      <c r="C6" s="25">
        <f>'Banco de Dados'!$I$31/100</f>
        <v>0.35</v>
      </c>
      <c r="D6" s="29">
        <f>IFERROR(VLOOKUP($A6,'Arranjos Consolidados'!$E$3:$BM$303,D$2,FALSE),"")</f>
        <v>3317141</v>
      </c>
      <c r="E6" s="33">
        <f>IFERROR(VLOOKUP($A6,'Arranjos Consolidados'!$E$3:$BM$303,E$2,FALSE),"")</f>
        <v>0.89712450607071414</v>
      </c>
      <c r="F6" s="29">
        <f>IFERROR(VLOOKUP($A6,'Arranjos Consolidados'!$E$3:$BM$303,F$2,FALSE),"")</f>
        <v>200</v>
      </c>
      <c r="G6" s="31">
        <f>IFERROR(VLOOKUP($A6,'Arranjos Consolidados'!$E$3:$BM$303,G$2,FALSE),"")</f>
        <v>606.81185774830374</v>
      </c>
      <c r="H6" s="34">
        <f>IFERROR(VLOOKUP($A6,'Arranjos Consolidados'!$E$3:$BM$303,H$2,FALSE),"")</f>
        <v>1.3975761007733902</v>
      </c>
      <c r="I6" s="29">
        <f>IFERROR(VLOOKUP($A6,'Arranjos Consolidados'!$E$3:$BM$303,I$2,FALSE),"")</f>
        <v>30</v>
      </c>
      <c r="J6" s="31">
        <f>IFERROR(VLOOKUP($A6,'Arranjos Consolidados'!$E$3:$BM$303,J$2,FALSE),"")</f>
        <v>4350.236357662634</v>
      </c>
      <c r="K6" s="31">
        <f>IFERROR(VLOOKUP($A6,'Arranjos Consolidados'!$E$3:$BM$303,K$2,FALSE),"")</f>
        <v>579.07368156405096</v>
      </c>
      <c r="L6" s="31">
        <f>IFERROR(VLOOKUP($A6,'Arranjos Consolidados'!$E$3:$BM$303,L$2,FALSE),"")</f>
        <v>13885251.956447801</v>
      </c>
      <c r="M6" s="31">
        <f>IFERROR(VLOOKUP($A6,'Arranjos Consolidados'!$E$3:$BM$303,M$2,FALSE),"")</f>
        <v>10147338.710468961</v>
      </c>
      <c r="N6" s="31">
        <f>IFERROR(VLOOKUP($A6,'Arranjos Consolidados'!$E$3:$BM$303,N$2,FALSE),"")</f>
        <v>2555580.6225842177</v>
      </c>
      <c r="O6" s="31">
        <f>IFERROR(VLOOKUP($A6,'Arranjos Consolidados'!$E$3:$BM$303,O$2,FALSE),"")</f>
        <v>1182332.6233946229</v>
      </c>
      <c r="P6" s="31">
        <f>IFERROR(VLOOKUP($A6,'Arranjos Consolidados'!$E$3:$BM$303,P$2,FALSE),"")</f>
        <v>1182332.6233946229</v>
      </c>
      <c r="Q6" s="31">
        <f>IFERROR(VLOOKUP($A6,'Arranjos Consolidados'!$E$3:$BM$303,Q$2,FALSE),"")</f>
        <v>0</v>
      </c>
      <c r="R6" s="31">
        <f>IFERROR(VLOOKUP($A6,'Arranjos Consolidados'!$E$3:$BM$303,R$2,FALSE),"")</f>
        <v>0</v>
      </c>
      <c r="S6" s="31">
        <f>IFERROR(VLOOKUP($A6,'Arranjos Consolidados'!$E$3:$BM$303,S$2,FALSE),"")</f>
        <v>9049774986.8471203</v>
      </c>
      <c r="T6" s="31">
        <f>IFERROR(VLOOKUP($A6,'Arranjos Consolidados'!$E$3:$BM$303,T$2,FALSE),"")</f>
        <v>0</v>
      </c>
      <c r="U6" s="31">
        <f>IFERROR(VLOOKUP($A6,'Arranjos Consolidados'!$E$3:$BM$303,U$2,FALSE),"")</f>
        <v>0</v>
      </c>
      <c r="V6" s="31">
        <f>IFERROR(VLOOKUP($A6,'Arranjos Consolidados'!$E$3:$BM$303,V$2,FALSE),"")</f>
        <v>0</v>
      </c>
      <c r="W6" s="31">
        <f>IFERROR(VLOOKUP($A6,'Arranjos Consolidados'!$E$3:$BM$303,W$2,FALSE),"")</f>
        <v>983.98784268494228</v>
      </c>
      <c r="X6" s="29">
        <f>IFERROR(VLOOKUP($A6,'Arranjos Consolidados'!$E$3:$BM$303,X$2,FALSE),"")</f>
        <v>0</v>
      </c>
      <c r="Y6" s="31">
        <f>IFERROR(VLOOKUP($A6,'Arranjos Consolidados'!$E$3:$BM$303,Y$2,FALSE),"")</f>
        <v>268.17135923712482</v>
      </c>
      <c r="Z6" s="29">
        <f>IFERROR(VLOOKUP($A6,'Arranjos Consolidados'!$E$3:$BM$303,Z$2,FALSE),"")</f>
        <v>720.019324263057</v>
      </c>
      <c r="AA6" s="31">
        <f>IFERROR(VLOOKUP($A6,'Arranjos Consolidados'!$E$3:$BM$303,AA$2,FALSE),"")</f>
        <v>-4.2028408152394352</v>
      </c>
      <c r="AB6" s="31">
        <f>IFERROR(VLOOKUP($A6,'Arranjos Consolidados'!$E$3:$BM$303,AB$2,FALSE),"")</f>
        <v>377.17598493663866</v>
      </c>
      <c r="AC6" s="31">
        <f>IFERROR(VLOOKUP($A6,'Arranjos Consolidados'!$E$3:$BM$303,AC$2,FALSE),"")</f>
        <v>4.3702982125726026E-3</v>
      </c>
      <c r="AD6" s="31">
        <f>IFERROR(VLOOKUP($A6,'Arranjos Consolidados'!$E$3:$BM$303,AD$2,FALSE),"")</f>
        <v>0</v>
      </c>
      <c r="AE6" s="31">
        <f>IFERROR(VLOOKUP($A6,'Arranjos Consolidados'!$E$3:$BM$303,AE$2,FALSE),"")</f>
        <v>0</v>
      </c>
      <c r="AF6" s="31">
        <f>IFERROR(VLOOKUP($A6,'Arranjos Consolidados'!$E$3:$BM$303,AF$2,FALSE),"")</f>
        <v>3.4103756018883428E-3</v>
      </c>
      <c r="AG6" s="31">
        <f>IFERROR(VLOOKUP($A6,'Arranjos Consolidados'!$E$3:$BM$303,AG$2,FALSE),"")</f>
        <v>123.00035822944251</v>
      </c>
      <c r="AH6" s="31">
        <f>IFERROR(VLOOKUP($A6,'Arranjos Consolidados'!$E$3:$BM$303,AH$2,FALSE),"")</f>
        <v>254.16784603338155</v>
      </c>
      <c r="AI6" s="31">
        <f>IFERROR(VLOOKUP($A6,'Arranjos Consolidados'!$E$3:$BM$303,AI$2,FALSE),"")</f>
        <v>0</v>
      </c>
      <c r="AJ6" s="31">
        <f>IFERROR(VLOOKUP($A6,'Arranjos Consolidados'!$E$3:$BM$303,AJ$2,FALSE),"")</f>
        <v>0</v>
      </c>
      <c r="AK6" s="31">
        <f>IFERROR(VLOOKUP($A6,'Arranjos Consolidados'!$E$3:$BM$303,AK$2,FALSE),"")</f>
        <v>0</v>
      </c>
      <c r="AL6" s="34">
        <f>IFERROR(VLOOKUP($A6,'Arranjos Consolidados'!$E$3:$BM$303,AL$2,FALSE),"")</f>
        <v>-143.50425462153416</v>
      </c>
      <c r="AM6" s="31">
        <f>IFERROR(VLOOKUP($A6,'Arranjos Consolidados'!$E$3:$BM$303,AM$2,FALSE),"")</f>
        <v>606.81185774830374</v>
      </c>
      <c r="AN6" s="31">
        <f>IFERROR(VLOOKUP($A6,'Arranjos Consolidados'!$E$3:$BM$303,AN$2,FALSE),"")</f>
        <v>7.780673814460945E-3</v>
      </c>
      <c r="AO6" s="31">
        <f>IFERROR(VLOOKUP($A6,'Arranjos Consolidados'!$E$3:$BM$303,AO$2,FALSE),"")</f>
        <v>4.3702982125726026E-3</v>
      </c>
      <c r="AP6" s="31">
        <f>IFERROR(VLOOKUP($A6,'Arranjos Consolidados'!$E$3:$BM$303,AP$2,FALSE),"")</f>
        <v>0</v>
      </c>
      <c r="AQ6" s="31">
        <f>IFERROR(VLOOKUP($A6,'Arranjos Consolidados'!$E$3:$BM$303,AQ$2,FALSE),"")</f>
        <v>0</v>
      </c>
      <c r="AR6" s="31">
        <f>IFERROR(VLOOKUP($A6,'Arranjos Consolidados'!$E$3:$BM$303,AR$2,FALSE),"")</f>
        <v>3.4103756018883428E-3</v>
      </c>
      <c r="AS6" s="31">
        <f>IFERROR(VLOOKUP($A6,'Arranjos Consolidados'!$E$3:$BM$303,AS$2,FALSE),"")</f>
        <v>270.88198444447823</v>
      </c>
      <c r="AT6" s="31">
        <f>IFERROR(VLOOKUP($A6,'Arranjos Consolidados'!$E$3:$BM$303,AT$2,FALSE),"")</f>
        <v>80.247170122856502</v>
      </c>
      <c r="AU6" s="31">
        <f>IFERROR(VLOOKUP($A6,'Arranjos Consolidados'!$E$3:$BM$303,AU$2,FALSE),"")</f>
        <v>80.247170122856502</v>
      </c>
      <c r="AV6" s="31">
        <f>IFERROR(VLOOKUP($A6,'Arranjos Consolidados'!$E$3:$BM$303,AV$2,FALSE),"")</f>
        <v>0</v>
      </c>
      <c r="AW6" s="31">
        <f>IFERROR(VLOOKUP($A6,'Arranjos Consolidados'!$E$3:$BM$303,AW$2,FALSE),"")</f>
        <v>0</v>
      </c>
      <c r="AX6" s="31">
        <f>IFERROR(VLOOKUP($A6,'Arranjos Consolidados'!$E$3:$BM$303,AX$2,FALSE),"")</f>
        <v>49.805653017970052</v>
      </c>
      <c r="AY6" s="31">
        <f>IFERROR(VLOOKUP($A6,'Arranjos Consolidados'!$E$3:$BM$303,AY$2,FALSE),"")</f>
        <v>0</v>
      </c>
      <c r="AZ6" s="31">
        <f>IFERROR(VLOOKUP($A6,'Arranjos Consolidados'!$E$3:$BM$303,AZ$2,FALSE),"")</f>
        <v>20.752355424154185</v>
      </c>
      <c r="BA6" s="31">
        <f>IFERROR(VLOOKUP($A6,'Arranjos Consolidados'!$E$3:$BM$303,BA$2,FALSE),"")</f>
        <v>29.053297593815863</v>
      </c>
      <c r="BB6" s="31">
        <f>IFERROR(VLOOKUP($A6,'Arranjos Consolidados'!$E$3:$BM$303,BB$2,FALSE),"")</f>
        <v>0</v>
      </c>
      <c r="BC6" s="31">
        <f>IFERROR(VLOOKUP($A6,'Arranjos Consolidados'!$E$3:$BM$303,BC$2,FALSE),"")</f>
        <v>140.82916130365166</v>
      </c>
      <c r="BD6" s="31">
        <f>IFERROR(VLOOKUP($A6,'Arranjos Consolidados'!$E$3:$BM$303,BD$2,FALSE),"")</f>
        <v>49.413740808298833</v>
      </c>
      <c r="BE6" s="31">
        <f>IFERROR(VLOOKUP($A6,'Arranjos Consolidados'!$E$3:$BM$303,BE$2,FALSE),"")</f>
        <v>0</v>
      </c>
      <c r="BF6" s="31">
        <f>IFERROR(VLOOKUP($A6,'Arranjos Consolidados'!$E$3:$BM$303,BF$2,FALSE),"")</f>
        <v>91.415420495352834</v>
      </c>
      <c r="BG6" s="31">
        <f>IFERROR(VLOOKUP($A6,'Arranjos Consolidados'!$E$3:$BM$303,BG$2,FALSE),"")</f>
        <v>0</v>
      </c>
      <c r="BH6" s="31">
        <f>IFERROR(VLOOKUP($A6,'Arranjos Consolidados'!$E$3:$BM$303,BH$2,FALSE),"")</f>
        <v>270.8897651182927</v>
      </c>
      <c r="BI6" s="31">
        <f>IFERROR(VLOOKUP($A6,'Arranjos Consolidados'!$E$3:$BM$303,BI$2,FALSE),"")</f>
        <v>648.06575005493141</v>
      </c>
      <c r="BJ6" s="34">
        <f>IFERROR(VLOOKUP($A6,'Arranjos Consolidados'!$E$3:$BM$303,BJ$2,FALSE),"")</f>
        <v>-323.35496660641115</v>
      </c>
      <c r="BK6" s="34">
        <f>IFERROR(VLOOKUP($A6,'Arranjos Consolidados'!$E$3:$BM$303,BK$2,FALSE),"")</f>
        <v>1.9677439784382582</v>
      </c>
    </row>
    <row r="7" spans="1:63" ht="16.2" x14ac:dyDescent="0.3">
      <c r="A7" s="24" t="s">
        <v>10558</v>
      </c>
      <c r="B7" s="32">
        <f>'Banco de Dados'!$I$29</f>
        <v>300</v>
      </c>
      <c r="C7" s="25">
        <f>'Banco de Dados'!$I$31/100</f>
        <v>0.35</v>
      </c>
      <c r="D7" s="29">
        <f>IFERROR(VLOOKUP($A7,'Arranjos Consolidados'!$E$3:$BM$303,D$2,FALSE),"")</f>
        <v>3317141</v>
      </c>
      <c r="E7" s="33">
        <f>IFERROR(VLOOKUP($A7,'Arranjos Consolidados'!$E$3:$BM$303,E$2,FALSE),"")</f>
        <v>0.89712450607071414</v>
      </c>
      <c r="F7" s="29">
        <f>IFERROR(VLOOKUP($A7,'Arranjos Consolidados'!$E$3:$BM$303,F$2,FALSE),"")</f>
        <v>200</v>
      </c>
      <c r="G7" s="31">
        <f>IFERROR(VLOOKUP($A7,'Arranjos Consolidados'!$E$3:$BM$303,G$2,FALSE),"")</f>
        <v>662.3289606574117</v>
      </c>
      <c r="H7" s="34">
        <f>IFERROR(VLOOKUP($A7,'Arranjos Consolidados'!$E$3:$BM$303,H$2,FALSE),"")</f>
        <v>1.267767944951053</v>
      </c>
      <c r="I7" s="29">
        <f>IFERROR(VLOOKUP($A7,'Arranjos Consolidados'!$E$3:$BM$303,I$2,FALSE),"")</f>
        <v>30</v>
      </c>
      <c r="J7" s="31">
        <f>IFERROR(VLOOKUP($A7,'Arranjos Consolidados'!$E$3:$BM$303,J$2,FALSE),"")</f>
        <v>4361.6404141116527</v>
      </c>
      <c r="K7" s="31">
        <f>IFERROR(VLOOKUP($A7,'Arranjos Consolidados'!$E$3:$BM$303,K$2,FALSE),"")</f>
        <v>535.57287305077375</v>
      </c>
      <c r="L7" s="31">
        <f>IFERROR(VLOOKUP($A7,'Arranjos Consolidados'!$E$3:$BM$303,L$2,FALSE),"")</f>
        <v>13885251.956447802</v>
      </c>
      <c r="M7" s="31">
        <f>IFERROR(VLOOKUP($A7,'Arranjos Consolidados'!$E$3:$BM$303,M$2,FALSE),"")</f>
        <v>10147338.710468963</v>
      </c>
      <c r="N7" s="31">
        <f>IFERROR(VLOOKUP($A7,'Arranjos Consolidados'!$E$3:$BM$303,N$2,FALSE),"")</f>
        <v>2555580.6225842182</v>
      </c>
      <c r="O7" s="31">
        <f>IFERROR(VLOOKUP($A7,'Arranjos Consolidados'!$E$3:$BM$303,O$2,FALSE),"")</f>
        <v>1182332.6233946232</v>
      </c>
      <c r="P7" s="31">
        <f>IFERROR(VLOOKUP($A7,'Arranjos Consolidados'!$E$3:$BM$303,P$2,FALSE),"")</f>
        <v>1182332.6233946232</v>
      </c>
      <c r="Q7" s="31">
        <f>IFERROR(VLOOKUP($A7,'Arranjos Consolidados'!$E$3:$BM$303,Q$2,FALSE),"")</f>
        <v>0</v>
      </c>
      <c r="R7" s="31">
        <f>IFERROR(VLOOKUP($A7,'Arranjos Consolidados'!$E$3:$BM$303,R$2,FALSE),"")</f>
        <v>0</v>
      </c>
      <c r="S7" s="31">
        <f>IFERROR(VLOOKUP($A7,'Arranjos Consolidados'!$E$3:$BM$303,S$2,FALSE),"")</f>
        <v>9049774986.8471203</v>
      </c>
      <c r="T7" s="31">
        <f>IFERROR(VLOOKUP($A7,'Arranjos Consolidados'!$E$3:$BM$303,T$2,FALSE),"")</f>
        <v>0</v>
      </c>
      <c r="U7" s="31">
        <f>IFERROR(VLOOKUP($A7,'Arranjos Consolidados'!$E$3:$BM$303,U$2,FALSE),"")</f>
        <v>0</v>
      </c>
      <c r="V7" s="31">
        <f>IFERROR(VLOOKUP($A7,'Arranjos Consolidados'!$E$3:$BM$303,V$2,FALSE),"")</f>
        <v>0</v>
      </c>
      <c r="W7" s="31">
        <f>IFERROR(VLOOKUP($A7,'Arranjos Consolidados'!$E$3:$BM$303,W$2,FALSE),"")</f>
        <v>1039.50526767364</v>
      </c>
      <c r="X7" s="29">
        <f>IFERROR(VLOOKUP($A7,'Arranjos Consolidados'!$E$3:$BM$303,X$2,FALSE),"")</f>
        <v>0</v>
      </c>
      <c r="Y7" s="31">
        <f>IFERROR(VLOOKUP($A7,'Arranjos Consolidados'!$E$3:$BM$303,Y$2,FALSE),"")</f>
        <v>406.63186602604463</v>
      </c>
      <c r="Z7" s="29">
        <f>IFERROR(VLOOKUP($A7,'Arranjos Consolidados'!$E$3:$BM$303,Z$2,FALSE),"")</f>
        <v>635.2120141778845</v>
      </c>
      <c r="AA7" s="31">
        <f>IFERROR(VLOOKUP($A7,'Arranjos Consolidados'!$E$3:$BM$303,AA$2,FALSE),"")</f>
        <v>-2.3386125302892857</v>
      </c>
      <c r="AB7" s="31">
        <f>IFERROR(VLOOKUP($A7,'Arranjos Consolidados'!$E$3:$BM$303,AB$2,FALSE),"")</f>
        <v>377.17630701622818</v>
      </c>
      <c r="AC7" s="31">
        <f>IFERROR(VLOOKUP($A7,'Arranjos Consolidados'!$E$3:$BM$303,AC$2,FALSE),"")</f>
        <v>4.3029713315380445E-3</v>
      </c>
      <c r="AD7" s="31">
        <f>IFERROR(VLOOKUP($A7,'Arranjos Consolidados'!$E$3:$BM$303,AD$2,FALSE),"")</f>
        <v>0</v>
      </c>
      <c r="AE7" s="31">
        <f>IFERROR(VLOOKUP($A7,'Arranjos Consolidados'!$E$3:$BM$303,AE$2,FALSE),"")</f>
        <v>0</v>
      </c>
      <c r="AF7" s="31">
        <f>IFERROR(VLOOKUP($A7,'Arranjos Consolidados'!$E$3:$BM$303,AF$2,FALSE),"")</f>
        <v>2.2735884289268203E-3</v>
      </c>
      <c r="AG7" s="31">
        <f>IFERROR(VLOOKUP($A7,'Arranjos Consolidados'!$E$3:$BM$303,AG$2,FALSE),"")</f>
        <v>123.0003582294425</v>
      </c>
      <c r="AH7" s="31">
        <f>IFERROR(VLOOKUP($A7,'Arranjos Consolidados'!$E$3:$BM$303,AH$2,FALSE),"")</f>
        <v>254.16937222702504</v>
      </c>
      <c r="AI7" s="31">
        <f>IFERROR(VLOOKUP($A7,'Arranjos Consolidados'!$E$3:$BM$303,AI$2,FALSE),"")</f>
        <v>0</v>
      </c>
      <c r="AJ7" s="31">
        <f>IFERROR(VLOOKUP($A7,'Arranjos Consolidados'!$E$3:$BM$303,AJ$2,FALSE),"")</f>
        <v>0</v>
      </c>
      <c r="AK7" s="31">
        <f>IFERROR(VLOOKUP($A7,'Arranjos Consolidados'!$E$3:$BM$303,AK$2,FALSE),"")</f>
        <v>0</v>
      </c>
      <c r="AL7" s="34">
        <f>IFERROR(VLOOKUP($A7,'Arranjos Consolidados'!$E$3:$BM$303,AL$2,FALSE),"")</f>
        <v>-172.49777885067849</v>
      </c>
      <c r="AM7" s="31">
        <f>IFERROR(VLOOKUP($A7,'Arranjos Consolidados'!$E$3:$BM$303,AM$2,FALSE),"")</f>
        <v>662.3289606574117</v>
      </c>
      <c r="AN7" s="31">
        <f>IFERROR(VLOOKUP($A7,'Arranjos Consolidados'!$E$3:$BM$303,AN$2,FALSE),"")</f>
        <v>6.5765597604648647E-3</v>
      </c>
      <c r="AO7" s="31">
        <f>IFERROR(VLOOKUP($A7,'Arranjos Consolidados'!$E$3:$BM$303,AO$2,FALSE),"")</f>
        <v>4.3029713315380445E-3</v>
      </c>
      <c r="AP7" s="31">
        <f>IFERROR(VLOOKUP($A7,'Arranjos Consolidados'!$E$3:$BM$303,AP$2,FALSE),"")</f>
        <v>0</v>
      </c>
      <c r="AQ7" s="31">
        <f>IFERROR(VLOOKUP($A7,'Arranjos Consolidados'!$E$3:$BM$303,AQ$2,FALSE),"")</f>
        <v>0</v>
      </c>
      <c r="AR7" s="31">
        <f>IFERROR(VLOOKUP($A7,'Arranjos Consolidados'!$E$3:$BM$303,AR$2,FALSE),"")</f>
        <v>2.2735884289268203E-3</v>
      </c>
      <c r="AS7" s="31">
        <f>IFERROR(VLOOKUP($A7,'Arranjos Consolidados'!$E$3:$BM$303,AS$2,FALSE),"")</f>
        <v>262.49654175822496</v>
      </c>
      <c r="AT7" s="31">
        <f>IFERROR(VLOOKUP($A7,'Arranjos Consolidados'!$E$3:$BM$303,AT$2,FALSE),"")</f>
        <v>73.277552723557122</v>
      </c>
      <c r="AU7" s="31">
        <f>IFERROR(VLOOKUP($A7,'Arranjos Consolidados'!$E$3:$BM$303,AU$2,FALSE),"")</f>
        <v>73.277552723557122</v>
      </c>
      <c r="AV7" s="31">
        <f>IFERROR(VLOOKUP($A7,'Arranjos Consolidados'!$E$3:$BM$303,AV$2,FALSE),"")</f>
        <v>0</v>
      </c>
      <c r="AW7" s="31">
        <f>IFERROR(VLOOKUP($A7,'Arranjos Consolidados'!$E$3:$BM$303,AW$2,FALSE),"")</f>
        <v>0</v>
      </c>
      <c r="AX7" s="31">
        <f>IFERROR(VLOOKUP($A7,'Arranjos Consolidados'!$E$3:$BM$303,AX$2,FALSE),"")</f>
        <v>40.744778572167085</v>
      </c>
      <c r="AY7" s="31">
        <f>IFERROR(VLOOKUP($A7,'Arranjos Consolidados'!$E$3:$BM$303,AY$2,FALSE),"")</f>
        <v>0</v>
      </c>
      <c r="AZ7" s="31">
        <f>IFERROR(VLOOKUP($A7,'Arranjos Consolidados'!$E$3:$BM$303,AZ$2,FALSE),"")</f>
        <v>16.976991071736286</v>
      </c>
      <c r="BA7" s="31">
        <f>IFERROR(VLOOKUP($A7,'Arranjos Consolidados'!$E$3:$BM$303,BA$2,FALSE),"")</f>
        <v>23.767787500430799</v>
      </c>
      <c r="BB7" s="31">
        <f>IFERROR(VLOOKUP($A7,'Arranjos Consolidados'!$E$3:$BM$303,BB$2,FALSE),"")</f>
        <v>0</v>
      </c>
      <c r="BC7" s="31">
        <f>IFERROR(VLOOKUP($A7,'Arranjos Consolidados'!$E$3:$BM$303,BC$2,FALSE),"")</f>
        <v>148.47421046250076</v>
      </c>
      <c r="BD7" s="31">
        <f>IFERROR(VLOOKUP($A7,'Arranjos Consolidados'!$E$3:$BM$303,BD$2,FALSE),"")</f>
        <v>52.096214197368688</v>
      </c>
      <c r="BE7" s="31">
        <f>IFERROR(VLOOKUP($A7,'Arranjos Consolidados'!$E$3:$BM$303,BE$2,FALSE),"")</f>
        <v>0</v>
      </c>
      <c r="BF7" s="31">
        <f>IFERROR(VLOOKUP($A7,'Arranjos Consolidados'!$E$3:$BM$303,BF$2,FALSE),"")</f>
        <v>96.377996265132069</v>
      </c>
      <c r="BG7" s="31">
        <f>IFERROR(VLOOKUP($A7,'Arranjos Consolidados'!$E$3:$BM$303,BG$2,FALSE),"")</f>
        <v>0</v>
      </c>
      <c r="BH7" s="31">
        <f>IFERROR(VLOOKUP($A7,'Arranjos Consolidados'!$E$3:$BM$303,BH$2,FALSE),"")</f>
        <v>262.50311831798541</v>
      </c>
      <c r="BI7" s="31">
        <f>IFERROR(VLOOKUP($A7,'Arranjos Consolidados'!$E$3:$BM$303,BI$2,FALSE),"")</f>
        <v>639.67942533421365</v>
      </c>
      <c r="BJ7" s="34">
        <f>IFERROR(VLOOKUP($A7,'Arranjos Consolidados'!$E$3:$BM$303,BJ$2,FALSE),"")</f>
        <v>-385.84130752484396</v>
      </c>
      <c r="BK7" s="34">
        <f>IFERROR(VLOOKUP($A7,'Arranjos Consolidados'!$E$3:$BM$303,BK$2,FALSE),"")</f>
        <v>1.2835047937503161</v>
      </c>
    </row>
    <row r="8" spans="1:63" ht="16.2" x14ac:dyDescent="0.3">
      <c r="A8" s="24" t="s">
        <v>9999</v>
      </c>
      <c r="B8" s="32">
        <f>'Banco de Dados'!$I$29</f>
        <v>300</v>
      </c>
      <c r="C8" s="25">
        <f>'Banco de Dados'!$I$31/100</f>
        <v>0.35</v>
      </c>
      <c r="D8" s="29">
        <f>IFERROR(VLOOKUP($A8,'Arranjos Consolidados'!$E$3:$BM$303,D$2,FALSE),"")</f>
        <v>3317141</v>
      </c>
      <c r="E8" s="33">
        <f>IFERROR(VLOOKUP($A8,'Arranjos Consolidados'!$E$3:$BM$303,E$2,FALSE),"")</f>
        <v>0.89712450637213792</v>
      </c>
      <c r="F8" s="29">
        <f>IFERROR(VLOOKUP($A8,'Arranjos Consolidados'!$E$3:$BM$303,F$2,FALSE),"")</f>
        <v>200</v>
      </c>
      <c r="G8" s="31">
        <f>IFERROR(VLOOKUP($A8,'Arranjos Consolidados'!$E$3:$BM$303,G$2,FALSE),"")</f>
        <v>1320.7101231274355</v>
      </c>
      <c r="H8" s="34">
        <f>IFERROR(VLOOKUP($A8,'Arranjos Consolidados'!$E$3:$BM$303,H$2,FALSE),"")</f>
        <v>0.78182975620748896</v>
      </c>
      <c r="I8" s="29">
        <f>IFERROR(VLOOKUP($A8,'Arranjos Consolidados'!$E$3:$BM$303,I$2,FALSE),"")</f>
        <v>30</v>
      </c>
      <c r="J8" s="31">
        <f>IFERROR(VLOOKUP($A8,'Arranjos Consolidados'!$E$3:$BM$303,J$2,FALSE),"")</f>
        <v>4054.5774732336968</v>
      </c>
      <c r="K8" s="31">
        <f>IFERROR(VLOOKUP($A8,'Arranjos Consolidados'!$E$3:$BM$303,K$2,FALSE),"")</f>
        <v>372.88752005541562</v>
      </c>
      <c r="L8" s="31">
        <f>IFERROR(VLOOKUP($A8,'Arranjos Consolidados'!$E$3:$BM$303,L$2,FALSE),"")</f>
        <v>13885251.956447791</v>
      </c>
      <c r="M8" s="31">
        <f>IFERROR(VLOOKUP($A8,'Arranjos Consolidados'!$E$3:$BM$303,M$2,FALSE),"")</f>
        <v>10147338.710468953</v>
      </c>
      <c r="N8" s="31">
        <f>IFERROR(VLOOKUP($A8,'Arranjos Consolidados'!$E$3:$BM$303,N$2,FALSE),"")</f>
        <v>2555580.6225842177</v>
      </c>
      <c r="O8" s="31">
        <f>IFERROR(VLOOKUP($A8,'Arranjos Consolidados'!$E$3:$BM$303,O$2,FALSE),"")</f>
        <v>1182332.6233946225</v>
      </c>
      <c r="P8" s="31">
        <f>IFERROR(VLOOKUP($A8,'Arranjos Consolidados'!$E$3:$BM$303,P$2,FALSE),"")</f>
        <v>1182332.6233946225</v>
      </c>
      <c r="Q8" s="31">
        <f>IFERROR(VLOOKUP($A8,'Arranjos Consolidados'!$E$3:$BM$303,Q$2,FALSE),"")</f>
        <v>0</v>
      </c>
      <c r="R8" s="31">
        <f>IFERROR(VLOOKUP($A8,'Arranjos Consolidados'!$E$3:$BM$303,R$2,FALSE),"")</f>
        <v>0</v>
      </c>
      <c r="S8" s="31">
        <f>IFERROR(VLOOKUP($A8,'Arranjos Consolidados'!$E$3:$BM$303,S$2,FALSE),"")</f>
        <v>9049774986.8471146</v>
      </c>
      <c r="T8" s="31">
        <f>IFERROR(VLOOKUP($A8,'Arranjos Consolidados'!$E$3:$BM$303,T$2,FALSE),"")</f>
        <v>0</v>
      </c>
      <c r="U8" s="31">
        <f>IFERROR(VLOOKUP($A8,'Arranjos Consolidados'!$E$3:$BM$303,U$2,FALSE),"")</f>
        <v>0</v>
      </c>
      <c r="V8" s="31">
        <f>IFERROR(VLOOKUP($A8,'Arranjos Consolidados'!$E$3:$BM$303,V$2,FALSE),"")</f>
        <v>0</v>
      </c>
      <c r="W8" s="31">
        <f>IFERROR(VLOOKUP($A8,'Arranjos Consolidados'!$E$3:$BM$303,W$2,FALSE),"")</f>
        <v>1801.7766085718592</v>
      </c>
      <c r="X8" s="29">
        <f>IFERROR(VLOOKUP($A8,'Arranjos Consolidados'!$E$3:$BM$303,X$2,FALSE),"")</f>
        <v>0</v>
      </c>
      <c r="Y8" s="31">
        <f>IFERROR(VLOOKUP($A8,'Arranjos Consolidados'!$E$3:$BM$303,Y$2,FALSE),"")</f>
        <v>1802.6839999999997</v>
      </c>
      <c r="Z8" s="29">
        <f>IFERROR(VLOOKUP($A8,'Arranjos Consolidados'!$E$3:$BM$303,Z$2,FALSE),"")</f>
        <v>0</v>
      </c>
      <c r="AA8" s="31">
        <f>IFERROR(VLOOKUP($A8,'Arranjos Consolidados'!$E$3:$BM$303,AA$2,FALSE),"")</f>
        <v>-0.9073914281408032</v>
      </c>
      <c r="AB8" s="31">
        <f>IFERROR(VLOOKUP($A8,'Arranjos Consolidados'!$E$3:$BM$303,AB$2,FALSE),"")</f>
        <v>481.06648544442373</v>
      </c>
      <c r="AC8" s="31">
        <f>IFERROR(VLOOKUP($A8,'Arranjos Consolidados'!$E$3:$BM$303,AC$2,FALSE),"")</f>
        <v>3.9972757405824146E-3</v>
      </c>
      <c r="AD8" s="31">
        <f>IFERROR(VLOOKUP($A8,'Arranjos Consolidados'!$E$3:$BM$303,AD$2,FALSE),"")</f>
        <v>0</v>
      </c>
      <c r="AE8" s="31">
        <f>IFERROR(VLOOKUP($A8,'Arranjos Consolidados'!$E$3:$BM$303,AE$2,FALSE),"")</f>
        <v>0</v>
      </c>
      <c r="AF8" s="31">
        <f>IFERROR(VLOOKUP($A8,'Arranjos Consolidados'!$E$3:$BM$303,AF$2,FALSE),"")</f>
        <v>1.1368017823452055E-3</v>
      </c>
      <c r="AG8" s="31">
        <f>IFERROR(VLOOKUP($A8,'Arranjos Consolidados'!$E$3:$BM$303,AG$2,FALSE),"")</f>
        <v>123.00035822944251</v>
      </c>
      <c r="AH8" s="31">
        <f>IFERROR(VLOOKUP($A8,'Arranjos Consolidados'!$E$3:$BM$303,AH$2,FALSE),"")</f>
        <v>358.06099313745824</v>
      </c>
      <c r="AI8" s="31">
        <f>IFERROR(VLOOKUP($A8,'Arranjos Consolidados'!$E$3:$BM$303,AI$2,FALSE),"")</f>
        <v>0</v>
      </c>
      <c r="AJ8" s="31">
        <f>IFERROR(VLOOKUP($A8,'Arranjos Consolidados'!$E$3:$BM$303,AJ$2,FALSE),"")</f>
        <v>0</v>
      </c>
      <c r="AK8" s="31">
        <f>IFERROR(VLOOKUP($A8,'Arranjos Consolidados'!$E$3:$BM$303,AK$2,FALSE),"")</f>
        <v>0</v>
      </c>
      <c r="AL8" s="34">
        <f>IFERROR(VLOOKUP($A8,'Arranjos Consolidados'!$E$3:$BM$303,AL$2,FALSE),"")</f>
        <v>-530.16423841484084</v>
      </c>
      <c r="AM8" s="31">
        <f>IFERROR(VLOOKUP($A8,'Arranjos Consolidados'!$E$3:$BM$303,AM$2,FALSE),"")</f>
        <v>1320.7101231274355</v>
      </c>
      <c r="AN8" s="31">
        <f>IFERROR(VLOOKUP($A8,'Arranjos Consolidados'!$E$3:$BM$303,AN$2,FALSE),"")</f>
        <v>5.1340775229276204E-3</v>
      </c>
      <c r="AO8" s="31">
        <f>IFERROR(VLOOKUP($A8,'Arranjos Consolidados'!$E$3:$BM$303,AO$2,FALSE),"")</f>
        <v>3.9972757405824146E-3</v>
      </c>
      <c r="AP8" s="31">
        <f>IFERROR(VLOOKUP($A8,'Arranjos Consolidados'!$E$3:$BM$303,AP$2,FALSE),"")</f>
        <v>0</v>
      </c>
      <c r="AQ8" s="31">
        <f>IFERROR(VLOOKUP($A8,'Arranjos Consolidados'!$E$3:$BM$303,AQ$2,FALSE),"")</f>
        <v>0</v>
      </c>
      <c r="AR8" s="31">
        <f>IFERROR(VLOOKUP($A8,'Arranjos Consolidados'!$E$3:$BM$303,AR$2,FALSE),"")</f>
        <v>1.1368017823452055E-3</v>
      </c>
      <c r="AS8" s="31">
        <f>IFERROR(VLOOKUP($A8,'Arranjos Consolidados'!$E$3:$BM$303,AS$2,FALSE),"")</f>
        <v>351.49885406353906</v>
      </c>
      <c r="AT8" s="31">
        <f>IFERROR(VLOOKUP($A8,'Arranjos Consolidados'!$E$3:$BM$303,AT$2,FALSE),"")</f>
        <v>59.589502147500106</v>
      </c>
      <c r="AU8" s="31">
        <f>IFERROR(VLOOKUP($A8,'Arranjos Consolidados'!$E$3:$BM$303,AU$2,FALSE),"")</f>
        <v>59.589502147500106</v>
      </c>
      <c r="AV8" s="31">
        <f>IFERROR(VLOOKUP($A8,'Arranjos Consolidados'!$E$3:$BM$303,AV$2,FALSE),"")</f>
        <v>0</v>
      </c>
      <c r="AW8" s="31">
        <f>IFERROR(VLOOKUP($A8,'Arranjos Consolidados'!$E$3:$BM$303,AW$2,FALSE),"")</f>
        <v>0</v>
      </c>
      <c r="AX8" s="31">
        <f>IFERROR(VLOOKUP($A8,'Arranjos Consolidados'!$E$3:$BM$303,AX$2,FALSE),"")</f>
        <v>35.01811690763968</v>
      </c>
      <c r="AY8" s="31">
        <f>IFERROR(VLOOKUP($A8,'Arranjos Consolidados'!$E$3:$BM$303,AY$2,FALSE),"")</f>
        <v>0</v>
      </c>
      <c r="AZ8" s="31">
        <f>IFERROR(VLOOKUP($A8,'Arranjos Consolidados'!$E$3:$BM$303,AZ$2,FALSE),"")</f>
        <v>14.590882044849867</v>
      </c>
      <c r="BA8" s="31">
        <f>IFERROR(VLOOKUP($A8,'Arranjos Consolidados'!$E$3:$BM$303,BA$2,FALSE),"")</f>
        <v>20.427234862789813</v>
      </c>
      <c r="BB8" s="31">
        <f>IFERROR(VLOOKUP($A8,'Arranjos Consolidados'!$E$3:$BM$303,BB$2,FALSE),"")</f>
        <v>0</v>
      </c>
      <c r="BC8" s="31">
        <f>IFERROR(VLOOKUP($A8,'Arranjos Consolidados'!$E$3:$BM$303,BC$2,FALSE),"")</f>
        <v>256.89123500839924</v>
      </c>
      <c r="BD8" s="31">
        <f>IFERROR(VLOOKUP($A8,'Arranjos Consolidados'!$E$3:$BM$303,BD$2,FALSE),"")</f>
        <v>90.137275441543579</v>
      </c>
      <c r="BE8" s="31">
        <f>IFERROR(VLOOKUP($A8,'Arranjos Consolidados'!$E$3:$BM$303,BE$2,FALSE),"")</f>
        <v>0</v>
      </c>
      <c r="BF8" s="31">
        <f>IFERROR(VLOOKUP($A8,'Arranjos Consolidados'!$E$3:$BM$303,BF$2,FALSE),"")</f>
        <v>166.75395956685563</v>
      </c>
      <c r="BG8" s="31">
        <f>IFERROR(VLOOKUP($A8,'Arranjos Consolidados'!$E$3:$BM$303,BG$2,FALSE),"")</f>
        <v>0</v>
      </c>
      <c r="BH8" s="31">
        <f>IFERROR(VLOOKUP($A8,'Arranjos Consolidados'!$E$3:$BM$303,BH$2,FALSE),"")</f>
        <v>351.503988141062</v>
      </c>
      <c r="BI8" s="31">
        <f>IFERROR(VLOOKUP($A8,'Arranjos Consolidados'!$E$3:$BM$303,BI$2,FALSE),"")</f>
        <v>832.57047358548573</v>
      </c>
      <c r="BJ8" s="34">
        <f>IFERROR(VLOOKUP($A8,'Arranjos Consolidados'!$E$3:$BM$303,BJ$2,FALSE),"")</f>
        <v>-1138.954846786648</v>
      </c>
      <c r="BK8" s="34">
        <f>IFERROR(VLOOKUP($A8,'Arranjos Consolidados'!$E$3:$BM$303,BK$2,FALSE),"")</f>
        <v>0.78182975620748896</v>
      </c>
    </row>
    <row r="9" spans="1:63" ht="16.2" x14ac:dyDescent="0.3">
      <c r="A9" s="24" t="s">
        <v>10553</v>
      </c>
      <c r="B9" s="32">
        <f>'Banco de Dados'!$I$29</f>
        <v>300</v>
      </c>
      <c r="C9" s="25">
        <f>'Banco de Dados'!$I$31/100</f>
        <v>0.35</v>
      </c>
      <c r="D9" s="29">
        <f>IFERROR(VLOOKUP($A9,'Arranjos Consolidados'!$E$3:$BM$303,D$2,FALSE),"")</f>
        <v>3317141</v>
      </c>
      <c r="E9" s="33">
        <f>IFERROR(VLOOKUP($A9,'Arranjos Consolidados'!$E$3:$BM$303,E$2,FALSE),"")</f>
        <v>0.89712450607071414</v>
      </c>
      <c r="F9" s="29">
        <f>IFERROR(VLOOKUP($A9,'Arranjos Consolidados'!$E$3:$BM$303,F$2,FALSE),"")</f>
        <v>200</v>
      </c>
      <c r="G9" s="31">
        <f>IFERROR(VLOOKUP($A9,'Arranjos Consolidados'!$E$3:$BM$303,G$2,FALSE),"")</f>
        <v>465.89051659732132</v>
      </c>
      <c r="H9" s="34">
        <f>IFERROR(VLOOKUP($A9,'Arranjos Consolidados'!$E$3:$BM$303,H$2,FALSE),"")</f>
        <v>2.0296588223066983</v>
      </c>
      <c r="I9" s="29">
        <f>IFERROR(VLOOKUP($A9,'Arranjos Consolidados'!$E$3:$BM$303,I$2,FALSE),"")</f>
        <v>30</v>
      </c>
      <c r="J9" s="31">
        <f>IFERROR(VLOOKUP($A9,'Arranjos Consolidados'!$E$3:$BM$303,J$2,FALSE),"")</f>
        <v>4264.6323429267832</v>
      </c>
      <c r="K9" s="31">
        <f>IFERROR(VLOOKUP($A9,'Arranjos Consolidados'!$E$3:$BM$303,K$2,FALSE),"")</f>
        <v>587.87744538993547</v>
      </c>
      <c r="L9" s="31">
        <f>IFERROR(VLOOKUP($A9,'Arranjos Consolidados'!$E$3:$BM$303,L$2,FALSE),"")</f>
        <v>13885255.944849033</v>
      </c>
      <c r="M9" s="31">
        <f>IFERROR(VLOOKUP($A9,'Arranjos Consolidados'!$E$3:$BM$303,M$2,FALSE),"")</f>
        <v>10147341.625191599</v>
      </c>
      <c r="N9" s="31">
        <f>IFERROR(VLOOKUP($A9,'Arranjos Consolidados'!$E$3:$BM$303,N$2,FALSE),"")</f>
        <v>2555581.3566494645</v>
      </c>
      <c r="O9" s="31">
        <f>IFERROR(VLOOKUP($A9,'Arranjos Consolidados'!$E$3:$BM$303,O$2,FALSE),"")</f>
        <v>1182332.96300797</v>
      </c>
      <c r="P9" s="31">
        <f>IFERROR(VLOOKUP($A9,'Arranjos Consolidados'!$E$3:$BM$303,P$2,FALSE),"")</f>
        <v>1182332.96300797</v>
      </c>
      <c r="Q9" s="31">
        <f>IFERROR(VLOOKUP($A9,'Arranjos Consolidados'!$E$3:$BM$303,Q$2,FALSE),"")</f>
        <v>0</v>
      </c>
      <c r="R9" s="31">
        <f>IFERROR(VLOOKUP($A9,'Arranjos Consolidados'!$E$3:$BM$303,R$2,FALSE),"")</f>
        <v>0</v>
      </c>
      <c r="S9" s="31">
        <f>IFERROR(VLOOKUP($A9,'Arranjos Consolidados'!$E$3:$BM$303,S$2,FALSE),"")</f>
        <v>9049777586.3054371</v>
      </c>
      <c r="T9" s="31">
        <f>IFERROR(VLOOKUP($A9,'Arranjos Consolidados'!$E$3:$BM$303,T$2,FALSE),"")</f>
        <v>0</v>
      </c>
      <c r="U9" s="31">
        <f>IFERROR(VLOOKUP($A9,'Arranjos Consolidados'!$E$3:$BM$303,U$2,FALSE),"")</f>
        <v>0</v>
      </c>
      <c r="V9" s="31">
        <f>IFERROR(VLOOKUP($A9,'Arranjos Consolidados'!$E$3:$BM$303,V$2,FALSE),"")</f>
        <v>0</v>
      </c>
      <c r="W9" s="31">
        <f>IFERROR(VLOOKUP($A9,'Arranjos Consolidados'!$E$3:$BM$303,W$2,FALSE),"")</f>
        <v>946.95363838756032</v>
      </c>
      <c r="X9" s="29">
        <f>IFERROR(VLOOKUP($A9,'Arranjos Consolidados'!$E$3:$BM$303,X$2,FALSE),"")</f>
        <v>0</v>
      </c>
      <c r="Y9" s="31">
        <f>IFERROR(VLOOKUP($A9,'Arranjos Consolidados'!$E$3:$BM$303,Y$2,FALSE),"")</f>
        <v>173.07329870808047</v>
      </c>
      <c r="Z9" s="29">
        <f>IFERROR(VLOOKUP($A9,'Arranjos Consolidados'!$E$3:$BM$303,Z$2,FALSE),"")</f>
        <v>778.26708407572926</v>
      </c>
      <c r="AA9" s="31">
        <f>IFERROR(VLOOKUP($A9,'Arranjos Consolidados'!$E$3:$BM$303,AA$2,FALSE),"")</f>
        <v>-4.3867443962493828</v>
      </c>
      <c r="AB9" s="31">
        <f>IFERROR(VLOOKUP($A9,'Arranjos Consolidados'!$E$3:$BM$303,AB$2,FALSE),"")</f>
        <v>481.06312179023888</v>
      </c>
      <c r="AC9" s="31">
        <f>IFERROR(VLOOKUP($A9,'Arranjos Consolidados'!$E$3:$BM$303,AC$2,FALSE),"")</f>
        <v>4.3776885406827965E-3</v>
      </c>
      <c r="AD9" s="31">
        <f>IFERROR(VLOOKUP($A9,'Arranjos Consolidados'!$E$3:$BM$303,AD$2,FALSE),"")</f>
        <v>0</v>
      </c>
      <c r="AE9" s="31">
        <f>IFERROR(VLOOKUP($A9,'Arranjos Consolidados'!$E$3:$BM$303,AE$2,FALSE),"")</f>
        <v>0</v>
      </c>
      <c r="AF9" s="31">
        <f>IFERROR(VLOOKUP($A9,'Arranjos Consolidados'!$E$3:$BM$303,AF$2,FALSE),"")</f>
        <v>3.4103606542780721E-3</v>
      </c>
      <c r="AG9" s="31">
        <f>IFERROR(VLOOKUP($A9,'Arranjos Consolidados'!$E$3:$BM$303,AG$2,FALSE),"")</f>
        <v>123.0003582294425</v>
      </c>
      <c r="AH9" s="31">
        <f>IFERROR(VLOOKUP($A9,'Arranjos Consolidados'!$E$3:$BM$303,AH$2,FALSE),"")</f>
        <v>358.05497551160158</v>
      </c>
      <c r="AI9" s="31">
        <f>IFERROR(VLOOKUP($A9,'Arranjos Consolidados'!$E$3:$BM$303,AI$2,FALSE),"")</f>
        <v>0</v>
      </c>
      <c r="AJ9" s="31">
        <f>IFERROR(VLOOKUP($A9,'Arranjos Consolidados'!$E$3:$BM$303,AJ$2,FALSE),"")</f>
        <v>0</v>
      </c>
      <c r="AK9" s="31">
        <f>IFERROR(VLOOKUP($A9,'Arranjos Consolidados'!$E$3:$BM$303,AK$2,FALSE),"")</f>
        <v>0</v>
      </c>
      <c r="AL9" s="34">
        <f>IFERROR(VLOOKUP($A9,'Arranjos Consolidados'!$E$3:$BM$303,AL$2,FALSE),"")</f>
        <v>-191.92993352406856</v>
      </c>
      <c r="AM9" s="31">
        <f>IFERROR(VLOOKUP($A9,'Arranjos Consolidados'!$E$3:$BM$303,AM$2,FALSE),"")</f>
        <v>465.89051659732132</v>
      </c>
      <c r="AN9" s="31">
        <f>IFERROR(VLOOKUP($A9,'Arranjos Consolidados'!$E$3:$BM$303,AN$2,FALSE),"")</f>
        <v>7.7880491949608678E-3</v>
      </c>
      <c r="AO9" s="31">
        <f>IFERROR(VLOOKUP($A9,'Arranjos Consolidados'!$E$3:$BM$303,AO$2,FALSE),"")</f>
        <v>4.3776885406827965E-3</v>
      </c>
      <c r="AP9" s="31">
        <f>IFERROR(VLOOKUP($A9,'Arranjos Consolidados'!$E$3:$BM$303,AP$2,FALSE),"")</f>
        <v>0</v>
      </c>
      <c r="AQ9" s="31">
        <f>IFERROR(VLOOKUP($A9,'Arranjos Consolidados'!$E$3:$BM$303,AQ$2,FALSE),"")</f>
        <v>0</v>
      </c>
      <c r="AR9" s="31">
        <f>IFERROR(VLOOKUP($A9,'Arranjos Consolidados'!$E$3:$BM$303,AR$2,FALSE),"")</f>
        <v>3.4103606542780721E-3</v>
      </c>
      <c r="AS9" s="31">
        <f>IFERROR(VLOOKUP($A9,'Arranjos Consolidados'!$E$3:$BM$303,AS$2,FALSE),"")</f>
        <v>264.52788740134451</v>
      </c>
      <c r="AT9" s="31">
        <f>IFERROR(VLOOKUP($A9,'Arranjos Consolidados'!$E$3:$BM$303,AT$2,FALSE),"")</f>
        <v>79.356285111023126</v>
      </c>
      <c r="AU9" s="31">
        <f>IFERROR(VLOOKUP($A9,'Arranjos Consolidados'!$E$3:$BM$303,AU$2,FALSE),"")</f>
        <v>79.356285111023126</v>
      </c>
      <c r="AV9" s="31">
        <f>IFERROR(VLOOKUP($A9,'Arranjos Consolidados'!$E$3:$BM$303,AV$2,FALSE),"")</f>
        <v>0</v>
      </c>
      <c r="AW9" s="31">
        <f>IFERROR(VLOOKUP($A9,'Arranjos Consolidados'!$E$3:$BM$303,AW$2,FALSE),"")</f>
        <v>0</v>
      </c>
      <c r="AX9" s="31">
        <f>IFERROR(VLOOKUP($A9,'Arranjos Consolidados'!$E$3:$BM$303,AX$2,FALSE),"")</f>
        <v>49.593527826229447</v>
      </c>
      <c r="AY9" s="31">
        <f>IFERROR(VLOOKUP($A9,'Arranjos Consolidados'!$E$3:$BM$303,AY$2,FALSE),"")</f>
        <v>0</v>
      </c>
      <c r="AZ9" s="31">
        <f>IFERROR(VLOOKUP($A9,'Arranjos Consolidados'!$E$3:$BM$303,AZ$2,FALSE),"")</f>
        <v>20.663969927595605</v>
      </c>
      <c r="BA9" s="31">
        <f>IFERROR(VLOOKUP($A9,'Arranjos Consolidados'!$E$3:$BM$303,BA$2,FALSE),"")</f>
        <v>28.929557898633842</v>
      </c>
      <c r="BB9" s="31">
        <f>IFERROR(VLOOKUP($A9,'Arranjos Consolidados'!$E$3:$BM$303,BB$2,FALSE),"")</f>
        <v>0</v>
      </c>
      <c r="BC9" s="31">
        <f>IFERROR(VLOOKUP($A9,'Arranjos Consolidados'!$E$3:$BM$303,BC$2,FALSE),"")</f>
        <v>135.57807446409194</v>
      </c>
      <c r="BD9" s="31">
        <f>IFERROR(VLOOKUP($A9,'Arranjos Consolidados'!$E$3:$BM$303,BD$2,FALSE),"")</f>
        <v>47.571254197926997</v>
      </c>
      <c r="BE9" s="31">
        <f>IFERROR(VLOOKUP($A9,'Arranjos Consolidados'!$E$3:$BM$303,BE$2,FALSE),"")</f>
        <v>0</v>
      </c>
      <c r="BF9" s="31">
        <f>IFERROR(VLOOKUP($A9,'Arranjos Consolidados'!$E$3:$BM$303,BF$2,FALSE),"")</f>
        <v>88.006820266164937</v>
      </c>
      <c r="BG9" s="31">
        <f>IFERROR(VLOOKUP($A9,'Arranjos Consolidados'!$E$3:$BM$303,BG$2,FALSE),"")</f>
        <v>0</v>
      </c>
      <c r="BH9" s="31">
        <f>IFERROR(VLOOKUP($A9,'Arranjos Consolidados'!$E$3:$BM$303,BH$2,FALSE),"")</f>
        <v>264.53567545053949</v>
      </c>
      <c r="BI9" s="31">
        <f>IFERROR(VLOOKUP($A9,'Arranjos Consolidados'!$E$3:$BM$303,BI$2,FALSE),"")</f>
        <v>745.59879724077837</v>
      </c>
      <c r="BJ9" s="34">
        <f>IFERROR(VLOOKUP($A9,'Arranjos Consolidados'!$E$3:$BM$303,BJ$2,FALSE),"")</f>
        <v>-376.27351575895477</v>
      </c>
      <c r="BK9" s="34">
        <f>IFERROR(VLOOKUP($A9,'Arranjos Consolidados'!$E$3:$BM$303,BK$2,FALSE),"")</f>
        <v>20.144520079337134</v>
      </c>
    </row>
    <row r="10" spans="1:63" ht="16.2" x14ac:dyDescent="0.3">
      <c r="A10" s="24" t="s">
        <v>10556</v>
      </c>
      <c r="B10" s="32">
        <f>'Banco de Dados'!$I$29</f>
        <v>300</v>
      </c>
      <c r="C10" s="25">
        <f>'Banco de Dados'!$I$31/100</f>
        <v>0.35</v>
      </c>
      <c r="D10" s="29">
        <f>IFERROR(VLOOKUP($A10,'Arranjos Consolidados'!$E$3:$BM$303,D$2,FALSE),"")</f>
        <v>3317141</v>
      </c>
      <c r="E10" s="33">
        <f>IFERROR(VLOOKUP($A10,'Arranjos Consolidados'!$E$3:$BM$303,E$2,FALSE),"")</f>
        <v>0.89712450607071414</v>
      </c>
      <c r="F10" s="29">
        <f>IFERROR(VLOOKUP($A10,'Arranjos Consolidados'!$E$3:$BM$303,F$2,FALSE),"")</f>
        <v>200</v>
      </c>
      <c r="G10" s="31">
        <f>IFERROR(VLOOKUP($A10,'Arranjos Consolidados'!$E$3:$BM$303,G$2,FALSE),"")</f>
        <v>502.92463446074714</v>
      </c>
      <c r="H10" s="34">
        <f>IFERROR(VLOOKUP($A10,'Arranjos Consolidados'!$E$3:$BM$303,H$2,FALSE),"")</f>
        <v>1.892834250132138</v>
      </c>
      <c r="I10" s="29">
        <f>IFERROR(VLOOKUP($A10,'Arranjos Consolidados'!$E$3:$BM$303,I$2,FALSE),"")</f>
        <v>30</v>
      </c>
      <c r="J10" s="31">
        <f>IFERROR(VLOOKUP($A10,'Arranjos Consolidados'!$E$3:$BM$303,J$2,FALSE),"")</f>
        <v>4350.236357662634</v>
      </c>
      <c r="K10" s="31">
        <f>IFERROR(VLOOKUP($A10,'Arranjos Consolidados'!$E$3:$BM$303,K$2,FALSE),"")</f>
        <v>579.07368156405096</v>
      </c>
      <c r="L10" s="31">
        <f>IFERROR(VLOOKUP($A10,'Arranjos Consolidados'!$E$3:$BM$303,L$2,FALSE),"")</f>
        <v>13885251.956447801</v>
      </c>
      <c r="M10" s="31">
        <f>IFERROR(VLOOKUP($A10,'Arranjos Consolidados'!$E$3:$BM$303,M$2,FALSE),"")</f>
        <v>10147338.710468961</v>
      </c>
      <c r="N10" s="31">
        <f>IFERROR(VLOOKUP($A10,'Arranjos Consolidados'!$E$3:$BM$303,N$2,FALSE),"")</f>
        <v>2555580.6225842177</v>
      </c>
      <c r="O10" s="31">
        <f>IFERROR(VLOOKUP($A10,'Arranjos Consolidados'!$E$3:$BM$303,O$2,FALSE),"")</f>
        <v>1182332.6233946229</v>
      </c>
      <c r="P10" s="31">
        <f>IFERROR(VLOOKUP($A10,'Arranjos Consolidados'!$E$3:$BM$303,P$2,FALSE),"")</f>
        <v>1182332.6233946229</v>
      </c>
      <c r="Q10" s="31">
        <f>IFERROR(VLOOKUP($A10,'Arranjos Consolidados'!$E$3:$BM$303,Q$2,FALSE),"")</f>
        <v>0</v>
      </c>
      <c r="R10" s="31">
        <f>IFERROR(VLOOKUP($A10,'Arranjos Consolidados'!$E$3:$BM$303,R$2,FALSE),"")</f>
        <v>0</v>
      </c>
      <c r="S10" s="31">
        <f>IFERROR(VLOOKUP($A10,'Arranjos Consolidados'!$E$3:$BM$303,S$2,FALSE),"")</f>
        <v>9049774986.8471203</v>
      </c>
      <c r="T10" s="31">
        <f>IFERROR(VLOOKUP($A10,'Arranjos Consolidados'!$E$3:$BM$303,T$2,FALSE),"")</f>
        <v>0</v>
      </c>
      <c r="U10" s="31">
        <f>IFERROR(VLOOKUP($A10,'Arranjos Consolidados'!$E$3:$BM$303,U$2,FALSE),"")</f>
        <v>0</v>
      </c>
      <c r="V10" s="31">
        <f>IFERROR(VLOOKUP($A10,'Arranjos Consolidados'!$E$3:$BM$303,V$2,FALSE),"")</f>
        <v>0</v>
      </c>
      <c r="W10" s="31">
        <f>IFERROR(VLOOKUP($A10,'Arranjos Consolidados'!$E$3:$BM$303,W$2,FALSE),"")</f>
        <v>983.98784268494228</v>
      </c>
      <c r="X10" s="29">
        <f>IFERROR(VLOOKUP($A10,'Arranjos Consolidados'!$E$3:$BM$303,X$2,FALSE),"")</f>
        <v>0</v>
      </c>
      <c r="Y10" s="31">
        <f>IFERROR(VLOOKUP($A10,'Arranjos Consolidados'!$E$3:$BM$303,Y$2,FALSE),"")</f>
        <v>268.17135923712482</v>
      </c>
      <c r="Z10" s="29">
        <f>IFERROR(VLOOKUP($A10,'Arranjos Consolidados'!$E$3:$BM$303,Z$2,FALSE),"")</f>
        <v>720.019324263057</v>
      </c>
      <c r="AA10" s="31">
        <f>IFERROR(VLOOKUP($A10,'Arranjos Consolidados'!$E$3:$BM$303,AA$2,FALSE),"")</f>
        <v>-4.2028408152394352</v>
      </c>
      <c r="AB10" s="31">
        <f>IFERROR(VLOOKUP($A10,'Arranjos Consolidados'!$E$3:$BM$303,AB$2,FALSE),"")</f>
        <v>481.06320822419514</v>
      </c>
      <c r="AC10" s="31">
        <f>IFERROR(VLOOKUP($A10,'Arranjos Consolidados'!$E$3:$BM$303,AC$2,FALSE),"")</f>
        <v>4.3702982125726026E-3</v>
      </c>
      <c r="AD10" s="31">
        <f>IFERROR(VLOOKUP($A10,'Arranjos Consolidados'!$E$3:$BM$303,AD$2,FALSE),"")</f>
        <v>0</v>
      </c>
      <c r="AE10" s="31">
        <f>IFERROR(VLOOKUP($A10,'Arranjos Consolidados'!$E$3:$BM$303,AE$2,FALSE),"")</f>
        <v>0</v>
      </c>
      <c r="AF10" s="31">
        <f>IFERROR(VLOOKUP($A10,'Arranjos Consolidados'!$E$3:$BM$303,AF$2,FALSE),"")</f>
        <v>3.4103756018883428E-3</v>
      </c>
      <c r="AG10" s="31">
        <f>IFERROR(VLOOKUP($A10,'Arranjos Consolidados'!$E$3:$BM$303,AG$2,FALSE),"")</f>
        <v>123.00035822944251</v>
      </c>
      <c r="AH10" s="31">
        <f>IFERROR(VLOOKUP($A10,'Arranjos Consolidados'!$E$3:$BM$303,AH$2,FALSE),"")</f>
        <v>358.05506932093806</v>
      </c>
      <c r="AI10" s="31">
        <f>IFERROR(VLOOKUP($A10,'Arranjos Consolidados'!$E$3:$BM$303,AI$2,FALSE),"")</f>
        <v>0</v>
      </c>
      <c r="AJ10" s="31">
        <f>IFERROR(VLOOKUP($A10,'Arranjos Consolidados'!$E$3:$BM$303,AJ$2,FALSE),"")</f>
        <v>0</v>
      </c>
      <c r="AK10" s="31">
        <f>IFERROR(VLOOKUP($A10,'Arranjos Consolidados'!$E$3:$BM$303,AK$2,FALSE),"")</f>
        <v>0</v>
      </c>
      <c r="AL10" s="34">
        <f>IFERROR(VLOOKUP($A10,'Arranjos Consolidados'!$E$3:$BM$303,AL$2,FALSE),"")</f>
        <v>-183.0304278305224</v>
      </c>
      <c r="AM10" s="31">
        <f>IFERROR(VLOOKUP($A10,'Arranjos Consolidados'!$E$3:$BM$303,AM$2,FALSE),"")</f>
        <v>502.92463446074714</v>
      </c>
      <c r="AN10" s="31">
        <f>IFERROR(VLOOKUP($A10,'Arranjos Consolidados'!$E$3:$BM$303,AN$2,FALSE),"")</f>
        <v>7.780673814460945E-3</v>
      </c>
      <c r="AO10" s="31">
        <f>IFERROR(VLOOKUP($A10,'Arranjos Consolidados'!$E$3:$BM$303,AO$2,FALSE),"")</f>
        <v>4.3702982125726026E-3</v>
      </c>
      <c r="AP10" s="31">
        <f>IFERROR(VLOOKUP($A10,'Arranjos Consolidados'!$E$3:$BM$303,AP$2,FALSE),"")</f>
        <v>0</v>
      </c>
      <c r="AQ10" s="31">
        <f>IFERROR(VLOOKUP($A10,'Arranjos Consolidados'!$E$3:$BM$303,AQ$2,FALSE),"")</f>
        <v>0</v>
      </c>
      <c r="AR10" s="31">
        <f>IFERROR(VLOOKUP($A10,'Arranjos Consolidados'!$E$3:$BM$303,AR$2,FALSE),"")</f>
        <v>3.4103756018883428E-3</v>
      </c>
      <c r="AS10" s="31">
        <f>IFERROR(VLOOKUP($A10,'Arranjos Consolidados'!$E$3:$BM$303,AS$2,FALSE),"")</f>
        <v>270.88198444447823</v>
      </c>
      <c r="AT10" s="31">
        <f>IFERROR(VLOOKUP($A10,'Arranjos Consolidados'!$E$3:$BM$303,AT$2,FALSE),"")</f>
        <v>80.247170122856502</v>
      </c>
      <c r="AU10" s="31">
        <f>IFERROR(VLOOKUP($A10,'Arranjos Consolidados'!$E$3:$BM$303,AU$2,FALSE),"")</f>
        <v>80.247170122856502</v>
      </c>
      <c r="AV10" s="31">
        <f>IFERROR(VLOOKUP($A10,'Arranjos Consolidados'!$E$3:$BM$303,AV$2,FALSE),"")</f>
        <v>0</v>
      </c>
      <c r="AW10" s="31">
        <f>IFERROR(VLOOKUP($A10,'Arranjos Consolidados'!$E$3:$BM$303,AW$2,FALSE),"")</f>
        <v>0</v>
      </c>
      <c r="AX10" s="31">
        <f>IFERROR(VLOOKUP($A10,'Arranjos Consolidados'!$E$3:$BM$303,AX$2,FALSE),"")</f>
        <v>49.805653017970052</v>
      </c>
      <c r="AY10" s="31">
        <f>IFERROR(VLOOKUP($A10,'Arranjos Consolidados'!$E$3:$BM$303,AY$2,FALSE),"")</f>
        <v>0</v>
      </c>
      <c r="AZ10" s="31">
        <f>IFERROR(VLOOKUP($A10,'Arranjos Consolidados'!$E$3:$BM$303,AZ$2,FALSE),"")</f>
        <v>20.752355424154185</v>
      </c>
      <c r="BA10" s="31">
        <f>IFERROR(VLOOKUP($A10,'Arranjos Consolidados'!$E$3:$BM$303,BA$2,FALSE),"")</f>
        <v>29.053297593815863</v>
      </c>
      <c r="BB10" s="31">
        <f>IFERROR(VLOOKUP($A10,'Arranjos Consolidados'!$E$3:$BM$303,BB$2,FALSE),"")</f>
        <v>0</v>
      </c>
      <c r="BC10" s="31">
        <f>IFERROR(VLOOKUP($A10,'Arranjos Consolidados'!$E$3:$BM$303,BC$2,FALSE),"")</f>
        <v>140.82916130365166</v>
      </c>
      <c r="BD10" s="31">
        <f>IFERROR(VLOOKUP($A10,'Arranjos Consolidados'!$E$3:$BM$303,BD$2,FALSE),"")</f>
        <v>49.413740808298826</v>
      </c>
      <c r="BE10" s="31">
        <f>IFERROR(VLOOKUP($A10,'Arranjos Consolidados'!$E$3:$BM$303,BE$2,FALSE),"")</f>
        <v>0</v>
      </c>
      <c r="BF10" s="31">
        <f>IFERROR(VLOOKUP($A10,'Arranjos Consolidados'!$E$3:$BM$303,BF$2,FALSE),"")</f>
        <v>91.415420495352834</v>
      </c>
      <c r="BG10" s="31">
        <f>IFERROR(VLOOKUP($A10,'Arranjos Consolidados'!$E$3:$BM$303,BG$2,FALSE),"")</f>
        <v>0</v>
      </c>
      <c r="BH10" s="31">
        <f>IFERROR(VLOOKUP($A10,'Arranjos Consolidados'!$E$3:$BM$303,BH$2,FALSE),"")</f>
        <v>270.8897651182927</v>
      </c>
      <c r="BI10" s="31">
        <f>IFERROR(VLOOKUP($A10,'Arranjos Consolidados'!$E$3:$BM$303,BI$2,FALSE),"")</f>
        <v>751.95297334248789</v>
      </c>
      <c r="BJ10" s="34">
        <f>IFERROR(VLOOKUP($A10,'Arranjos Consolidados'!$E$3:$BM$303,BJ$2,FALSE),"")</f>
        <v>-362.88113981539937</v>
      </c>
      <c r="BK10" s="34">
        <f>IFERROR(VLOOKUP($A10,'Arranjos Consolidados'!$E$3:$BM$303,BK$2,FALSE),"")</f>
        <v>4.8913078258144607</v>
      </c>
    </row>
    <row r="11" spans="1:63" ht="16.2" x14ac:dyDescent="0.3">
      <c r="A11" s="24" t="s">
        <v>10559</v>
      </c>
      <c r="B11" s="32">
        <f>'Banco de Dados'!$I$29</f>
        <v>300</v>
      </c>
      <c r="C11" s="25">
        <f>'Banco de Dados'!$I$31/100</f>
        <v>0.35</v>
      </c>
      <c r="D11" s="29">
        <f>IFERROR(VLOOKUP($A11,'Arranjos Consolidados'!$E$3:$BM$303,D$2,FALSE),"")</f>
        <v>3317141</v>
      </c>
      <c r="E11" s="33">
        <f>IFERROR(VLOOKUP($A11,'Arranjos Consolidados'!$E$3:$BM$303,E$2,FALSE),"")</f>
        <v>0.89712450607071414</v>
      </c>
      <c r="F11" s="29">
        <f>IFERROR(VLOOKUP($A11,'Arranjos Consolidados'!$E$3:$BM$303,F$2,FALSE),"")</f>
        <v>200</v>
      </c>
      <c r="G11" s="31">
        <f>IFERROR(VLOOKUP($A11,'Arranjos Consolidados'!$E$3:$BM$303,G$2,FALSE),"")</f>
        <v>558.44136742179023</v>
      </c>
      <c r="H11" s="34">
        <f>IFERROR(VLOOKUP($A11,'Arranjos Consolidados'!$E$3:$BM$303,H$2,FALSE),"")</f>
        <v>1.6896438437684003</v>
      </c>
      <c r="I11" s="29">
        <f>IFERROR(VLOOKUP($A11,'Arranjos Consolidados'!$E$3:$BM$303,I$2,FALSE),"")</f>
        <v>30</v>
      </c>
      <c r="J11" s="31">
        <f>IFERROR(VLOOKUP($A11,'Arranjos Consolidados'!$E$3:$BM$303,J$2,FALSE),"")</f>
        <v>4361.6404141116527</v>
      </c>
      <c r="K11" s="31">
        <f>IFERROR(VLOOKUP($A11,'Arranjos Consolidados'!$E$3:$BM$303,K$2,FALSE),"")</f>
        <v>535.57287305077375</v>
      </c>
      <c r="L11" s="31">
        <f>IFERROR(VLOOKUP($A11,'Arranjos Consolidados'!$E$3:$BM$303,L$2,FALSE),"")</f>
        <v>13885251.956447802</v>
      </c>
      <c r="M11" s="31">
        <f>IFERROR(VLOOKUP($A11,'Arranjos Consolidados'!$E$3:$BM$303,M$2,FALSE),"")</f>
        <v>10147338.710468963</v>
      </c>
      <c r="N11" s="31">
        <f>IFERROR(VLOOKUP($A11,'Arranjos Consolidados'!$E$3:$BM$303,N$2,FALSE),"")</f>
        <v>2555580.6225842182</v>
      </c>
      <c r="O11" s="31">
        <f>IFERROR(VLOOKUP($A11,'Arranjos Consolidados'!$E$3:$BM$303,O$2,FALSE),"")</f>
        <v>1182332.6233946232</v>
      </c>
      <c r="P11" s="31">
        <f>IFERROR(VLOOKUP($A11,'Arranjos Consolidados'!$E$3:$BM$303,P$2,FALSE),"")</f>
        <v>1182332.6233946232</v>
      </c>
      <c r="Q11" s="31">
        <f>IFERROR(VLOOKUP($A11,'Arranjos Consolidados'!$E$3:$BM$303,Q$2,FALSE),"")</f>
        <v>0</v>
      </c>
      <c r="R11" s="31">
        <f>IFERROR(VLOOKUP($A11,'Arranjos Consolidados'!$E$3:$BM$303,R$2,FALSE),"")</f>
        <v>0</v>
      </c>
      <c r="S11" s="31">
        <f>IFERROR(VLOOKUP($A11,'Arranjos Consolidados'!$E$3:$BM$303,S$2,FALSE),"")</f>
        <v>9049774986.8471203</v>
      </c>
      <c r="T11" s="31">
        <f>IFERROR(VLOOKUP($A11,'Arranjos Consolidados'!$E$3:$BM$303,T$2,FALSE),"")</f>
        <v>0</v>
      </c>
      <c r="U11" s="31">
        <f>IFERROR(VLOOKUP($A11,'Arranjos Consolidados'!$E$3:$BM$303,U$2,FALSE),"")</f>
        <v>0</v>
      </c>
      <c r="V11" s="31">
        <f>IFERROR(VLOOKUP($A11,'Arranjos Consolidados'!$E$3:$BM$303,V$2,FALSE),"")</f>
        <v>0</v>
      </c>
      <c r="W11" s="31">
        <f>IFERROR(VLOOKUP($A11,'Arranjos Consolidados'!$E$3:$BM$303,W$2,FALSE),"")</f>
        <v>1039.50526767364</v>
      </c>
      <c r="X11" s="29">
        <f>IFERROR(VLOOKUP($A11,'Arranjos Consolidados'!$E$3:$BM$303,X$2,FALSE),"")</f>
        <v>0</v>
      </c>
      <c r="Y11" s="31">
        <f>IFERROR(VLOOKUP($A11,'Arranjos Consolidados'!$E$3:$BM$303,Y$2,FALSE),"")</f>
        <v>406.63186602604463</v>
      </c>
      <c r="Z11" s="29">
        <f>IFERROR(VLOOKUP($A11,'Arranjos Consolidados'!$E$3:$BM$303,Z$2,FALSE),"")</f>
        <v>635.2120141778845</v>
      </c>
      <c r="AA11" s="31">
        <f>IFERROR(VLOOKUP($A11,'Arranjos Consolidados'!$E$3:$BM$303,AA$2,FALSE),"")</f>
        <v>-2.3386125302892857</v>
      </c>
      <c r="AB11" s="31">
        <f>IFERROR(VLOOKUP($A11,'Arranjos Consolidados'!$E$3:$BM$303,AB$2,FALSE),"")</f>
        <v>481.06390025184965</v>
      </c>
      <c r="AC11" s="31">
        <f>IFERROR(VLOOKUP($A11,'Arranjos Consolidados'!$E$3:$BM$303,AC$2,FALSE),"")</f>
        <v>4.3029713315380445E-3</v>
      </c>
      <c r="AD11" s="31">
        <f>IFERROR(VLOOKUP($A11,'Arranjos Consolidados'!$E$3:$BM$303,AD$2,FALSE),"")</f>
        <v>0</v>
      </c>
      <c r="AE11" s="31">
        <f>IFERROR(VLOOKUP($A11,'Arranjos Consolidados'!$E$3:$BM$303,AE$2,FALSE),"")</f>
        <v>0</v>
      </c>
      <c r="AF11" s="31">
        <f>IFERROR(VLOOKUP($A11,'Arranjos Consolidados'!$E$3:$BM$303,AF$2,FALSE),"")</f>
        <v>2.2735884289268203E-3</v>
      </c>
      <c r="AG11" s="31">
        <f>IFERROR(VLOOKUP($A11,'Arranjos Consolidados'!$E$3:$BM$303,AG$2,FALSE),"")</f>
        <v>123.0003582294425</v>
      </c>
      <c r="AH11" s="31">
        <f>IFERROR(VLOOKUP($A11,'Arranjos Consolidados'!$E$3:$BM$303,AH$2,FALSE),"")</f>
        <v>358.05696546264653</v>
      </c>
      <c r="AI11" s="31">
        <f>IFERROR(VLOOKUP($A11,'Arranjos Consolidados'!$E$3:$BM$303,AI$2,FALSE),"")</f>
        <v>0</v>
      </c>
      <c r="AJ11" s="31">
        <f>IFERROR(VLOOKUP($A11,'Arranjos Consolidados'!$E$3:$BM$303,AJ$2,FALSE),"")</f>
        <v>0</v>
      </c>
      <c r="AK11" s="31">
        <f>IFERROR(VLOOKUP($A11,'Arranjos Consolidados'!$E$3:$BM$303,AK$2,FALSE),"")</f>
        <v>0</v>
      </c>
      <c r="AL11" s="34">
        <f>IFERROR(VLOOKUP($A11,'Arranjos Consolidados'!$E$3:$BM$303,AL$2,FALSE),"")</f>
        <v>-220.0097776805425</v>
      </c>
      <c r="AM11" s="31">
        <f>IFERROR(VLOOKUP($A11,'Arranjos Consolidados'!$E$3:$BM$303,AM$2,FALSE),"")</f>
        <v>558.44136742179023</v>
      </c>
      <c r="AN11" s="31">
        <f>IFERROR(VLOOKUP($A11,'Arranjos Consolidados'!$E$3:$BM$303,AN$2,FALSE),"")</f>
        <v>6.5765597604648647E-3</v>
      </c>
      <c r="AO11" s="31">
        <f>IFERROR(VLOOKUP($A11,'Arranjos Consolidados'!$E$3:$BM$303,AO$2,FALSE),"")</f>
        <v>4.3029713315380445E-3</v>
      </c>
      <c r="AP11" s="31">
        <f>IFERROR(VLOOKUP($A11,'Arranjos Consolidados'!$E$3:$BM$303,AP$2,FALSE),"")</f>
        <v>0</v>
      </c>
      <c r="AQ11" s="31">
        <f>IFERROR(VLOOKUP($A11,'Arranjos Consolidados'!$E$3:$BM$303,AQ$2,FALSE),"")</f>
        <v>0</v>
      </c>
      <c r="AR11" s="31">
        <f>IFERROR(VLOOKUP($A11,'Arranjos Consolidados'!$E$3:$BM$303,AR$2,FALSE),"")</f>
        <v>2.2735884289268203E-3</v>
      </c>
      <c r="AS11" s="31">
        <f>IFERROR(VLOOKUP($A11,'Arranjos Consolidados'!$E$3:$BM$303,AS$2,FALSE),"")</f>
        <v>262.49654175822502</v>
      </c>
      <c r="AT11" s="31">
        <f>IFERROR(VLOOKUP($A11,'Arranjos Consolidados'!$E$3:$BM$303,AT$2,FALSE),"")</f>
        <v>73.277552723557122</v>
      </c>
      <c r="AU11" s="31">
        <f>IFERROR(VLOOKUP($A11,'Arranjos Consolidados'!$E$3:$BM$303,AU$2,FALSE),"")</f>
        <v>73.277552723557122</v>
      </c>
      <c r="AV11" s="31">
        <f>IFERROR(VLOOKUP($A11,'Arranjos Consolidados'!$E$3:$BM$303,AV$2,FALSE),"")</f>
        <v>0</v>
      </c>
      <c r="AW11" s="31">
        <f>IFERROR(VLOOKUP($A11,'Arranjos Consolidados'!$E$3:$BM$303,AW$2,FALSE),"")</f>
        <v>0</v>
      </c>
      <c r="AX11" s="31">
        <f>IFERROR(VLOOKUP($A11,'Arranjos Consolidados'!$E$3:$BM$303,AX$2,FALSE),"")</f>
        <v>40.744778572167085</v>
      </c>
      <c r="AY11" s="31">
        <f>IFERROR(VLOOKUP($A11,'Arranjos Consolidados'!$E$3:$BM$303,AY$2,FALSE),"")</f>
        <v>0</v>
      </c>
      <c r="AZ11" s="31">
        <f>IFERROR(VLOOKUP($A11,'Arranjos Consolidados'!$E$3:$BM$303,AZ$2,FALSE),"")</f>
        <v>16.976991071736286</v>
      </c>
      <c r="BA11" s="31">
        <f>IFERROR(VLOOKUP($A11,'Arranjos Consolidados'!$E$3:$BM$303,BA$2,FALSE),"")</f>
        <v>23.767787500430799</v>
      </c>
      <c r="BB11" s="31">
        <f>IFERROR(VLOOKUP($A11,'Arranjos Consolidados'!$E$3:$BM$303,BB$2,FALSE),"")</f>
        <v>0</v>
      </c>
      <c r="BC11" s="31">
        <f>IFERROR(VLOOKUP($A11,'Arranjos Consolidados'!$E$3:$BM$303,BC$2,FALSE),"")</f>
        <v>148.47421046250079</v>
      </c>
      <c r="BD11" s="31">
        <f>IFERROR(VLOOKUP($A11,'Arranjos Consolidados'!$E$3:$BM$303,BD$2,FALSE),"")</f>
        <v>52.096214197368695</v>
      </c>
      <c r="BE11" s="31">
        <f>IFERROR(VLOOKUP($A11,'Arranjos Consolidados'!$E$3:$BM$303,BE$2,FALSE),"")</f>
        <v>0</v>
      </c>
      <c r="BF11" s="31">
        <f>IFERROR(VLOOKUP($A11,'Arranjos Consolidados'!$E$3:$BM$303,BF$2,FALSE),"")</f>
        <v>96.377996265132083</v>
      </c>
      <c r="BG11" s="31">
        <f>IFERROR(VLOOKUP($A11,'Arranjos Consolidados'!$E$3:$BM$303,BG$2,FALSE),"")</f>
        <v>0</v>
      </c>
      <c r="BH11" s="31">
        <f>IFERROR(VLOOKUP($A11,'Arranjos Consolidados'!$E$3:$BM$303,BH$2,FALSE),"")</f>
        <v>262.50311831798547</v>
      </c>
      <c r="BI11" s="31">
        <f>IFERROR(VLOOKUP($A11,'Arranjos Consolidados'!$E$3:$BM$303,BI$2,FALSE),"")</f>
        <v>743.56701856983511</v>
      </c>
      <c r="BJ11" s="34">
        <f>IFERROR(VLOOKUP($A11,'Arranjos Consolidados'!$E$3:$BM$303,BJ$2,FALSE),"")</f>
        <v>-433.35330635470797</v>
      </c>
      <c r="BK11" s="34">
        <f>IFERROR(VLOOKUP($A11,'Arranjos Consolidados'!$E$3:$BM$303,BK$2,FALSE),"")</f>
        <v>1.7201915591823096</v>
      </c>
    </row>
    <row r="12" spans="1:63" ht="16.2" x14ac:dyDescent="0.3">
      <c r="A12" s="24" t="s">
        <v>10000</v>
      </c>
      <c r="B12" s="32">
        <f>'Banco de Dados'!$I$29</f>
        <v>300</v>
      </c>
      <c r="C12" s="25">
        <f>'Banco de Dados'!$I$31/100</f>
        <v>0.35</v>
      </c>
      <c r="D12" s="29">
        <f>IFERROR(VLOOKUP($A12,'Arranjos Consolidados'!$E$3:$BM$303,D$2,FALSE),"")</f>
        <v>3317141</v>
      </c>
      <c r="E12" s="33">
        <f>IFERROR(VLOOKUP($A12,'Arranjos Consolidados'!$E$3:$BM$303,E$2,FALSE),"")</f>
        <v>0.89712450637213792</v>
      </c>
      <c r="F12" s="29">
        <f>IFERROR(VLOOKUP($A12,'Arranjos Consolidados'!$E$3:$BM$303,F$2,FALSE),"")</f>
        <v>200</v>
      </c>
      <c r="G12" s="31">
        <f>IFERROR(VLOOKUP($A12,'Arranjos Consolidados'!$E$3:$BM$303,G$2,FALSE),"")</f>
        <v>2112.0434589899769</v>
      </c>
      <c r="H12" s="34">
        <f>IFERROR(VLOOKUP($A12,'Arranjos Consolidados'!$E$3:$BM$303,H$2,FALSE),"")</f>
        <v>0.76004656123430092</v>
      </c>
      <c r="I12" s="29">
        <f>IFERROR(VLOOKUP($A12,'Arranjos Consolidados'!$E$3:$BM$303,I$2,FALSE),"")</f>
        <v>30</v>
      </c>
      <c r="J12" s="31">
        <f>IFERROR(VLOOKUP($A12,'Arranjos Consolidados'!$E$3:$BM$303,J$2,FALSE),"")</f>
        <v>3945.5572393000493</v>
      </c>
      <c r="K12" s="31">
        <f>IFERROR(VLOOKUP($A12,'Arranjos Consolidados'!$E$3:$BM$303,K$2,FALSE),"")</f>
        <v>512.20139624188789</v>
      </c>
      <c r="L12" s="31">
        <f>IFERROR(VLOOKUP($A12,'Arranjos Consolidados'!$E$3:$BM$303,L$2,FALSE),"")</f>
        <v>13885251.956447791</v>
      </c>
      <c r="M12" s="31">
        <f>IFERROR(VLOOKUP($A12,'Arranjos Consolidados'!$E$3:$BM$303,M$2,FALSE),"")</f>
        <v>10147338.710468953</v>
      </c>
      <c r="N12" s="31">
        <f>IFERROR(VLOOKUP($A12,'Arranjos Consolidados'!$E$3:$BM$303,N$2,FALSE),"")</f>
        <v>2555580.6225842177</v>
      </c>
      <c r="O12" s="31">
        <f>IFERROR(VLOOKUP($A12,'Arranjos Consolidados'!$E$3:$BM$303,O$2,FALSE),"")</f>
        <v>1182332.6233946225</v>
      </c>
      <c r="P12" s="31">
        <f>IFERROR(VLOOKUP($A12,'Arranjos Consolidados'!$E$3:$BM$303,P$2,FALSE),"")</f>
        <v>1182332.6233946225</v>
      </c>
      <c r="Q12" s="31">
        <f>IFERROR(VLOOKUP($A12,'Arranjos Consolidados'!$E$3:$BM$303,Q$2,FALSE),"")</f>
        <v>0</v>
      </c>
      <c r="R12" s="31">
        <f>IFERROR(VLOOKUP($A12,'Arranjos Consolidados'!$E$3:$BM$303,R$2,FALSE),"")</f>
        <v>0</v>
      </c>
      <c r="S12" s="31">
        <f>IFERROR(VLOOKUP($A12,'Arranjos Consolidados'!$E$3:$BM$303,S$2,FALSE),"")</f>
        <v>9049774986.8471146</v>
      </c>
      <c r="T12" s="31">
        <f>IFERROR(VLOOKUP($A12,'Arranjos Consolidados'!$E$3:$BM$303,T$2,FALSE),"")</f>
        <v>0</v>
      </c>
      <c r="U12" s="31">
        <f>IFERROR(VLOOKUP($A12,'Arranjos Consolidados'!$E$3:$BM$303,U$2,FALSE),"")</f>
        <v>0</v>
      </c>
      <c r="V12" s="31">
        <f>IFERROR(VLOOKUP($A12,'Arranjos Consolidados'!$E$3:$BM$303,V$2,FALSE),"")</f>
        <v>0</v>
      </c>
      <c r="W12" s="31">
        <f>IFERROR(VLOOKUP($A12,'Arranjos Consolidados'!$E$3:$BM$303,W$2,FALSE),"")</f>
        <v>2489.2199509475008</v>
      </c>
      <c r="X12" s="29">
        <f>IFERROR(VLOOKUP($A12,'Arranjos Consolidados'!$E$3:$BM$303,X$2,FALSE),"")</f>
        <v>0</v>
      </c>
      <c r="Y12" s="31">
        <f>IFERROR(VLOOKUP($A12,'Arranjos Consolidados'!$E$3:$BM$303,Y$2,FALSE),"")</f>
        <v>1802.6839999999997</v>
      </c>
      <c r="Z12" s="29">
        <f>IFERROR(VLOOKUP($A12,'Arranjos Consolidados'!$E$3:$BM$303,Z$2,FALSE),"")</f>
        <v>686.45399999999995</v>
      </c>
      <c r="AA12" s="31">
        <f>IFERROR(VLOOKUP($A12,'Arranjos Consolidados'!$E$3:$BM$303,AA$2,FALSE),"")</f>
        <v>8.1950947500943505E-2</v>
      </c>
      <c r="AB12" s="31">
        <f>IFERROR(VLOOKUP($A12,'Arranjos Consolidados'!$E$3:$BM$303,AB$2,FALSE),"")</f>
        <v>377.17649195752392</v>
      </c>
      <c r="AC12" s="31">
        <f>IFERROR(VLOOKUP($A12,'Arranjos Consolidados'!$E$3:$BM$303,AC$2,FALSE),"")</f>
        <v>3.9972517681841555E-3</v>
      </c>
      <c r="AD12" s="31">
        <f>IFERROR(VLOOKUP($A12,'Arranjos Consolidados'!$E$3:$BM$303,AD$2,FALSE),"")</f>
        <v>0</v>
      </c>
      <c r="AE12" s="31">
        <f>IFERROR(VLOOKUP($A12,'Arranjos Consolidados'!$E$3:$BM$303,AE$2,FALSE),"")</f>
        <v>0</v>
      </c>
      <c r="AF12" s="31">
        <f>IFERROR(VLOOKUP($A12,'Arranjos Consolidados'!$E$3:$BM$303,AF$2,FALSE),"")</f>
        <v>1.1367952269571162E-3</v>
      </c>
      <c r="AG12" s="31">
        <f>IFERROR(VLOOKUP($A12,'Arranjos Consolidados'!$E$3:$BM$303,AG$2,FALSE),"")</f>
        <v>123.00035822944251</v>
      </c>
      <c r="AH12" s="31">
        <f>IFERROR(VLOOKUP($A12,'Arranjos Consolidados'!$E$3:$BM$303,AH$2,FALSE),"")</f>
        <v>254.17099968108604</v>
      </c>
      <c r="AI12" s="31">
        <f>IFERROR(VLOOKUP($A12,'Arranjos Consolidados'!$E$3:$BM$303,AI$2,FALSE),"")</f>
        <v>0</v>
      </c>
      <c r="AJ12" s="31">
        <f>IFERROR(VLOOKUP($A12,'Arranjos Consolidados'!$E$3:$BM$303,AJ$2,FALSE),"")</f>
        <v>0</v>
      </c>
      <c r="AK12" s="31">
        <f>IFERROR(VLOOKUP($A12,'Arranjos Consolidados'!$E$3:$BM$303,AK$2,FALSE),"")</f>
        <v>0</v>
      </c>
      <c r="AL12" s="34">
        <f>IFERROR(VLOOKUP($A12,'Arranjos Consolidados'!$E$3:$BM$303,AL$2,FALSE),"")</f>
        <v>4602.4665175857972</v>
      </c>
      <c r="AM12" s="31">
        <f>IFERROR(VLOOKUP($A12,'Arranjos Consolidados'!$E$3:$BM$303,AM$2,FALSE),"")</f>
        <v>2112.0434589899769</v>
      </c>
      <c r="AN12" s="31">
        <f>IFERROR(VLOOKUP($A12,'Arranjos Consolidados'!$E$3:$BM$303,AN$2,FALSE),"")</f>
        <v>5.1340469951412712E-3</v>
      </c>
      <c r="AO12" s="31">
        <f>IFERROR(VLOOKUP($A12,'Arranjos Consolidados'!$E$3:$BM$303,AO$2,FALSE),"")</f>
        <v>3.9972517681841555E-3</v>
      </c>
      <c r="AP12" s="31">
        <f>IFERROR(VLOOKUP($A12,'Arranjos Consolidados'!$E$3:$BM$303,AP$2,FALSE),"")</f>
        <v>0</v>
      </c>
      <c r="AQ12" s="31">
        <f>IFERROR(VLOOKUP($A12,'Arranjos Consolidados'!$E$3:$BM$303,AQ$2,FALSE),"")</f>
        <v>0</v>
      </c>
      <c r="AR12" s="31">
        <f>IFERROR(VLOOKUP($A12,'Arranjos Consolidados'!$E$3:$BM$303,AR$2,FALSE),"")</f>
        <v>1.1367952269571162E-3</v>
      </c>
      <c r="AS12" s="31">
        <f>IFERROR(VLOOKUP($A12,'Arranjos Consolidados'!$E$3:$BM$303,AS$2,FALSE),"")</f>
        <v>1028.0697421782111</v>
      </c>
      <c r="AT12" s="31">
        <f>IFERROR(VLOOKUP($A12,'Arranjos Consolidados'!$E$3:$BM$303,AT$2,FALSE),"")</f>
        <v>641.70714129999999</v>
      </c>
      <c r="AU12" s="31">
        <f>IFERROR(VLOOKUP($A12,'Arranjos Consolidados'!$E$3:$BM$303,AU$2,FALSE),"")</f>
        <v>641.70714129999999</v>
      </c>
      <c r="AV12" s="31">
        <f>IFERROR(VLOOKUP($A12,'Arranjos Consolidados'!$E$3:$BM$303,AV$2,FALSE),"")</f>
        <v>0</v>
      </c>
      <c r="AW12" s="31">
        <f>IFERROR(VLOOKUP($A12,'Arranjos Consolidados'!$E$3:$BM$303,AW$2,FALSE),"")</f>
        <v>0</v>
      </c>
      <c r="AX12" s="31">
        <f>IFERROR(VLOOKUP($A12,'Arranjos Consolidados'!$E$3:$BM$303,AX$2,FALSE),"")</f>
        <v>31.649489469889229</v>
      </c>
      <c r="AY12" s="31">
        <f>IFERROR(VLOOKUP($A12,'Arranjos Consolidados'!$E$3:$BM$303,AY$2,FALSE),"")</f>
        <v>0</v>
      </c>
      <c r="AZ12" s="31">
        <f>IFERROR(VLOOKUP($A12,'Arranjos Consolidados'!$E$3:$BM$303,AZ$2,FALSE),"")</f>
        <v>13.187287279120511</v>
      </c>
      <c r="BA12" s="31">
        <f>IFERROR(VLOOKUP($A12,'Arranjos Consolidados'!$E$3:$BM$303,BA$2,FALSE),"")</f>
        <v>18.462202190768718</v>
      </c>
      <c r="BB12" s="31">
        <f>IFERROR(VLOOKUP($A12,'Arranjos Consolidados'!$E$3:$BM$303,BB$2,FALSE),"")</f>
        <v>0</v>
      </c>
      <c r="BC12" s="31">
        <f>IFERROR(VLOOKUP($A12,'Arranjos Consolidados'!$E$3:$BM$303,BC$2,FALSE),"")</f>
        <v>354.71311140832199</v>
      </c>
      <c r="BD12" s="31">
        <f>IFERROR(VLOOKUP($A12,'Arranjos Consolidados'!$E$3:$BM$303,BD$2,FALSE),"")</f>
        <v>124.46074084502528</v>
      </c>
      <c r="BE12" s="31">
        <f>IFERROR(VLOOKUP($A12,'Arranjos Consolidados'!$E$3:$BM$303,BE$2,FALSE),"")</f>
        <v>0</v>
      </c>
      <c r="BF12" s="31">
        <f>IFERROR(VLOOKUP($A12,'Arranjos Consolidados'!$E$3:$BM$303,BF$2,FALSE),"")</f>
        <v>230.25237056329675</v>
      </c>
      <c r="BG12" s="31">
        <f>IFERROR(VLOOKUP($A12,'Arranjos Consolidados'!$E$3:$BM$303,BG$2,FALSE),"")</f>
        <v>0</v>
      </c>
      <c r="BH12" s="31">
        <f>IFERROR(VLOOKUP($A12,'Arranjos Consolidados'!$E$3:$BM$303,BH$2,FALSE),"")</f>
        <v>1028.0748762252063</v>
      </c>
      <c r="BI12" s="31">
        <f>IFERROR(VLOOKUP($A12,'Arranjos Consolidados'!$E$3:$BM$303,BI$2,FALSE),"")</f>
        <v>1405.2513681827304</v>
      </c>
      <c r="BJ12" s="34">
        <f>IFERROR(VLOOKUP($A12,'Arranjos Consolidados'!$E$3:$BM$303,BJ$2,FALSE),"")</f>
        <v>19586.953734936975</v>
      </c>
      <c r="BK12" s="34">
        <f>IFERROR(VLOOKUP($A12,'Arranjos Consolidados'!$E$3:$BM$303,BK$2,FALSE),"")</f>
        <v>0.76004656123430092</v>
      </c>
    </row>
    <row r="13" spans="1:63" ht="16.2" x14ac:dyDescent="0.3">
      <c r="A13" s="24" t="s">
        <v>10554</v>
      </c>
      <c r="B13" s="32">
        <f>'Banco de Dados'!$I$29</f>
        <v>300</v>
      </c>
      <c r="C13" s="25">
        <f>'Banco de Dados'!$I$31/100</f>
        <v>0.35</v>
      </c>
      <c r="D13" s="29">
        <f>IFERROR(VLOOKUP($A13,'Arranjos Consolidados'!$E$3:$BM$303,D$2,FALSE),"")</f>
        <v>3317141</v>
      </c>
      <c r="E13" s="33">
        <f>IFERROR(VLOOKUP($A13,'Arranjos Consolidados'!$E$3:$BM$303,E$2,FALSE),"")</f>
        <v>0.89712450607071414</v>
      </c>
      <c r="F13" s="29">
        <f>IFERROR(VLOOKUP($A13,'Arranjos Consolidados'!$E$3:$BM$303,F$2,FALSE),"")</f>
        <v>200</v>
      </c>
      <c r="G13" s="31">
        <f>IFERROR(VLOOKUP($A13,'Arranjos Consolidados'!$E$3:$BM$303,G$2,FALSE),"")</f>
        <v>323.62334613695708</v>
      </c>
      <c r="H13" s="34">
        <f>IFERROR(VLOOKUP($A13,'Arranjos Consolidados'!$E$3:$BM$303,H$2,FALSE),"")</f>
        <v>3.8120463104702651</v>
      </c>
      <c r="I13" s="29">
        <f>IFERROR(VLOOKUP($A13,'Arranjos Consolidados'!$E$3:$BM$303,I$2,FALSE),"")</f>
        <v>30</v>
      </c>
      <c r="J13" s="31">
        <f>IFERROR(VLOOKUP($A13,'Arranjos Consolidados'!$E$3:$BM$303,J$2,FALSE),"")</f>
        <v>4094.7233794950916</v>
      </c>
      <c r="K13" s="31">
        <f>IFERROR(VLOOKUP($A13,'Arranjos Consolidados'!$E$3:$BM$303,K$2,FALSE),"")</f>
        <v>529.82580579890021</v>
      </c>
      <c r="L13" s="31">
        <f>IFERROR(VLOOKUP($A13,'Arranjos Consolidados'!$E$3:$BM$303,L$2,FALSE),"")</f>
        <v>13885255.944849033</v>
      </c>
      <c r="M13" s="31">
        <f>IFERROR(VLOOKUP($A13,'Arranjos Consolidados'!$E$3:$BM$303,M$2,FALSE),"")</f>
        <v>10147341.625191599</v>
      </c>
      <c r="N13" s="31">
        <f>IFERROR(VLOOKUP($A13,'Arranjos Consolidados'!$E$3:$BM$303,N$2,FALSE),"")</f>
        <v>2555581.3566494645</v>
      </c>
      <c r="O13" s="31">
        <f>IFERROR(VLOOKUP($A13,'Arranjos Consolidados'!$E$3:$BM$303,O$2,FALSE),"")</f>
        <v>1182332.96300797</v>
      </c>
      <c r="P13" s="31">
        <f>IFERROR(VLOOKUP($A13,'Arranjos Consolidados'!$E$3:$BM$303,P$2,FALSE),"")</f>
        <v>1182332.96300797</v>
      </c>
      <c r="Q13" s="31">
        <f>IFERROR(VLOOKUP($A13,'Arranjos Consolidados'!$E$3:$BM$303,Q$2,FALSE),"")</f>
        <v>0</v>
      </c>
      <c r="R13" s="31">
        <f>IFERROR(VLOOKUP($A13,'Arranjos Consolidados'!$E$3:$BM$303,R$2,FALSE),"")</f>
        <v>0</v>
      </c>
      <c r="S13" s="31">
        <f>IFERROR(VLOOKUP($A13,'Arranjos Consolidados'!$E$3:$BM$303,S$2,FALSE),"")</f>
        <v>9049777586.3054371</v>
      </c>
      <c r="T13" s="31">
        <f>IFERROR(VLOOKUP($A13,'Arranjos Consolidados'!$E$3:$BM$303,T$2,FALSE),"")</f>
        <v>0</v>
      </c>
      <c r="U13" s="31">
        <f>IFERROR(VLOOKUP($A13,'Arranjos Consolidados'!$E$3:$BM$303,U$2,FALSE),"")</f>
        <v>0</v>
      </c>
      <c r="V13" s="31">
        <f>IFERROR(VLOOKUP($A13,'Arranjos Consolidados'!$E$3:$BM$303,V$2,FALSE),"")</f>
        <v>0</v>
      </c>
      <c r="W13" s="31">
        <f>IFERROR(VLOOKUP($A13,'Arranjos Consolidados'!$E$3:$BM$303,W$2,FALSE),"")</f>
        <v>700.80016473583476</v>
      </c>
      <c r="X13" s="29">
        <f>IFERROR(VLOOKUP($A13,'Arranjos Consolidados'!$E$3:$BM$303,X$2,FALSE),"")</f>
        <v>0</v>
      </c>
      <c r="Y13" s="31">
        <f>IFERROR(VLOOKUP($A13,'Arranjos Consolidados'!$E$3:$BM$303,Y$2,FALSE),"")</f>
        <v>173.07329870808047</v>
      </c>
      <c r="Z13" s="29">
        <f>IFERROR(VLOOKUP($A13,'Arranjos Consolidados'!$E$3:$BM$303,Z$2,FALSE),"")</f>
        <v>527.64181419821671</v>
      </c>
      <c r="AA13" s="31">
        <f>IFERROR(VLOOKUP($A13,'Arranjos Consolidados'!$E$3:$BM$303,AA$2,FALSE),"")</f>
        <v>8.5051829537515181E-2</v>
      </c>
      <c r="AB13" s="31">
        <f>IFERROR(VLOOKUP($A13,'Arranjos Consolidados'!$E$3:$BM$303,AB$2,FALSE),"")</f>
        <v>377.17681859887762</v>
      </c>
      <c r="AC13" s="31">
        <f>IFERROR(VLOOKUP($A13,'Arranjos Consolidados'!$E$3:$BM$303,AC$2,FALSE),"")</f>
        <v>4.3777001098877473E-3</v>
      </c>
      <c r="AD13" s="31">
        <f>IFERROR(VLOOKUP($A13,'Arranjos Consolidados'!$E$3:$BM$303,AD$2,FALSE),"")</f>
        <v>0</v>
      </c>
      <c r="AE13" s="31">
        <f>IFERROR(VLOOKUP($A13,'Arranjos Consolidados'!$E$3:$BM$303,AE$2,FALSE),"")</f>
        <v>0</v>
      </c>
      <c r="AF13" s="31">
        <f>IFERROR(VLOOKUP($A13,'Arranjos Consolidados'!$E$3:$BM$303,AF$2,FALSE),"")</f>
        <v>3.4103546960599753E-3</v>
      </c>
      <c r="AG13" s="31">
        <f>IFERROR(VLOOKUP($A13,'Arranjos Consolidados'!$E$3:$BM$303,AG$2,FALSE),"")</f>
        <v>123.0003582294425</v>
      </c>
      <c r="AH13" s="31">
        <f>IFERROR(VLOOKUP($A13,'Arranjos Consolidados'!$E$3:$BM$303,AH$2,FALSE),"")</f>
        <v>254.16867231462913</v>
      </c>
      <c r="AI13" s="31">
        <f>IFERROR(VLOOKUP($A13,'Arranjos Consolidados'!$E$3:$BM$303,AI$2,FALSE),"")</f>
        <v>0</v>
      </c>
      <c r="AJ13" s="31">
        <f>IFERROR(VLOOKUP($A13,'Arranjos Consolidados'!$E$3:$BM$303,AJ$2,FALSE),"")</f>
        <v>0</v>
      </c>
      <c r="AK13" s="31">
        <f>IFERROR(VLOOKUP($A13,'Arranjos Consolidados'!$E$3:$BM$303,AK$2,FALSE),"")</f>
        <v>0</v>
      </c>
      <c r="AL13" s="34">
        <f>IFERROR(VLOOKUP($A13,'Arranjos Consolidados'!$E$3:$BM$303,AL$2,FALSE),"")</f>
        <v>4726.5711930962234</v>
      </c>
      <c r="AM13" s="31">
        <f>IFERROR(VLOOKUP($A13,'Arranjos Consolidados'!$E$3:$BM$303,AM$2,FALSE),"")</f>
        <v>323.62334613695708</v>
      </c>
      <c r="AN13" s="31">
        <f>IFERROR(VLOOKUP($A13,'Arranjos Consolidados'!$E$3:$BM$303,AN$2,FALSE),"")</f>
        <v>7.7880548059477217E-3</v>
      </c>
      <c r="AO13" s="31">
        <f>IFERROR(VLOOKUP($A13,'Arranjos Consolidados'!$E$3:$BM$303,AO$2,FALSE),"")</f>
        <v>4.3777001098877473E-3</v>
      </c>
      <c r="AP13" s="31">
        <f>IFERROR(VLOOKUP($A13,'Arranjos Consolidados'!$E$3:$BM$303,AP$2,FALSE),"")</f>
        <v>0</v>
      </c>
      <c r="AQ13" s="31">
        <f>IFERROR(VLOOKUP($A13,'Arranjos Consolidados'!$E$3:$BM$303,AQ$2,FALSE),"")</f>
        <v>0</v>
      </c>
      <c r="AR13" s="31">
        <f>IFERROR(VLOOKUP($A13,'Arranjos Consolidados'!$E$3:$BM$303,AR$2,FALSE),"")</f>
        <v>3.4103546960599753E-3</v>
      </c>
      <c r="AS13" s="31">
        <f>IFERROR(VLOOKUP($A13,'Arranjos Consolidados'!$E$3:$BM$303,AS$2,FALSE),"")</f>
        <v>656.48257596974508</v>
      </c>
      <c r="AT13" s="31">
        <f>IFERROR(VLOOKUP($A13,'Arranjos Consolidados'!$E$3:$BM$303,AT$2,FALSE),"")</f>
        <v>512.12433829503482</v>
      </c>
      <c r="AU13" s="31">
        <f>IFERROR(VLOOKUP($A13,'Arranjos Consolidados'!$E$3:$BM$303,AU$2,FALSE),"")</f>
        <v>512.12433829503482</v>
      </c>
      <c r="AV13" s="31">
        <f>IFERROR(VLOOKUP($A13,'Arranjos Consolidados'!$E$3:$BM$303,AV$2,FALSE),"")</f>
        <v>0</v>
      </c>
      <c r="AW13" s="31">
        <f>IFERROR(VLOOKUP($A13,'Arranjos Consolidados'!$E$3:$BM$303,AW$2,FALSE),"")</f>
        <v>0</v>
      </c>
      <c r="AX13" s="31">
        <f>IFERROR(VLOOKUP($A13,'Arranjos Consolidados'!$E$3:$BM$303,AX$2,FALSE),"")</f>
        <v>44.49532399766364</v>
      </c>
      <c r="AY13" s="31">
        <f>IFERROR(VLOOKUP($A13,'Arranjos Consolidados'!$E$3:$BM$303,AY$2,FALSE),"")</f>
        <v>0</v>
      </c>
      <c r="AZ13" s="31">
        <f>IFERROR(VLOOKUP($A13,'Arranjos Consolidados'!$E$3:$BM$303,AZ$2,FALSE),"")</f>
        <v>18.539718332359847</v>
      </c>
      <c r="BA13" s="31">
        <f>IFERROR(VLOOKUP($A13,'Arranjos Consolidados'!$E$3:$BM$303,BA$2,FALSE),"")</f>
        <v>25.955605665303789</v>
      </c>
      <c r="BB13" s="31">
        <f>IFERROR(VLOOKUP($A13,'Arranjos Consolidados'!$E$3:$BM$303,BB$2,FALSE),"")</f>
        <v>0</v>
      </c>
      <c r="BC13" s="31">
        <f>IFERROR(VLOOKUP($A13,'Arranjos Consolidados'!$E$3:$BM$303,BC$2,FALSE),"")</f>
        <v>99.862913677046606</v>
      </c>
      <c r="BD13" s="31">
        <f>IFERROR(VLOOKUP($A13,'Arranjos Consolidados'!$E$3:$BM$303,BD$2,FALSE),"")</f>
        <v>35.039618834051439</v>
      </c>
      <c r="BE13" s="31">
        <f>IFERROR(VLOOKUP($A13,'Arranjos Consolidados'!$E$3:$BM$303,BE$2,FALSE),"")</f>
        <v>0</v>
      </c>
      <c r="BF13" s="31">
        <f>IFERROR(VLOOKUP($A13,'Arranjos Consolidados'!$E$3:$BM$303,BF$2,FALSE),"")</f>
        <v>64.823294842995168</v>
      </c>
      <c r="BG13" s="31">
        <f>IFERROR(VLOOKUP($A13,'Arranjos Consolidados'!$E$3:$BM$303,BG$2,FALSE),"")</f>
        <v>0</v>
      </c>
      <c r="BH13" s="31">
        <f>IFERROR(VLOOKUP($A13,'Arranjos Consolidados'!$E$3:$BM$303,BH$2,FALSE),"")</f>
        <v>656.49036402455101</v>
      </c>
      <c r="BI13" s="31">
        <f>IFERROR(VLOOKUP($A13,'Arranjos Consolidados'!$E$3:$BM$303,BI$2,FALSE),"")</f>
        <v>1033.6671826234285</v>
      </c>
      <c r="BJ13" s="34">
        <f>IFERROR(VLOOKUP($A13,'Arranjos Consolidados'!$E$3:$BM$303,BJ$2,FALSE),"")</f>
        <v>13444.234829954596</v>
      </c>
      <c r="BK13" s="34">
        <f>IFERROR(VLOOKUP($A13,'Arranjos Consolidados'!$E$3:$BM$303,BK$2,FALSE),"")</f>
        <v>-0.55356244720150571</v>
      </c>
    </row>
    <row r="14" spans="1:63" ht="16.2" x14ac:dyDescent="0.3">
      <c r="A14" s="24" t="s">
        <v>10557</v>
      </c>
      <c r="B14" s="32">
        <f>'Banco de Dados'!$I$29</f>
        <v>300</v>
      </c>
      <c r="C14" s="25">
        <f>'Banco de Dados'!$I$31/100</f>
        <v>0.35</v>
      </c>
      <c r="D14" s="29">
        <f>IFERROR(VLOOKUP($A14,'Arranjos Consolidados'!$E$3:$BM$303,D$2,FALSE),"")</f>
        <v>3317141</v>
      </c>
      <c r="E14" s="33">
        <f>IFERROR(VLOOKUP($A14,'Arranjos Consolidados'!$E$3:$BM$303,E$2,FALSE),"")</f>
        <v>0.89712450607071414</v>
      </c>
      <c r="F14" s="29">
        <f>IFERROR(VLOOKUP($A14,'Arranjos Consolidados'!$E$3:$BM$303,F$2,FALSE),"")</f>
        <v>200</v>
      </c>
      <c r="G14" s="31">
        <f>IFERROR(VLOOKUP($A14,'Arranjos Consolidados'!$E$3:$BM$303,G$2,FALSE),"")</f>
        <v>417.91698251485906</v>
      </c>
      <c r="H14" s="34">
        <f>IFERROR(VLOOKUP($A14,'Arranjos Consolidados'!$E$3:$BM$303,H$2,FALSE),"")</f>
        <v>2.9830302947052965</v>
      </c>
      <c r="I14" s="29">
        <f>IFERROR(VLOOKUP($A14,'Arranjos Consolidados'!$E$3:$BM$303,I$2,FALSE),"")</f>
        <v>30</v>
      </c>
      <c r="J14" s="31">
        <f>IFERROR(VLOOKUP($A14,'Arranjos Consolidados'!$E$3:$BM$303,J$2,FALSE),"")</f>
        <v>4180.3274197154478</v>
      </c>
      <c r="K14" s="31">
        <f>IFERROR(VLOOKUP($A14,'Arranjos Consolidados'!$E$3:$BM$303,K$2,FALSE),"")</f>
        <v>532.50567613073304</v>
      </c>
      <c r="L14" s="31">
        <f>IFERROR(VLOOKUP($A14,'Arranjos Consolidados'!$E$3:$BM$303,L$2,FALSE),"")</f>
        <v>13885251.956447801</v>
      </c>
      <c r="M14" s="31">
        <f>IFERROR(VLOOKUP($A14,'Arranjos Consolidados'!$E$3:$BM$303,M$2,FALSE),"")</f>
        <v>10147338.710468961</v>
      </c>
      <c r="N14" s="31">
        <f>IFERROR(VLOOKUP($A14,'Arranjos Consolidados'!$E$3:$BM$303,N$2,FALSE),"")</f>
        <v>2555580.6225842177</v>
      </c>
      <c r="O14" s="31">
        <f>IFERROR(VLOOKUP($A14,'Arranjos Consolidados'!$E$3:$BM$303,O$2,FALSE),"")</f>
        <v>1182332.6233946229</v>
      </c>
      <c r="P14" s="31">
        <f>IFERROR(VLOOKUP($A14,'Arranjos Consolidados'!$E$3:$BM$303,P$2,FALSE),"")</f>
        <v>1182332.6233946229</v>
      </c>
      <c r="Q14" s="31">
        <f>IFERROR(VLOOKUP($A14,'Arranjos Consolidados'!$E$3:$BM$303,Q$2,FALSE),"")</f>
        <v>0</v>
      </c>
      <c r="R14" s="31">
        <f>IFERROR(VLOOKUP($A14,'Arranjos Consolidados'!$E$3:$BM$303,R$2,FALSE),"")</f>
        <v>0</v>
      </c>
      <c r="S14" s="31">
        <f>IFERROR(VLOOKUP($A14,'Arranjos Consolidados'!$E$3:$BM$303,S$2,FALSE),"")</f>
        <v>9049774986.8471203</v>
      </c>
      <c r="T14" s="31">
        <f>IFERROR(VLOOKUP($A14,'Arranjos Consolidados'!$E$3:$BM$303,T$2,FALSE),"")</f>
        <v>0</v>
      </c>
      <c r="U14" s="31">
        <f>IFERROR(VLOOKUP($A14,'Arranjos Consolidados'!$E$3:$BM$303,U$2,FALSE),"")</f>
        <v>0</v>
      </c>
      <c r="V14" s="31">
        <f>IFERROR(VLOOKUP($A14,'Arranjos Consolidados'!$E$3:$BM$303,V$2,FALSE),"")</f>
        <v>0</v>
      </c>
      <c r="W14" s="31">
        <f>IFERROR(VLOOKUP($A14,'Arranjos Consolidados'!$E$3:$BM$303,W$2,FALSE),"")</f>
        <v>795.09371978407125</v>
      </c>
      <c r="X14" s="29">
        <f>IFERROR(VLOOKUP($A14,'Arranjos Consolidados'!$E$3:$BM$303,X$2,FALSE),"")</f>
        <v>0</v>
      </c>
      <c r="Y14" s="31">
        <f>IFERROR(VLOOKUP($A14,'Arranjos Consolidados'!$E$3:$BM$303,Y$2,FALSE),"")</f>
        <v>268.17135923712482</v>
      </c>
      <c r="Z14" s="29">
        <f>IFERROR(VLOOKUP($A14,'Arranjos Consolidados'!$E$3:$BM$303,Z$2,FALSE),"")</f>
        <v>526.836578584584</v>
      </c>
      <c r="AA14" s="31">
        <f>IFERROR(VLOOKUP($A14,'Arranjos Consolidados'!$E$3:$BM$303,AA$2,FALSE),"")</f>
        <v>8.5781962362364461E-2</v>
      </c>
      <c r="AB14" s="31">
        <f>IFERROR(VLOOKUP($A14,'Arranjos Consolidados'!$E$3:$BM$303,AB$2,FALSE),"")</f>
        <v>377.17673726921208</v>
      </c>
      <c r="AC14" s="31">
        <f>IFERROR(VLOOKUP($A14,'Arranjos Consolidados'!$E$3:$BM$303,AC$2,FALSE),"")</f>
        <v>4.3703075751715123E-3</v>
      </c>
      <c r="AD14" s="31">
        <f>IFERROR(VLOOKUP($A14,'Arranjos Consolidados'!$E$3:$BM$303,AD$2,FALSE),"")</f>
        <v>0</v>
      </c>
      <c r="AE14" s="31">
        <f>IFERROR(VLOOKUP($A14,'Arranjos Consolidados'!$E$3:$BM$303,AE$2,FALSE),"")</f>
        <v>0</v>
      </c>
      <c r="AF14" s="31">
        <f>IFERROR(VLOOKUP($A14,'Arranjos Consolidados'!$E$3:$BM$303,AF$2,FALSE),"")</f>
        <v>3.4103670361145416E-3</v>
      </c>
      <c r="AG14" s="31">
        <f>IFERROR(VLOOKUP($A14,'Arranjos Consolidados'!$E$3:$BM$303,AG$2,FALSE),"")</f>
        <v>123.00035822944251</v>
      </c>
      <c r="AH14" s="31">
        <f>IFERROR(VLOOKUP($A14,'Arranjos Consolidados'!$E$3:$BM$303,AH$2,FALSE),"")</f>
        <v>254.16859836515832</v>
      </c>
      <c r="AI14" s="31">
        <f>IFERROR(VLOOKUP($A14,'Arranjos Consolidados'!$E$3:$BM$303,AI$2,FALSE),"")</f>
        <v>0</v>
      </c>
      <c r="AJ14" s="31">
        <f>IFERROR(VLOOKUP($A14,'Arranjos Consolidados'!$E$3:$BM$303,AJ$2,FALSE),"")</f>
        <v>0</v>
      </c>
      <c r="AK14" s="31">
        <f>IFERROR(VLOOKUP($A14,'Arranjos Consolidados'!$E$3:$BM$303,AK$2,FALSE),"")</f>
        <v>0</v>
      </c>
      <c r="AL14" s="34">
        <f>IFERROR(VLOOKUP($A14,'Arranjos Consolidados'!$E$3:$BM$303,AL$2,FALSE),"")</f>
        <v>4639.4067835628175</v>
      </c>
      <c r="AM14" s="31">
        <f>IFERROR(VLOOKUP($A14,'Arranjos Consolidados'!$E$3:$BM$303,AM$2,FALSE),"")</f>
        <v>417.91698251485906</v>
      </c>
      <c r="AN14" s="31">
        <f>IFERROR(VLOOKUP($A14,'Arranjos Consolidados'!$E$3:$BM$303,AN$2,FALSE),"")</f>
        <v>7.7806746112860535E-3</v>
      </c>
      <c r="AO14" s="31">
        <f>IFERROR(VLOOKUP($A14,'Arranjos Consolidados'!$E$3:$BM$303,AO$2,FALSE),"")</f>
        <v>4.3703075751715123E-3</v>
      </c>
      <c r="AP14" s="31">
        <f>IFERROR(VLOOKUP($A14,'Arranjos Consolidados'!$E$3:$BM$303,AP$2,FALSE),"")</f>
        <v>0</v>
      </c>
      <c r="AQ14" s="31">
        <f>IFERROR(VLOOKUP($A14,'Arranjos Consolidados'!$E$3:$BM$303,AQ$2,FALSE),"")</f>
        <v>0</v>
      </c>
      <c r="AR14" s="31">
        <f>IFERROR(VLOOKUP($A14,'Arranjos Consolidados'!$E$3:$BM$303,AR$2,FALSE),"")</f>
        <v>3.4103670361145416E-3</v>
      </c>
      <c r="AS14" s="31">
        <f>IFERROR(VLOOKUP($A14,'Arranjos Consolidados'!$E$3:$BM$303,AS$2,FALSE),"")</f>
        <v>669.47450156982484</v>
      </c>
      <c r="AT14" s="31">
        <f>IFERROR(VLOOKUP($A14,'Arranjos Consolidados'!$E$3:$BM$303,AT$2,FALSE),"")</f>
        <v>511.46730629609135</v>
      </c>
      <c r="AU14" s="31">
        <f>IFERROR(VLOOKUP($A14,'Arranjos Consolidados'!$E$3:$BM$303,AU$2,FALSE),"")</f>
        <v>511.46730629609135</v>
      </c>
      <c r="AV14" s="31">
        <f>IFERROR(VLOOKUP($A14,'Arranjos Consolidados'!$E$3:$BM$303,AV$2,FALSE),"")</f>
        <v>0</v>
      </c>
      <c r="AW14" s="31">
        <f>IFERROR(VLOOKUP($A14,'Arranjos Consolidados'!$E$3:$BM$303,AW$2,FALSE),"")</f>
        <v>0</v>
      </c>
      <c r="AX14" s="31">
        <f>IFERROR(VLOOKUP($A14,'Arranjos Consolidados'!$E$3:$BM$303,AX$2,FALSE),"")</f>
        <v>44.707448950635552</v>
      </c>
      <c r="AY14" s="31">
        <f>IFERROR(VLOOKUP($A14,'Arranjos Consolidados'!$E$3:$BM$303,AY$2,FALSE),"")</f>
        <v>0</v>
      </c>
      <c r="AZ14" s="31">
        <f>IFERROR(VLOOKUP($A14,'Arranjos Consolidados'!$E$3:$BM$303,AZ$2,FALSE),"")</f>
        <v>18.62810372943148</v>
      </c>
      <c r="BA14" s="31">
        <f>IFERROR(VLOOKUP($A14,'Arranjos Consolidados'!$E$3:$BM$303,BA$2,FALSE),"")</f>
        <v>26.079345221204068</v>
      </c>
      <c r="BB14" s="31">
        <f>IFERROR(VLOOKUP($A14,'Arranjos Consolidados'!$E$3:$BM$303,BB$2,FALSE),"")</f>
        <v>0</v>
      </c>
      <c r="BC14" s="31">
        <f>IFERROR(VLOOKUP($A14,'Arranjos Consolidados'!$E$3:$BM$303,BC$2,FALSE),"")</f>
        <v>113.29974632309802</v>
      </c>
      <c r="BD14" s="31">
        <f>IFERROR(VLOOKUP($A14,'Arranjos Consolidados'!$E$3:$BM$303,BD$2,FALSE),"")</f>
        <v>39.754296955473002</v>
      </c>
      <c r="BE14" s="31">
        <f>IFERROR(VLOOKUP($A14,'Arranjos Consolidados'!$E$3:$BM$303,BE$2,FALSE),"")</f>
        <v>0</v>
      </c>
      <c r="BF14" s="31">
        <f>IFERROR(VLOOKUP($A14,'Arranjos Consolidados'!$E$3:$BM$303,BF$2,FALSE),"")</f>
        <v>73.545449367625025</v>
      </c>
      <c r="BG14" s="31">
        <f>IFERROR(VLOOKUP($A14,'Arranjos Consolidados'!$E$3:$BM$303,BG$2,FALSE),"")</f>
        <v>0</v>
      </c>
      <c r="BH14" s="31">
        <f>IFERROR(VLOOKUP($A14,'Arranjos Consolidados'!$E$3:$BM$303,BH$2,FALSE),"")</f>
        <v>669.48228224443596</v>
      </c>
      <c r="BI14" s="31">
        <f>IFERROR(VLOOKUP($A14,'Arranjos Consolidados'!$E$3:$BM$303,BI$2,FALSE),"")</f>
        <v>1046.6590195136482</v>
      </c>
      <c r="BJ14" s="34">
        <f>IFERROR(VLOOKUP($A14,'Arranjos Consolidados'!$E$3:$BM$303,BJ$2,FALSE),"")</f>
        <v>13505.400471358756</v>
      </c>
      <c r="BK14" s="34">
        <f>IFERROR(VLOOKUP($A14,'Arranjos Consolidados'!$E$3:$BM$303,BK$2,FALSE),"")</f>
        <v>-0.65353544713236844</v>
      </c>
    </row>
    <row r="15" spans="1:63" ht="16.2" x14ac:dyDescent="0.3">
      <c r="A15" s="24" t="s">
        <v>10560</v>
      </c>
      <c r="B15" s="32">
        <f>'Banco de Dados'!$I$29</f>
        <v>300</v>
      </c>
      <c r="C15" s="25">
        <f>'Banco de Dados'!$I$31/100</f>
        <v>0.35</v>
      </c>
      <c r="D15" s="29">
        <f>IFERROR(VLOOKUP($A15,'Arranjos Consolidados'!$E$3:$BM$303,D$2,FALSE),"")</f>
        <v>3317141</v>
      </c>
      <c r="E15" s="33">
        <f>IFERROR(VLOOKUP($A15,'Arranjos Consolidados'!$E$3:$BM$303,E$2,FALSE),"")</f>
        <v>0.89712450607071414</v>
      </c>
      <c r="F15" s="29">
        <f>IFERROR(VLOOKUP($A15,'Arranjos Consolidados'!$E$3:$BM$303,F$2,FALSE),"")</f>
        <v>200</v>
      </c>
      <c r="G15" s="31">
        <f>IFERROR(VLOOKUP($A15,'Arranjos Consolidados'!$E$3:$BM$303,G$2,FALSE),"")</f>
        <v>380.19846588463594</v>
      </c>
      <c r="H15" s="34">
        <f>IFERROR(VLOOKUP($A15,'Arranjos Consolidados'!$E$3:$BM$303,H$2,FALSE),"")</f>
        <v>2.8641322673811818</v>
      </c>
      <c r="I15" s="29">
        <f>IFERROR(VLOOKUP($A15,'Arranjos Consolidados'!$E$3:$BM$303,I$2,FALSE),"")</f>
        <v>30</v>
      </c>
      <c r="J15" s="31">
        <f>IFERROR(VLOOKUP($A15,'Arranjos Consolidados'!$E$3:$BM$303,J$2,FALSE),"")</f>
        <v>4219.8668882560432</v>
      </c>
      <c r="K15" s="31">
        <f>IFERROR(VLOOKUP($A15,'Arranjos Consolidados'!$E$3:$BM$303,K$2,FALSE),"")</f>
        <v>475.19723609747473</v>
      </c>
      <c r="L15" s="31">
        <f>IFERROR(VLOOKUP($A15,'Arranjos Consolidados'!$E$3:$BM$303,L$2,FALSE),"")</f>
        <v>13885251.956447802</v>
      </c>
      <c r="M15" s="31">
        <f>IFERROR(VLOOKUP($A15,'Arranjos Consolidados'!$E$3:$BM$303,M$2,FALSE),"")</f>
        <v>10147338.710468963</v>
      </c>
      <c r="N15" s="31">
        <f>IFERROR(VLOOKUP($A15,'Arranjos Consolidados'!$E$3:$BM$303,N$2,FALSE),"")</f>
        <v>2555580.6225842182</v>
      </c>
      <c r="O15" s="31">
        <f>IFERROR(VLOOKUP($A15,'Arranjos Consolidados'!$E$3:$BM$303,O$2,FALSE),"")</f>
        <v>1182332.6233946232</v>
      </c>
      <c r="P15" s="31">
        <f>IFERROR(VLOOKUP($A15,'Arranjos Consolidados'!$E$3:$BM$303,P$2,FALSE),"")</f>
        <v>1182332.6233946232</v>
      </c>
      <c r="Q15" s="31">
        <f>IFERROR(VLOOKUP($A15,'Arranjos Consolidados'!$E$3:$BM$303,Q$2,FALSE),"")</f>
        <v>0</v>
      </c>
      <c r="R15" s="31">
        <f>IFERROR(VLOOKUP($A15,'Arranjos Consolidados'!$E$3:$BM$303,R$2,FALSE),"")</f>
        <v>0</v>
      </c>
      <c r="S15" s="31">
        <f>IFERROR(VLOOKUP($A15,'Arranjos Consolidados'!$E$3:$BM$303,S$2,FALSE),"")</f>
        <v>9049774986.8471203</v>
      </c>
      <c r="T15" s="31">
        <f>IFERROR(VLOOKUP($A15,'Arranjos Consolidados'!$E$3:$BM$303,T$2,FALSE),"")</f>
        <v>0</v>
      </c>
      <c r="U15" s="31">
        <f>IFERROR(VLOOKUP($A15,'Arranjos Consolidados'!$E$3:$BM$303,U$2,FALSE),"")</f>
        <v>0</v>
      </c>
      <c r="V15" s="31">
        <f>IFERROR(VLOOKUP($A15,'Arranjos Consolidados'!$E$3:$BM$303,V$2,FALSE),"")</f>
        <v>0</v>
      </c>
      <c r="W15" s="31">
        <f>IFERROR(VLOOKUP($A15,'Arranjos Consolidados'!$E$3:$BM$303,W$2,FALSE),"")</f>
        <v>757.37571060687537</v>
      </c>
      <c r="X15" s="29">
        <f>IFERROR(VLOOKUP($A15,'Arranjos Consolidados'!$E$3:$BM$303,X$2,FALSE),"")</f>
        <v>0</v>
      </c>
      <c r="Y15" s="31">
        <f>IFERROR(VLOOKUP($A15,'Arranjos Consolidados'!$E$3:$BM$303,Y$2,FALSE),"")</f>
        <v>406.63186602604463</v>
      </c>
      <c r="Z15" s="29">
        <f>IFERROR(VLOOKUP($A15,'Arranjos Consolidados'!$E$3:$BM$303,Z$2,FALSE),"")</f>
        <v>350.66442748049064</v>
      </c>
      <c r="AA15" s="31">
        <f>IFERROR(VLOOKUP($A15,'Arranjos Consolidados'!$E$3:$BM$303,AA$2,FALSE),"")</f>
        <v>7.9417100340097857E-2</v>
      </c>
      <c r="AB15" s="31">
        <f>IFERROR(VLOOKUP($A15,'Arranjos Consolidados'!$E$3:$BM$303,AB$2,FALSE),"")</f>
        <v>377.17724472223944</v>
      </c>
      <c r="AC15" s="31">
        <f>IFERROR(VLOOKUP($A15,'Arranjos Consolidados'!$E$3:$BM$303,AC$2,FALSE),"")</f>
        <v>4.3029837136351013E-3</v>
      </c>
      <c r="AD15" s="31">
        <f>IFERROR(VLOOKUP($A15,'Arranjos Consolidados'!$E$3:$BM$303,AD$2,FALSE),"")</f>
        <v>0</v>
      </c>
      <c r="AE15" s="31">
        <f>IFERROR(VLOOKUP($A15,'Arranjos Consolidados'!$E$3:$BM$303,AE$2,FALSE),"")</f>
        <v>0</v>
      </c>
      <c r="AF15" s="31">
        <f>IFERROR(VLOOKUP($A15,'Arranjos Consolidados'!$E$3:$BM$303,AF$2,FALSE),"")</f>
        <v>2.2735913306031704E-3</v>
      </c>
      <c r="AG15" s="31">
        <f>IFERROR(VLOOKUP($A15,'Arranjos Consolidados'!$E$3:$BM$303,AG$2,FALSE),"")</f>
        <v>123.0003582294425</v>
      </c>
      <c r="AH15" s="31">
        <f>IFERROR(VLOOKUP($A15,'Arranjos Consolidados'!$E$3:$BM$303,AH$2,FALSE),"")</f>
        <v>254.17030991775269</v>
      </c>
      <c r="AI15" s="31">
        <f>IFERROR(VLOOKUP($A15,'Arranjos Consolidados'!$E$3:$BM$303,AI$2,FALSE),"")</f>
        <v>0</v>
      </c>
      <c r="AJ15" s="31">
        <f>IFERROR(VLOOKUP($A15,'Arranjos Consolidados'!$E$3:$BM$303,AJ$2,FALSE),"")</f>
        <v>0</v>
      </c>
      <c r="AK15" s="31">
        <f>IFERROR(VLOOKUP($A15,'Arranjos Consolidados'!$E$3:$BM$303,AK$2,FALSE),"")</f>
        <v>0</v>
      </c>
      <c r="AL15" s="34">
        <f>IFERROR(VLOOKUP($A15,'Arranjos Consolidados'!$E$3:$BM$303,AL$2,FALSE),"")</f>
        <v>4849.4625782431394</v>
      </c>
      <c r="AM15" s="31">
        <f>IFERROR(VLOOKUP($A15,'Arranjos Consolidados'!$E$3:$BM$303,AM$2,FALSE),"")</f>
        <v>380.19846588463594</v>
      </c>
      <c r="AN15" s="31">
        <f>IFERROR(VLOOKUP($A15,'Arranjos Consolidados'!$E$3:$BM$303,AN$2,FALSE),"")</f>
        <v>6.5765750442382713E-3</v>
      </c>
      <c r="AO15" s="31">
        <f>IFERROR(VLOOKUP($A15,'Arranjos Consolidados'!$E$3:$BM$303,AO$2,FALSE),"")</f>
        <v>4.3029837136351013E-3</v>
      </c>
      <c r="AP15" s="31">
        <f>IFERROR(VLOOKUP($A15,'Arranjos Consolidados'!$E$3:$BM$303,AP$2,FALSE),"")</f>
        <v>0</v>
      </c>
      <c r="AQ15" s="31">
        <f>IFERROR(VLOOKUP($A15,'Arranjos Consolidados'!$E$3:$BM$303,AQ$2,FALSE),"")</f>
        <v>0</v>
      </c>
      <c r="AR15" s="31">
        <f>IFERROR(VLOOKUP($A15,'Arranjos Consolidados'!$E$3:$BM$303,AR$2,FALSE),"")</f>
        <v>2.2735913306031704E-3</v>
      </c>
      <c r="AS15" s="31">
        <f>IFERROR(VLOOKUP($A15,'Arranjos Consolidados'!$E$3:$BM$303,AS$2,FALSE),"")</f>
        <v>511.75487285172574</v>
      </c>
      <c r="AT15" s="31">
        <f>IFERROR(VLOOKUP($A15,'Arranjos Consolidados'!$E$3:$BM$303,AT$2,FALSE),"")</f>
        <v>367.71963960270637</v>
      </c>
      <c r="AU15" s="31">
        <f>IFERROR(VLOOKUP($A15,'Arranjos Consolidados'!$E$3:$BM$303,AU$2,FALSE),"")</f>
        <v>367.71963960270637</v>
      </c>
      <c r="AV15" s="31">
        <f>IFERROR(VLOOKUP($A15,'Arranjos Consolidados'!$E$3:$BM$303,AV$2,FALSE),"")</f>
        <v>0</v>
      </c>
      <c r="AW15" s="31">
        <f>IFERROR(VLOOKUP($A15,'Arranjos Consolidados'!$E$3:$BM$303,AW$2,FALSE),"")</f>
        <v>0</v>
      </c>
      <c r="AX15" s="31">
        <f>IFERROR(VLOOKUP($A15,'Arranjos Consolidados'!$E$3:$BM$303,AX$2,FALSE),"")</f>
        <v>36.110131649483485</v>
      </c>
      <c r="AY15" s="31">
        <f>IFERROR(VLOOKUP($A15,'Arranjos Consolidados'!$E$3:$BM$303,AY$2,FALSE),"")</f>
        <v>0</v>
      </c>
      <c r="AZ15" s="31">
        <f>IFERROR(VLOOKUP($A15,'Arranjos Consolidados'!$E$3:$BM$303,AZ$2,FALSE),"")</f>
        <v>15.045888187284785</v>
      </c>
      <c r="BA15" s="31">
        <f>IFERROR(VLOOKUP($A15,'Arranjos Consolidados'!$E$3:$BM$303,BA$2,FALSE),"")</f>
        <v>21.064243462198696</v>
      </c>
      <c r="BB15" s="31">
        <f>IFERROR(VLOOKUP($A15,'Arranjos Consolidados'!$E$3:$BM$303,BB$2,FALSE),"")</f>
        <v>0</v>
      </c>
      <c r="BC15" s="31">
        <f>IFERROR(VLOOKUP($A15,'Arranjos Consolidados'!$E$3:$BM$303,BC$2,FALSE),"")</f>
        <v>107.92510159953592</v>
      </c>
      <c r="BD15" s="31">
        <f>IFERROR(VLOOKUP($A15,'Arranjos Consolidados'!$E$3:$BM$303,BD$2,FALSE),"")</f>
        <v>37.868456701591562</v>
      </c>
      <c r="BE15" s="31">
        <f>IFERROR(VLOOKUP($A15,'Arranjos Consolidados'!$E$3:$BM$303,BE$2,FALSE),"")</f>
        <v>0</v>
      </c>
      <c r="BF15" s="31">
        <f>IFERROR(VLOOKUP($A15,'Arranjos Consolidados'!$E$3:$BM$303,BF$2,FALSE),"")</f>
        <v>70.056644897944366</v>
      </c>
      <c r="BG15" s="31">
        <f>IFERROR(VLOOKUP($A15,'Arranjos Consolidados'!$E$3:$BM$303,BG$2,FALSE),"")</f>
        <v>0</v>
      </c>
      <c r="BH15" s="31">
        <f>IFERROR(VLOOKUP($A15,'Arranjos Consolidados'!$E$3:$BM$303,BH$2,FALSE),"")</f>
        <v>511.76144942677007</v>
      </c>
      <c r="BI15" s="31">
        <f>IFERROR(VLOOKUP($A15,'Arranjos Consolidados'!$E$3:$BM$303,BI$2,FALSE),"")</f>
        <v>888.93869414900951</v>
      </c>
      <c r="BJ15" s="34">
        <f>IFERROR(VLOOKUP($A15,'Arranjos Consolidados'!$E$3:$BM$303,BJ$2,FALSE),"")</f>
        <v>13159.201925168531</v>
      </c>
      <c r="BK15" s="34">
        <f>IFERROR(VLOOKUP($A15,'Arranjos Consolidados'!$E$3:$BM$303,BK$2,FALSE),"")</f>
        <v>-0.72698269798110693</v>
      </c>
    </row>
    <row r="16" spans="1:63" ht="16.2" x14ac:dyDescent="0.3">
      <c r="A16" s="24" t="s">
        <v>10138</v>
      </c>
      <c r="B16" s="32">
        <f>'Banco de Dados'!$I$29</f>
        <v>300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10430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M1A4SA3</v>
      </c>
      <c r="D27" s="40" t="s">
        <v>10439</v>
      </c>
      <c r="E27" s="40" t="s">
        <v>10301</v>
      </c>
      <c r="F27" s="40" t="s">
        <v>10601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2" customHeight="1" x14ac:dyDescent="0.3">
      <c r="B29" s="29"/>
      <c r="D29" s="38" t="s">
        <v>10420</v>
      </c>
      <c r="E29" s="38" t="s">
        <v>10421</v>
      </c>
      <c r="F29" s="38" t="s">
        <v>10422</v>
      </c>
      <c r="G29" s="38" t="s">
        <v>10431</v>
      </c>
      <c r="H29" s="110" t="s">
        <v>10511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M1A4SA3RT1-A</v>
      </c>
      <c r="B30" s="41" t="s">
        <v>10302</v>
      </c>
      <c r="C30" s="39" t="s">
        <v>10423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11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M1A4SA3RT1-B</v>
      </c>
      <c r="B31" s="41" t="s">
        <v>10303</v>
      </c>
      <c r="C31" s="39" t="s">
        <v>10424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11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M1A4SA3RT1-C</v>
      </c>
      <c r="B32" s="41" t="s">
        <v>10304</v>
      </c>
      <c r="C32" s="39" t="s">
        <v>10425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11" t="str">
        <f>IFERROR(VLOOKUP(A32,'Arranjos Consolidados'!$E$3:$BM$303,6,FALSE),"")</f>
        <v/>
      </c>
    </row>
    <row r="33" spans="1:15" ht="16.2" x14ac:dyDescent="0.4">
      <c r="A33" s="41" t="str">
        <f t="shared" si="0"/>
        <v>M1A4SA3RT2</v>
      </c>
      <c r="B33" s="41" t="s">
        <v>10305</v>
      </c>
      <c r="C33" s="39" t="s">
        <v>10426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11" t="str">
        <f>IFERROR(VLOOKUP(A33,'Arranjos Consolidados'!$E$3:$BM$303,6,FALSE),"")</f>
        <v/>
      </c>
    </row>
    <row r="34" spans="1:15" ht="16.2" x14ac:dyDescent="0.4">
      <c r="A34" s="41" t="str">
        <f t="shared" si="0"/>
        <v>M1A4SA3RT3</v>
      </c>
      <c r="B34" s="41" t="s">
        <v>10306</v>
      </c>
      <c r="C34" s="39" t="s">
        <v>10427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11" t="str">
        <f>IFERROR(VLOOKUP(A34,'Arranjos Consolidados'!$E$3:$BM$303,6,FALSE),"")</f>
        <v/>
      </c>
    </row>
    <row r="35" spans="1:15" ht="16.2" x14ac:dyDescent="0.4">
      <c r="A35" s="41" t="str">
        <f t="shared" si="0"/>
        <v>M1A4SA3RT4</v>
      </c>
      <c r="B35" s="41" t="s">
        <v>10307</v>
      </c>
      <c r="C35" s="39" t="s">
        <v>10428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11" t="str">
        <f>IFERROR(VLOOKUP(A35,'Arranjos Consolidados'!$E$3:$BM$303,6,FALSE),"")</f>
        <v/>
      </c>
    </row>
    <row r="36" spans="1:15" ht="16.2" x14ac:dyDescent="0.4">
      <c r="A36" s="41" t="str">
        <f t="shared" si="0"/>
        <v>M1A4SA3RT5</v>
      </c>
      <c r="B36" s="41" t="s">
        <v>10308</v>
      </c>
      <c r="C36" s="39" t="s">
        <v>10429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11" t="str">
        <f>IFERROR(VLOOKUP(A36,'Arranjos Consolidados'!$E$3:$BM$303,6,FALSE),"")</f>
        <v/>
      </c>
    </row>
    <row r="38" spans="1:15" ht="16.2" x14ac:dyDescent="0.3">
      <c r="D38" s="38" t="s">
        <v>9943</v>
      </c>
      <c r="E38" s="38" t="s">
        <v>9876</v>
      </c>
      <c r="F38" s="38" t="s">
        <v>10430</v>
      </c>
    </row>
    <row r="39" spans="1:15" ht="16.2" x14ac:dyDescent="0.4">
      <c r="B39" s="41" t="str">
        <f>_xlfn.CONCAT(D39,F39)</f>
        <v>M1A1SA1</v>
      </c>
      <c r="D39" s="40" t="s">
        <v>10439</v>
      </c>
      <c r="E39" s="40" t="s">
        <v>10436</v>
      </c>
      <c r="F39" s="40" t="s">
        <v>10606</v>
      </c>
    </row>
    <row r="41" spans="1:15" ht="32.4" x14ac:dyDescent="0.3">
      <c r="B41" s="29"/>
      <c r="D41" s="38" t="s">
        <v>10443</v>
      </c>
      <c r="E41" s="38" t="s">
        <v>10444</v>
      </c>
      <c r="F41" s="38" t="s">
        <v>10445</v>
      </c>
      <c r="G41" s="38" t="s">
        <v>10452</v>
      </c>
      <c r="H41" s="38" t="s">
        <v>10446</v>
      </c>
      <c r="I41" s="38" t="s">
        <v>10447</v>
      </c>
      <c r="J41" s="38" t="s">
        <v>10448</v>
      </c>
      <c r="K41" s="38" t="s">
        <v>10449</v>
      </c>
      <c r="L41" s="38" t="s">
        <v>10450</v>
      </c>
      <c r="M41" s="38" t="s">
        <v>10451</v>
      </c>
      <c r="N41" s="38" t="s">
        <v>10491</v>
      </c>
      <c r="O41" s="38" t="s">
        <v>10541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M1A1SA1RT1-A</v>
      </c>
      <c r="B43" s="41" t="s">
        <v>10302</v>
      </c>
      <c r="C43" s="39" t="s">
        <v>10423</v>
      </c>
      <c r="D43" s="89">
        <f>(IFERROR(VLOOKUP(A43,'Arranjos Consolidados'!$E$3:$BM$303,$D$42,FALSE),""))</f>
        <v>1245.1145603491473</v>
      </c>
      <c r="E43" s="89">
        <f>(IFERROR((VLOOKUP(A43,'Arranjos Consolidados'!$E$3:$BM$303,$E$42,FALSE)),""))</f>
        <v>159.14410888124749</v>
      </c>
      <c r="F43" s="90">
        <f>(IFERROR((VLOOKUP(A43,'Arranjos Consolidados'!$E$3:$BM$303,$F$42,FALSE)),""))</f>
        <v>13885251.956447791</v>
      </c>
      <c r="G43" s="90">
        <f>(IFERROR((VLOOKUP(A43,'Arranjos Consolidados'!$E$3:$BM$303,$G$42,FALSE)),""))</f>
        <v>1107348.8435267117</v>
      </c>
      <c r="H43" s="90">
        <f>(IFERROR((VLOOKUP(A43,'Arranjos Consolidados'!$E$3:$BM$303,$H$42,FALSE)),""))</f>
        <v>2615773.1898154179</v>
      </c>
      <c r="I43" s="90">
        <f>(IFERROR((VLOOKUP(A43,'Arranjos Consolidados'!$E$3:$BM$303,$I$42,FALSE)),""))</f>
        <v>5247115.2183870021</v>
      </c>
      <c r="J43" s="90">
        <f>(IFERROR((VLOOKUP(A43,'Arranjos Consolidados'!$E$3:$BM$303,$J$42,FALSE)),""))</f>
        <v>2320423.4667628054</v>
      </c>
      <c r="K43" s="90">
        <f>(IFERROR((VLOOKUP(A43,'Arranjos Consolidados'!$E$3:$BM$303,$K$42,FALSE)),""))</f>
        <v>5247115.2183870021</v>
      </c>
      <c r="L43" s="90">
        <f>(IFERROR((VLOOKUP(A43,'Arranjos Consolidados'!$E$3:$BM$303,$L$42,FALSE)),""))</f>
        <v>2594591.2379558566</v>
      </c>
      <c r="M43" s="90">
        <f>(IFERROR((VLOOKUP(A43,'Arranjos Consolidados'!$E$3:$BM$303,18,FALSE)),""))</f>
        <v>1686163902.4824116</v>
      </c>
      <c r="N43" s="90" t="s">
        <v>9688</v>
      </c>
      <c r="O43" s="90">
        <f>O44</f>
        <v>851597.93054667255</v>
      </c>
    </row>
    <row r="44" spans="1:15" ht="16.2" x14ac:dyDescent="0.4">
      <c r="A44" s="41" t="str">
        <f t="shared" ref="A44:A49" si="1">_xlfn.CONCAT($D$39,$F$39,B44)</f>
        <v>M1A1SA1RT1-B</v>
      </c>
      <c r="B44" s="41" t="s">
        <v>10303</v>
      </c>
      <c r="C44" s="39" t="s">
        <v>10424</v>
      </c>
      <c r="D44" s="89">
        <f>(IFERROR(VLOOKUP(A44,'Arranjos Consolidados'!$E$3:$BM$303,$D$42,FALSE),""))</f>
        <v>1245.1145603491473</v>
      </c>
      <c r="E44" s="89">
        <f>(IFERROR((VLOOKUP(A44,'Arranjos Consolidados'!$E$3:$BM$303,$E$42,FALSE)),""))</f>
        <v>159.14410888124749</v>
      </c>
      <c r="F44" s="90">
        <f>(IFERROR((VLOOKUP(A44,'Arranjos Consolidados'!$E$3:$BM$303,$F$42,FALSE)),""))</f>
        <v>13885251.956447791</v>
      </c>
      <c r="G44" s="90">
        <f>(IFERROR((VLOOKUP(A44,'Arranjos Consolidados'!$E$3:$BM$303,$G$42,FALSE)),""))</f>
        <v>1107348.8435267117</v>
      </c>
      <c r="H44" s="90">
        <f>(IFERROR((VLOOKUP(A44,'Arranjos Consolidados'!$E$3:$BM$303,$H$42,FALSE)),""))</f>
        <v>2615773.1898154179</v>
      </c>
      <c r="I44" s="90">
        <f>(IFERROR((VLOOKUP(A44,'Arranjos Consolidados'!$E$3:$BM$303,$I$42,FALSE)),""))</f>
        <v>5247115.2183870021</v>
      </c>
      <c r="J44" s="90">
        <f>(IFERROR((VLOOKUP(A44,'Arranjos Consolidados'!$E$3:$BM$303,$J$42,FALSE)),""))</f>
        <v>2320423.4667628054</v>
      </c>
      <c r="K44" s="90">
        <f>(IFERROR((VLOOKUP(A44,'Arranjos Consolidados'!$E$3:$BM$303,$K$42,FALSE)),""))</f>
        <v>5247115.2183870021</v>
      </c>
      <c r="L44" s="90">
        <f>(IFERROR((VLOOKUP(A44,'Arranjos Consolidados'!$E$3:$BM$303,$L$42,FALSE)),""))</f>
        <v>2594591.2379558566</v>
      </c>
      <c r="M44" s="90">
        <f>(IFERROR((VLOOKUP(A44,'Arranjos Consolidados'!$E$3:$BM$303,19,FALSE)),""))</f>
        <v>421540975.62060291</v>
      </c>
      <c r="N44" s="90">
        <f>(IFERROR((VLOOKUP(A44,'Arranjos Consolidados'!$E$3:$BM$303,20,FALSE)),""))</f>
        <v>0</v>
      </c>
      <c r="O44" s="90">
        <f>O45</f>
        <v>851597.93054667255</v>
      </c>
    </row>
    <row r="45" spans="1:15" ht="16.2" x14ac:dyDescent="0.4">
      <c r="A45" s="41" t="str">
        <f t="shared" si="1"/>
        <v>M1A1SA1RT1-C</v>
      </c>
      <c r="B45" s="41" t="s">
        <v>10304</v>
      </c>
      <c r="C45" s="39" t="s">
        <v>10425</v>
      </c>
      <c r="D45" s="89">
        <f>(IFERROR(VLOOKUP(A45,'Arranjos Consolidados'!$E$3:$BM$303,$D$42,FALSE),""))</f>
        <v>1245.1145603491473</v>
      </c>
      <c r="E45" s="89">
        <f>(IFERROR((VLOOKUP(A45,'Arranjos Consolidados'!$E$3:$BM$303,$E$42,FALSE)),""))</f>
        <v>159.14410888124749</v>
      </c>
      <c r="F45" s="90">
        <f>(IFERROR((VLOOKUP(A45,'Arranjos Consolidados'!$E$3:$BM$303,$F$42,FALSE)),""))</f>
        <v>13885251.956447791</v>
      </c>
      <c r="G45" s="90">
        <f>(IFERROR((VLOOKUP(A45,'Arranjos Consolidados'!$E$3:$BM$303,$G$42,FALSE)),""))</f>
        <v>1107348.8435267117</v>
      </c>
      <c r="H45" s="90">
        <f>(IFERROR((VLOOKUP(A45,'Arranjos Consolidados'!$E$3:$BM$303,$H$42,FALSE)),""))</f>
        <v>2615773.1898154179</v>
      </c>
      <c r="I45" s="90">
        <f>(IFERROR((VLOOKUP(A45,'Arranjos Consolidados'!$E$3:$BM$303,$I$42,FALSE)),""))</f>
        <v>5247115.2183870021</v>
      </c>
      <c r="J45" s="90">
        <f>(IFERROR((VLOOKUP(A45,'Arranjos Consolidados'!$E$3:$BM$303,$J$42,FALSE)),""))</f>
        <v>2320423.4667628054</v>
      </c>
      <c r="K45" s="90">
        <f>(IFERROR((VLOOKUP(A45,'Arranjos Consolidados'!$E$3:$BM$303,$K$42,FALSE)),""))</f>
        <v>5247115.2183870021</v>
      </c>
      <c r="L45" s="90">
        <f>(IFERROR((VLOOKUP(A45,'Arranjos Consolidados'!$E$3:$BM$303,$L$42,FALSE)),""))</f>
        <v>2594591.2379558566</v>
      </c>
      <c r="M45" s="90">
        <f>(IFERROR((VLOOKUP(A45,'Arranjos Consolidados'!$E$3:$BM$303,20,FALSE))/1000000,""))</f>
        <v>421540.9756206029</v>
      </c>
      <c r="N45" s="90" t="s">
        <v>9688</v>
      </c>
      <c r="O45" s="90">
        <f>IFERROR(M45*100/49.5,"")</f>
        <v>851597.93054667255</v>
      </c>
    </row>
    <row r="46" spans="1:15" ht="16.2" x14ac:dyDescent="0.4">
      <c r="A46" s="41" t="str">
        <f t="shared" si="1"/>
        <v>M1A1SA1RT2</v>
      </c>
      <c r="B46" s="41" t="s">
        <v>10305</v>
      </c>
      <c r="C46" s="39" t="s">
        <v>10426</v>
      </c>
      <c r="D46" s="89">
        <f>(IFERROR(VLOOKUP(A46,'Arranjos Consolidados'!$E$3:$BM$303,$D$42,FALSE),""))</f>
        <v>665.56908571117276</v>
      </c>
      <c r="E46" s="89">
        <f>(IFERROR((VLOOKUP(A46,'Arranjos Consolidados'!$E$3:$BM$303,$E$42,FALSE)),""))</f>
        <v>118.83981004775855</v>
      </c>
      <c r="F46" s="90">
        <f>(IFERROR((VLOOKUP(A46,'Arranjos Consolidados'!$E$3:$BM$303,$F$42,FALSE)),""))</f>
        <v>13885251.956447791</v>
      </c>
      <c r="G46" s="90">
        <f>(IFERROR((VLOOKUP(A46,'Arranjos Consolidados'!$E$3:$BM$303,$G$42,FALSE)),""))</f>
        <v>1107348.8435267117</v>
      </c>
      <c r="H46" s="90">
        <f>(IFERROR((VLOOKUP(A46,'Arranjos Consolidados'!$E$3:$BM$303,$H$42,FALSE)),""))</f>
        <v>2615773.1898154179</v>
      </c>
      <c r="I46" s="90">
        <f>(IFERROR((VLOOKUP(A46,'Arranjos Consolidados'!$E$3:$BM$303,$I$42,FALSE)),""))</f>
        <v>5474607.7151284544</v>
      </c>
      <c r="J46" s="90">
        <f>(IFERROR((VLOOKUP(A46,'Arranjos Consolidados'!$E$3:$BM$303,$J$42,FALSE)),""))</f>
        <v>2729909.9608974182</v>
      </c>
      <c r="K46" s="90">
        <f>(IFERROR((VLOOKUP(A46,'Arranjos Consolidados'!$E$3:$BM$303,$K$42,FALSE)),""))</f>
        <v>5474607.7151284544</v>
      </c>
      <c r="L46" s="90">
        <f>(IFERROR((VLOOKUP(A46,'Arranjos Consolidados'!$E$3:$BM$303,$L$42,FALSE)),""))</f>
        <v>1957612.2470797922</v>
      </c>
      <c r="M46" s="90">
        <f>(IFERROR((VLOOKUP(A46,'Arranjos Consolidados'!$E$3:$BM$303,15,FALSE)),""))</f>
        <v>2729909.9608974182</v>
      </c>
      <c r="N46" s="90" t="s">
        <v>9688</v>
      </c>
      <c r="O46" s="90" t="s">
        <v>9688</v>
      </c>
    </row>
    <row r="47" spans="1:15" ht="16.2" x14ac:dyDescent="0.4">
      <c r="A47" s="41" t="str">
        <f t="shared" si="1"/>
        <v>M1A1SA1RT3</v>
      </c>
      <c r="B47" s="41" t="s">
        <v>10306</v>
      </c>
      <c r="C47" s="39" t="s">
        <v>10427</v>
      </c>
      <c r="D47" s="89">
        <f>(IFERROR(VLOOKUP(A47,'Arranjos Consolidados'!$E$3:$BM$303,$D$42,FALSE),""))</f>
        <v>646.64489370000763</v>
      </c>
      <c r="E47" s="89">
        <f>(IFERROR((VLOOKUP(A47,'Arranjos Consolidados'!$E$3:$BM$303,$E$42,FALSE)),""))</f>
        <v>115.94758963563142</v>
      </c>
      <c r="F47" s="90">
        <f>(IFERROR((VLOOKUP(A47,'Arranjos Consolidados'!$E$3:$BM$303,$F$42,FALSE)),""))</f>
        <v>13885251.956447791</v>
      </c>
      <c r="G47" s="90">
        <f>(IFERROR((VLOOKUP(A47,'Arranjos Consolidados'!$E$3:$BM$303,$G$42,FALSE)),""))</f>
        <v>1107348.8435267117</v>
      </c>
      <c r="H47" s="90">
        <f>(IFERROR((VLOOKUP(A47,'Arranjos Consolidados'!$E$3:$BM$303,$H$42,FALSE)),""))</f>
        <v>4918676.9399221754</v>
      </c>
      <c r="I47" s="90">
        <f>(IFERROR((VLOOKUP(A47,'Arranjos Consolidados'!$E$3:$BM$303,$I$42,FALSE)),""))</f>
        <v>4676552.8589316178</v>
      </c>
      <c r="J47" s="90">
        <f>(IFERROR((VLOOKUP(A47,'Arranjos Consolidados'!$E$3:$BM$303,$J$42,FALSE)),""))</f>
        <v>0</v>
      </c>
      <c r="K47" s="90">
        <f>(IFERROR((VLOOKUP(A47,'Arranjos Consolidados'!$E$3:$BM$303,$K$42,FALSE)),""))</f>
        <v>4676552.8589316178</v>
      </c>
      <c r="L47" s="90">
        <f>(IFERROR((VLOOKUP(A47,'Arranjos Consolidados'!$E$3:$BM$303,$L$42,FALSE)),""))</f>
        <v>3182673.3140672906</v>
      </c>
      <c r="M47" s="90" t="s">
        <v>9688</v>
      </c>
      <c r="N47" s="90" t="s">
        <v>9688</v>
      </c>
      <c r="O47" s="90" t="s">
        <v>9688</v>
      </c>
    </row>
    <row r="48" spans="1:15" ht="16.2" x14ac:dyDescent="0.4">
      <c r="A48" s="41" t="str">
        <f t="shared" si="1"/>
        <v>M1A1SA1RT4</v>
      </c>
      <c r="B48" s="41" t="s">
        <v>10307</v>
      </c>
      <c r="C48" s="39" t="s">
        <v>10428</v>
      </c>
      <c r="D48" s="89">
        <f>(IFERROR(VLOOKUP(A48,'Arranjos Consolidados'!$E$3:$BM$303,$D$42,FALSE),""))</f>
        <v>4054.5774732336968</v>
      </c>
      <c r="E48" s="89">
        <f>(IFERROR((VLOOKUP(A48,'Arranjos Consolidados'!$E$3:$BM$303,$E$42,FALSE)),""))</f>
        <v>372.88752005541562</v>
      </c>
      <c r="F48" s="90">
        <f>(IFERROR((VLOOKUP(A48,'Arranjos Consolidados'!$E$3:$BM$303,$F$42,FALSE)),""))</f>
        <v>13885251.956447791</v>
      </c>
      <c r="G48" s="90">
        <f>(IFERROR((VLOOKUP(A48,'Arranjos Consolidados'!$E$3:$BM$303,$G$42,FALSE)),""))</f>
        <v>1182332.6233946225</v>
      </c>
      <c r="H48" s="90">
        <f>(IFERROR((VLOOKUP(A48,'Arranjos Consolidados'!$E$3:$BM$303,$H$42,FALSE)),""))</f>
        <v>0</v>
      </c>
      <c r="I48" s="90">
        <f>(IFERROR((VLOOKUP(A48,'Arranjos Consolidados'!$E$3:$BM$303,$I$42,FALSE)),""))</f>
        <v>2555580.6225842177</v>
      </c>
      <c r="J48" s="90">
        <f>(IFERROR((VLOOKUP(A48,'Arranjos Consolidados'!$E$3:$BM$303,$J$42,FALSE)),""))</f>
        <v>0</v>
      </c>
      <c r="K48" s="90">
        <f>(IFERROR((VLOOKUP(A48,'Arranjos Consolidados'!$E$3:$BM$303,$K$42,FALSE)),""))</f>
        <v>2555580.6225842177</v>
      </c>
      <c r="L48" s="90">
        <f>(IFERROR((VLOOKUP(A48,'Arranjos Consolidados'!$E$3:$BM$303,$L$42,FALSE)),""))</f>
        <v>10147338.710468953</v>
      </c>
      <c r="M48" s="90">
        <f>(IFERROR((VLOOKUP(A48,'Arranjos Consolidados'!$E$3:$BM$303,17,FALSE)),""))</f>
        <v>9049774986.8471146</v>
      </c>
      <c r="N48" s="90" t="s">
        <v>9688</v>
      </c>
      <c r="O48" s="90" t="s">
        <v>9688</v>
      </c>
    </row>
    <row r="49" spans="1:16" ht="16.2" x14ac:dyDescent="0.4">
      <c r="A49" s="41" t="str">
        <f t="shared" si="1"/>
        <v>M1A1SA1RT5</v>
      </c>
      <c r="B49" s="41" t="s">
        <v>10308</v>
      </c>
      <c r="C49" s="39" t="s">
        <v>10429</v>
      </c>
      <c r="D49" s="89">
        <f>(IFERROR(VLOOKUP(A49,'Arranjos Consolidados'!$E$3:$BM$303,$D$42,FALSE),""))</f>
        <v>4054.5774732336968</v>
      </c>
      <c r="E49" s="89">
        <f>(IFERROR((VLOOKUP(A49,'Arranjos Consolidados'!$E$3:$BM$303,$E$42,FALSE)),""))</f>
        <v>372.88752005541562</v>
      </c>
      <c r="F49" s="90">
        <f>(IFERROR((VLOOKUP(A49,'Arranjos Consolidados'!$E$3:$BM$303,$F$42,FALSE)),""))</f>
        <v>13885251.956447791</v>
      </c>
      <c r="G49" s="90">
        <f>(IFERROR((VLOOKUP(A49,'Arranjos Consolidados'!$E$3:$BM$303,$G$42,FALSE)),""))</f>
        <v>1182332.6233946225</v>
      </c>
      <c r="H49" s="90">
        <f>(IFERROR((VLOOKUP(A49,'Arranjos Consolidados'!$E$3:$BM$303,$H$42,FALSE)),""))</f>
        <v>0</v>
      </c>
      <c r="I49" s="90">
        <f>(IFERROR((VLOOKUP(A49,'Arranjos Consolidados'!$E$3:$BM$303,$I$42,FALSE)),""))</f>
        <v>2555580.6225842177</v>
      </c>
      <c r="J49" s="90">
        <f>(IFERROR((VLOOKUP(A49,'Arranjos Consolidados'!$E$3:$BM$303,$J$42,FALSE)),""))</f>
        <v>0</v>
      </c>
      <c r="K49" s="90">
        <f>(IFERROR((VLOOKUP(A49,'Arranjos Consolidados'!$E$3:$BM$303,$K$42,FALSE)),""))</f>
        <v>2555580.6225842177</v>
      </c>
      <c r="L49" s="90">
        <f>(IFERROR((VLOOKUP(A49,'Arranjos Consolidados'!$E$3:$BM$303,$L$42,FALSE)),""))</f>
        <v>10147338.710468953</v>
      </c>
      <c r="M49" s="90">
        <f>(IFERROR((VLOOKUP(A49,'Arranjos Consolidados'!$E$3:$BM$303,17,FALSE)),""))</f>
        <v>9049774986.8471146</v>
      </c>
      <c r="N49" s="90" t="s">
        <v>9688</v>
      </c>
      <c r="O49" s="90" t="s">
        <v>9688</v>
      </c>
    </row>
    <row r="50" spans="1:16" ht="16.2" x14ac:dyDescent="0.4">
      <c r="A50" s="41" t="str">
        <f>_xlfn.CONCAT($D$39,$F$39)</f>
        <v>M1A1SA1</v>
      </c>
      <c r="B50" s="48" t="str">
        <f>IFERROR(VLOOKUP(A50,CHOOSE({1,2},'Arranjos Consolidados'!E:E,'Arranjos Consolidados'!D:D),2,FALSE),"")</f>
        <v>RT4</v>
      </c>
      <c r="C50" s="39" t="s">
        <v>10442</v>
      </c>
      <c r="D50" s="89">
        <f>(IFERROR(VLOOKUP(A50,'Arranjos Consolidados'!$E$3:$BM$303,$D$42,FALSE),""))</f>
        <v>4054.5774732336968</v>
      </c>
      <c r="E50" s="89">
        <f>(IFERROR((VLOOKUP(A50,'Arranjos Consolidados'!$E$3:$BM$303,$E$42,FALSE)),""))</f>
        <v>372.88752005541562</v>
      </c>
      <c r="F50" s="90">
        <f>(IFERROR((VLOOKUP(A50,'Arranjos Consolidados'!$E$3:$BM$303,$F$42,FALSE)),""))</f>
        <v>13885251.956447791</v>
      </c>
      <c r="G50" s="90">
        <f>(IFERROR((VLOOKUP(A50,'Arranjos Consolidados'!$E$3:$BM$303,$G$42,FALSE)),""))</f>
        <v>1182332.6233946225</v>
      </c>
      <c r="H50" s="90"/>
      <c r="I50" s="90"/>
      <c r="J50" s="90"/>
      <c r="K50" s="90"/>
      <c r="L50" s="90"/>
      <c r="M50" s="90"/>
      <c r="N50" s="91"/>
      <c r="O50" s="90" t="s">
        <v>9688</v>
      </c>
    </row>
    <row r="52" spans="1:16" ht="16.2" x14ac:dyDescent="0.3">
      <c r="D52" s="38" t="s">
        <v>9943</v>
      </c>
      <c r="E52" s="38" t="s">
        <v>9876</v>
      </c>
      <c r="F52" s="74"/>
    </row>
    <row r="53" spans="1:16" ht="16.2" x14ac:dyDescent="0.4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2" x14ac:dyDescent="0.3">
      <c r="B56" s="86" t="s">
        <v>10517</v>
      </c>
      <c r="D56" s="38" t="s">
        <v>10492</v>
      </c>
      <c r="E56" s="38" t="s">
        <v>10497</v>
      </c>
      <c r="F56" s="38" t="s">
        <v>10511</v>
      </c>
      <c r="G56" s="38" t="s">
        <v>10443</v>
      </c>
      <c r="H56" s="38" t="s">
        <v>10444</v>
      </c>
      <c r="I56" s="38" t="s">
        <v>10445</v>
      </c>
      <c r="J56" s="38" t="s">
        <v>10452</v>
      </c>
      <c r="K56" s="38" t="s">
        <v>10446</v>
      </c>
      <c r="L56" s="38" t="s">
        <v>10447</v>
      </c>
      <c r="M56" s="38" t="s">
        <v>10448</v>
      </c>
      <c r="N56" s="38" t="s">
        <v>10450</v>
      </c>
      <c r="O56" s="38" t="s">
        <v>10536</v>
      </c>
      <c r="P56" s="38" t="s">
        <v>10537</v>
      </c>
    </row>
    <row r="57" spans="1:16" x14ac:dyDescent="0.3">
      <c r="A57" s="40" t="str">
        <f>_xlfn.CONCAT(B53,"SA1")</f>
        <v>M1A1SA1</v>
      </c>
      <c r="B57" s="40" t="str">
        <f>IFERROR(VLOOKUP(A57,CHOOSE({1,2},'Arranjos Consolidados'!E:E,'Arranjos Consolidados'!D:D),2,FALSE),"")</f>
        <v>RT4</v>
      </c>
      <c r="C57" s="39"/>
      <c r="D57" s="40">
        <f>(IFERROR(ROUND(VLOOKUP($A57,'Arranjos Consolidados'!$E$3:$BM$303,21,FALSE),1),""))</f>
        <v>1801.8</v>
      </c>
      <c r="E57" s="40">
        <f>(IFERROR(ROUND(VLOOKUP($A57,'Arranjos Consolidados'!$E$3:$BM$303,5,FALSE),1),""))</f>
        <v>1424.6</v>
      </c>
      <c r="F57" s="88">
        <f>(IFERROR(ROUND(VLOOKUP($A57,'Arranjos Consolidados'!$E$3:$BM$303,6,FALSE)*100,1),""))</f>
        <v>65.2</v>
      </c>
      <c r="G57" s="87">
        <f>(IFERROR(ROUND(VLOOKUP($A57,'Arranjos Consolidados'!$E$3:$BM$303,D$42,FALSE),1),""))</f>
        <v>4054.6</v>
      </c>
      <c r="H57" s="87">
        <f>(IFERROR(ROUND(VLOOKUP($A57,'Arranjos Consolidados'!$E$3:$BM$303,E$42,FALSE),1),""))</f>
        <v>372.9</v>
      </c>
      <c r="I57" s="87">
        <f>(IFERROR(ROUND(VLOOKUP($A57,'Arranjos Consolidados'!$E$3:$BM$303,F$42,FALSE),1),""))</f>
        <v>13885252</v>
      </c>
      <c r="J57" s="87">
        <f>(IFERROR(ROUND(VLOOKUP($A57,'Arranjos Consolidados'!$E$3:$BM$303,G$42,FALSE),1),""))</f>
        <v>1182332.6000000001</v>
      </c>
      <c r="K57" s="87">
        <f>(IFERROR(ROUND(VLOOKUP($A57,'Arranjos Consolidados'!$E$3:$BM$303,H$42,FALSE),1),""))</f>
        <v>0</v>
      </c>
      <c r="L57" s="87">
        <f>(IFERROR(ROUND(VLOOKUP($A57,'Arranjos Consolidados'!$E$3:$BM$303,I$42,FALSE),1),""))</f>
        <v>2555580.6</v>
      </c>
      <c r="M57" s="87">
        <f>(IFERROR(ROUND(VLOOKUP($A57,'Arranjos Consolidados'!$E$3:$BM$303,J$42,FALSE),1),""))</f>
        <v>0</v>
      </c>
      <c r="N57" s="87">
        <f>(IFERROR(ROUND(VLOOKUP($A57,'Arranjos Consolidados'!$E$3:$BM$303,L$42,FALSE),1),""))</f>
        <v>10147338.699999999</v>
      </c>
      <c r="O57" s="87">
        <f>(IFERROR(ROUND(VLOOKUP(A57,'Arranjos Consolidados'!$E$3:$BM$303,20,FALSE),0),""))</f>
        <v>0</v>
      </c>
      <c r="P57" s="87">
        <f>(IFERROR(ROUND(VLOOKUP(A57,'Arranjos Consolidados'!$E$3:$BM$303,18,FALSE),0),""))</f>
        <v>0</v>
      </c>
    </row>
    <row r="58" spans="1:16" x14ac:dyDescent="0.3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8" t="str">
        <f>(IFERROR(ROUND(VLOOKUP($A58,'Arranjos Consolidados'!$E$3:$BM$303,6,FALSE)*100,1),""))</f>
        <v/>
      </c>
      <c r="G58" s="87" t="str">
        <f>(IFERROR(ROUND(VLOOKUP($A58,'Arranjos Consolidados'!$E$3:$BM$303,D$42,FALSE),1),""))</f>
        <v/>
      </c>
      <c r="H58" s="87" t="str">
        <f>(IFERROR(ROUND(VLOOKUP($A58,'Arranjos Consolidados'!$E$3:$BM$303,E$42,FALSE),1),""))</f>
        <v/>
      </c>
      <c r="I58" s="87" t="str">
        <f>(IFERROR(ROUND(VLOOKUP($A58,'Arranjos Consolidados'!$E$3:$BM$303,F$42,FALSE),1),""))</f>
        <v/>
      </c>
      <c r="J58" s="87" t="str">
        <f>(IFERROR(ROUND(VLOOKUP($A58,'Arranjos Consolidados'!$E$3:$BM$303,G$42,FALSE),1),""))</f>
        <v/>
      </c>
      <c r="K58" s="87" t="str">
        <f>(IFERROR(ROUND(VLOOKUP($A58,'Arranjos Consolidados'!$E$3:$BM$303,H$42,FALSE),1),""))</f>
        <v/>
      </c>
      <c r="L58" s="87" t="str">
        <f>(IFERROR(ROUND(VLOOKUP($A58,'Arranjos Consolidados'!$E$3:$BM$303,I$42,FALSE),1),""))</f>
        <v/>
      </c>
      <c r="M58" s="87" t="str">
        <f>(IFERROR(ROUND(VLOOKUP($A58,'Arranjos Consolidados'!$E$3:$BM$303,J$42,FALSE),1),""))</f>
        <v/>
      </c>
      <c r="N58" s="87" t="str">
        <f>(IFERROR(ROUND(VLOOKUP($A58,'Arranjos Consolidados'!$E$3:$BM$303,L$42,FALSE),1),""))</f>
        <v/>
      </c>
      <c r="O58" s="87" t="str">
        <f>(IFERROR(ROUND(VLOOKUP(A58,'Arranjos Consolidados'!$E$3:$BM$303,20,FALSE),0),""))</f>
        <v/>
      </c>
      <c r="P58" s="87" t="str">
        <f>(IFERROR(ROUND(VLOOKUP(A58,'Arranjos Consolidados'!$E$3:$BM$303,18,FALSE),0),""))</f>
        <v/>
      </c>
    </row>
    <row r="59" spans="1:16" x14ac:dyDescent="0.3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8" t="str">
        <f>(IFERROR(ROUND(VLOOKUP($A59,'Arranjos Consolidados'!$E$3:$BM$303,6,FALSE)*100,1),""))</f>
        <v/>
      </c>
      <c r="G59" s="87" t="str">
        <f>(IFERROR(ROUND(VLOOKUP($A59,'Arranjos Consolidados'!$E$3:$BM$303,D$42,FALSE),1),""))</f>
        <v/>
      </c>
      <c r="H59" s="87" t="str">
        <f>(IFERROR(ROUND(VLOOKUP($A59,'Arranjos Consolidados'!$E$3:$BM$303,E$42,FALSE),1),""))</f>
        <v/>
      </c>
      <c r="I59" s="87" t="str">
        <f>(IFERROR(ROUND(VLOOKUP($A59,'Arranjos Consolidados'!$E$3:$BM$303,F$42,FALSE),1),""))</f>
        <v/>
      </c>
      <c r="J59" s="87" t="str">
        <f>(IFERROR(ROUND(VLOOKUP($A59,'Arranjos Consolidados'!$E$3:$BM$303,G$42,FALSE),1),""))</f>
        <v/>
      </c>
      <c r="K59" s="87" t="str">
        <f>(IFERROR(ROUND(VLOOKUP($A59,'Arranjos Consolidados'!$E$3:$BM$303,H$42,FALSE),1),""))</f>
        <v/>
      </c>
      <c r="L59" s="87" t="str">
        <f>(IFERROR(ROUND(VLOOKUP($A59,'Arranjos Consolidados'!$E$3:$BM$303,I$42,FALSE),1),""))</f>
        <v/>
      </c>
      <c r="M59" s="87" t="str">
        <f>(IFERROR(ROUND(VLOOKUP($A59,'Arranjos Consolidados'!$E$3:$BM$303,J$42,FALSE),1),""))</f>
        <v/>
      </c>
      <c r="N59" s="87" t="str">
        <f>(IFERROR(ROUND(VLOOKUP($A59,'Arranjos Consolidados'!$E$3:$BM$303,L$42,FALSE),1),""))</f>
        <v/>
      </c>
      <c r="O59" s="87" t="str">
        <f>(IFERROR(ROUND(VLOOKUP(A59,'Arranjos Consolidados'!$E$3:$BM$303,20,FALSE),0),""))</f>
        <v/>
      </c>
      <c r="P59" s="87" t="str">
        <f>(IFERROR(ROUND(VLOOKUP(A59,'Arranjos Consolidados'!$E$3:$BM$303,18,FALSE),0),""))</f>
        <v/>
      </c>
    </row>
    <row r="60" spans="1:16" x14ac:dyDescent="0.3">
      <c r="A60" s="40" t="str">
        <f>B53</f>
        <v>M1A1</v>
      </c>
      <c r="B60" s="40" t="s">
        <v>9688</v>
      </c>
      <c r="C60" s="39"/>
      <c r="D60" s="40">
        <f>(IFERROR(ROUND(VLOOKUP($A60,'Arranjos Consolidados'!$E$3:$BM$303,21,FALSE),1),""))</f>
        <v>1801.8</v>
      </c>
      <c r="E60" s="40">
        <f>(IFERROR(ROUND(VLOOKUP($A60,'Arranjos Consolidados'!$E$3:$BM$303,5,FALSE),1),""))</f>
        <v>1424.6</v>
      </c>
      <c r="F60" s="88">
        <f>(IFERROR(ROUND(VLOOKUP($A60,'Arranjos Consolidados'!$E$3:$BM$303,6,FALSE)*100,1),""))</f>
        <v>65.2</v>
      </c>
      <c r="G60" s="87">
        <f>(IFERROR(ROUND(VLOOKUP($A60,'Arranjos Consolidados'!$E$3:$BM$303,D$42,FALSE),1),""))</f>
        <v>4054.6</v>
      </c>
      <c r="H60" s="87">
        <f>(IFERROR(ROUND(VLOOKUP($A60,'Arranjos Consolidados'!$E$3:$BM$303,E$42,FALSE),1),""))</f>
        <v>372.9</v>
      </c>
      <c r="I60" s="87">
        <f>(IFERROR(ROUND(VLOOKUP($A60,'Arranjos Consolidados'!$E$3:$BM$303,F$42,FALSE),1),""))</f>
        <v>13885252</v>
      </c>
      <c r="J60" s="87">
        <f>(IFERROR(ROUND(VLOOKUP($A60,'Arranjos Consolidados'!$E$3:$BM$303,G$42,FALSE),1),""))</f>
        <v>1182332.6000000001</v>
      </c>
      <c r="K60" s="87">
        <f>(IFERROR(ROUND(VLOOKUP($A60,'Arranjos Consolidados'!$E$3:$BM$303,H$42,FALSE),1),""))</f>
        <v>0</v>
      </c>
      <c r="L60" s="87">
        <f>(IFERROR(ROUND(VLOOKUP($A60,'Arranjos Consolidados'!$E$3:$BM$303,I$42,FALSE),1),""))</f>
        <v>2555580.6</v>
      </c>
      <c r="M60" s="87">
        <f>(IFERROR(ROUND(VLOOKUP($A60,'Arranjos Consolidados'!$E$3:$BM$303,J$42,FALSE),1),""))</f>
        <v>0</v>
      </c>
      <c r="N60" s="87">
        <f>(IFERROR(ROUND(VLOOKUP($A60,'Arranjos Consolidados'!$E$3:$BM$303,L$42,FALSE),1),""))</f>
        <v>10147338.699999999</v>
      </c>
      <c r="O60" s="87">
        <f>(IFERROR(ROUND(VLOOKUP(A60,'Arranjos Consolidados'!$E$3:$BM$303,20,FALSE),0),""))</f>
        <v>0</v>
      </c>
      <c r="P60" s="87">
        <f>(IFERROR(ROUND(VLOOKUP(A60,'Arranjos Consolidados'!$E$3:$BM$303,18,FALSE),0),""))</f>
        <v>0</v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61" zoomScaleNormal="100" workbookViewId="0">
      <selection activeCell="BJ103" sqref="BJ103"/>
    </sheetView>
  </sheetViews>
  <sheetFormatPr defaultRowHeight="14.4" x14ac:dyDescent="0.3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J2" sqref="J2"/>
    </sheetView>
  </sheetViews>
  <sheetFormatPr defaultRowHeight="14.4" x14ac:dyDescent="0.3"/>
  <cols>
    <col min="4" max="4" width="14.33203125" bestFit="1" customWidth="1"/>
    <col min="5" max="14" width="14.44140625" customWidth="1"/>
    <col min="15" max="15" width="23.109375" bestFit="1" customWidth="1"/>
    <col min="16" max="19" width="14.44140625" customWidth="1"/>
    <col min="20" max="20" width="33.5546875" bestFit="1" customWidth="1"/>
    <col min="21" max="25" width="14.44140625" customWidth="1"/>
    <col min="26" max="26" width="83.88671875" bestFit="1" customWidth="1"/>
    <col min="27" max="28" width="14.44140625" customWidth="1"/>
  </cols>
  <sheetData>
    <row r="1" spans="1:28" ht="16.5" customHeight="1" x14ac:dyDescent="0.3">
      <c r="A1" s="129" t="s">
        <v>9943</v>
      </c>
      <c r="B1" s="129"/>
      <c r="C1" s="129"/>
      <c r="D1" s="133" t="s">
        <v>10504</v>
      </c>
      <c r="E1" s="134"/>
      <c r="F1" s="134"/>
      <c r="G1" s="134"/>
      <c r="H1" s="134"/>
      <c r="I1" s="134"/>
      <c r="J1" s="134"/>
      <c r="K1" s="134"/>
      <c r="L1" s="134"/>
      <c r="M1" s="135"/>
      <c r="N1" s="65"/>
      <c r="O1" s="133" t="s">
        <v>10503</v>
      </c>
      <c r="P1" s="134"/>
      <c r="Q1" s="134"/>
      <c r="R1" s="134"/>
      <c r="S1" s="135"/>
      <c r="T1" s="133" t="s">
        <v>10508</v>
      </c>
      <c r="U1" s="134"/>
      <c r="V1" s="134"/>
      <c r="W1" s="134"/>
      <c r="X1" s="135"/>
      <c r="Y1" s="129" t="s">
        <v>10511</v>
      </c>
      <c r="Z1" s="129" t="s">
        <v>10512</v>
      </c>
      <c r="AA1" s="129" t="s">
        <v>10513</v>
      </c>
      <c r="AB1" s="129" t="s">
        <v>10514</v>
      </c>
    </row>
    <row r="2" spans="1:28" ht="57.6" x14ac:dyDescent="0.3">
      <c r="A2" s="130" t="s">
        <v>10439</v>
      </c>
      <c r="B2" s="131"/>
      <c r="C2" s="132"/>
      <c r="D2" s="64" t="s">
        <v>10510</v>
      </c>
      <c r="E2" s="63" t="s">
        <v>10492</v>
      </c>
      <c r="F2" s="63" t="s">
        <v>10493</v>
      </c>
      <c r="G2" s="63" t="s">
        <v>10494</v>
      </c>
      <c r="H2" s="63" t="s">
        <v>10550</v>
      </c>
      <c r="I2" s="63" t="s">
        <v>10549</v>
      </c>
      <c r="J2" s="63" t="s">
        <v>10551</v>
      </c>
      <c r="K2" s="63" t="s">
        <v>10495</v>
      </c>
      <c r="L2" s="63" t="s">
        <v>10496</v>
      </c>
      <c r="M2" s="63" t="s">
        <v>10497</v>
      </c>
      <c r="N2" s="64" t="s">
        <v>10515</v>
      </c>
      <c r="O2" s="64" t="s">
        <v>10510</v>
      </c>
      <c r="P2" s="63" t="s">
        <v>10500</v>
      </c>
      <c r="Q2" s="63" t="s">
        <v>10501</v>
      </c>
      <c r="R2" s="63" t="s">
        <v>10502</v>
      </c>
      <c r="S2" s="63" t="s">
        <v>10503</v>
      </c>
      <c r="T2" s="64" t="s">
        <v>10510</v>
      </c>
      <c r="U2" s="63" t="s">
        <v>10505</v>
      </c>
      <c r="V2" s="63" t="s">
        <v>10506</v>
      </c>
      <c r="W2" s="63" t="s">
        <v>10507</v>
      </c>
      <c r="X2" s="63" t="s">
        <v>10509</v>
      </c>
      <c r="Y2" s="129"/>
      <c r="Z2" s="129"/>
      <c r="AA2" s="129"/>
      <c r="AB2" s="129"/>
    </row>
    <row r="3" spans="1:28" x14ac:dyDescent="0.3">
      <c r="A3" s="67" t="s">
        <v>10436</v>
      </c>
      <c r="B3" s="67" t="str">
        <f>_xlfn.CONCAT($A$2,A3)</f>
        <v>M1A1</v>
      </c>
      <c r="C3" s="67" t="s">
        <v>10498</v>
      </c>
      <c r="D3" s="67" t="str">
        <f>_xlfn.CONCAT($D$1, " - ",B3)</f>
        <v>Esforço - M1A1</v>
      </c>
      <c r="E3" s="67">
        <f>(IFERROR(ROUND(VLOOKUP(B3,'Arranjos Consolidados'!$E$3:$BM$303,25,FALSE),0),""))</f>
        <v>-1</v>
      </c>
      <c r="F3" s="67">
        <f>(IFERROR(ROUND(VLOOKUP(B3,'Arranjos Consolidados'!$E$3:$BM$303,23,FALSE),0),""))+(IFERROR(ROUND(VLOOKUP(B3,'Arranjos Consolidados'!$E$3:$BM$303,24,FALSE),0),""))</f>
        <v>1803</v>
      </c>
      <c r="G3" s="67">
        <f>E3+F3</f>
        <v>1802</v>
      </c>
      <c r="H3" s="67">
        <f>(IFERROR(ROUND(VLOOKUP(B3,'Arranjos Consolidados'!$E$3:$BM$303,33,FALSE),0),""))</f>
        <v>0</v>
      </c>
      <c r="I3" s="67">
        <f>(IFERROR(ROUND(VLOOKUP(B3,'Arranjos Consolidados'!$E$3:$BM$303,34,FALSE),0),""))</f>
        <v>0</v>
      </c>
      <c r="J3" s="67">
        <f>(IFERROR(ROUND(VLOOKUP(B3,'Arranjos Consolidados'!$E$3:$BM$303,35,FALSE),0),""))</f>
        <v>0</v>
      </c>
      <c r="K3" s="67">
        <f>(IFERROR(ROUND(VLOOKUP(B3,'Arranjos Consolidados'!$E$3:$BM$303,32,FALSE),0),""))</f>
        <v>254</v>
      </c>
      <c r="L3" s="67">
        <f>(IFERROR(ROUND(VLOOKUP(B3,'Arranjos Consolidados'!$E$3:$BM$303,31,FALSE),0),""))</f>
        <v>123</v>
      </c>
      <c r="M3" s="67">
        <f>G3-H3-I3-J3-K3-L3</f>
        <v>1425</v>
      </c>
      <c r="N3" s="67">
        <f>G3-M3</f>
        <v>377</v>
      </c>
      <c r="O3" s="67" t="str">
        <f>_xlfn.CONCAT($O$1," - ",B3)</f>
        <v>Ganhos Indiretos - M1A1</v>
      </c>
      <c r="P3" s="67">
        <f>(IFERROR(ROUND(VLOOKUP(B3,'Arranjos Consolidados'!$E$3:$BM$303,44,FALSE),0),""))</f>
        <v>60</v>
      </c>
      <c r="Q3" s="67">
        <f>(IFERROR(ROUND(VLOOKUP(B3,'Arranjos Consolidados'!$E$3:$BM$303,48,FALSE),0),""))</f>
        <v>35</v>
      </c>
      <c r="R3" s="67">
        <f>(IFERROR(ROUND(VLOOKUP(B3,'Arranjos Consolidados'!$E$3:$BM$303,53,FALSE),0),""))</f>
        <v>257</v>
      </c>
      <c r="S3" s="67">
        <f>P3+Q3+R3</f>
        <v>352</v>
      </c>
      <c r="T3" s="67" t="str">
        <f>_xlfn.CONCAT($T$1," - ",B3)</f>
        <v>Desoneração Gestão Pública - M1A1</v>
      </c>
      <c r="U3" s="66">
        <f>(IFERROR(ROUND(VLOOKUP(B3,'Arranjos Consolidados'!$E$3:$BM$303,4,FALSE),0),""))</f>
        <v>200</v>
      </c>
      <c r="V3" s="66">
        <f>(IFERROR(ROUND(VLOOKUP(B3,'Arranjos Consolidados'!$E$3:$BM$303,27,FALSE),0),""))+(IFERROR(ROUND(VLOOKUP(B3,'Arranjos Consolidados'!$E$3:$BM$303,28,FALSE),0),""))</f>
        <v>0</v>
      </c>
      <c r="W3" s="66">
        <f>(IFERROR(ROUND(VLOOKUP(B3,'Arranjos Consolidados'!$E$3:$BM$303,29,FALSE),0),""))+(IFERROR(ROUND(VLOOKUP(B3,'Arranjos Consolidados'!$E$3:$BM$303,30,FALSE),0),""))</f>
        <v>0</v>
      </c>
      <c r="X3" s="66">
        <f>U3+V3+W3</f>
        <v>200</v>
      </c>
      <c r="Y3" s="68">
        <f>ROUND((N3+S3+X3)/M3*100,0)</f>
        <v>65</v>
      </c>
      <c r="Z3" s="67" t="str">
        <f>_xlfn.CONCAT("Modicidade Tarifaria (",N3,") + Ganhos Indiretos (",S3,") + Desoneração (",X3,")")</f>
        <v>Modicidade Tarifaria (377) + Ganhos Indiretos (352) + Desoneração (200)</v>
      </c>
      <c r="AA3" s="67" t="str">
        <f>_xlfn.CONCAT("TARIFA LÍQUIDA (",M3,")")</f>
        <v>TARIFA LÍQUIDA (1425)</v>
      </c>
      <c r="AB3" s="67" t="str">
        <f>_xlfn.CONCAT("EFICIÊNCIA VALORIZAÇÃO = ",Y3,"%")</f>
        <v>EFICIÊNCIA VALORIZAÇÃO = 65%</v>
      </c>
    </row>
    <row r="4" spans="1:28" x14ac:dyDescent="0.3">
      <c r="A4" s="67" t="str">
        <f>A3</f>
        <v>A1</v>
      </c>
      <c r="B4" s="67" t="str">
        <f t="shared" ref="B4:B10" si="0">_xlfn.CONCAT($A$2,A4)</f>
        <v>M1A1</v>
      </c>
      <c r="C4" s="67" t="s">
        <v>10499</v>
      </c>
      <c r="D4" s="67" t="str">
        <f t="shared" ref="D4:D10" si="1">_xlfn.CONCAT($D$1, " - ",B4)</f>
        <v>Esforço - M1A1</v>
      </c>
      <c r="E4" s="67">
        <v>0</v>
      </c>
      <c r="F4" s="67">
        <f>E3</f>
        <v>-1</v>
      </c>
      <c r="G4" s="67">
        <v>0</v>
      </c>
      <c r="H4" s="67">
        <f>G3-H3</f>
        <v>1802</v>
      </c>
      <c r="I4" s="67">
        <f>H4-I3</f>
        <v>1802</v>
      </c>
      <c r="J4" s="67">
        <f>I4-J3</f>
        <v>1802</v>
      </c>
      <c r="K4" s="67">
        <f>I4-K3</f>
        <v>1548</v>
      </c>
      <c r="L4" s="67">
        <f>K4-L3</f>
        <v>1425</v>
      </c>
      <c r="M4" s="67">
        <v>0</v>
      </c>
      <c r="N4" s="67" t="s">
        <v>9688</v>
      </c>
      <c r="O4" s="67" t="str">
        <f t="shared" ref="O4:O10" si="2">_xlfn.CONCAT($O$1," - ",B4)</f>
        <v>Ganhos Indiretos - M1A1</v>
      </c>
      <c r="P4" s="67">
        <v>0</v>
      </c>
      <c r="Q4" s="67">
        <f>P3+P4</f>
        <v>60</v>
      </c>
      <c r="R4" s="67">
        <f>Q3+Q4</f>
        <v>95</v>
      </c>
      <c r="S4" s="67">
        <v>0</v>
      </c>
      <c r="T4" s="67" t="str">
        <f t="shared" ref="T4:T10" si="3">_xlfn.CONCAT($T$1," - ",B4)</f>
        <v>Desoneração Gestão Pública - M1A1</v>
      </c>
      <c r="U4" s="66">
        <v>0</v>
      </c>
      <c r="V4" s="66">
        <f>U3+U4</f>
        <v>200</v>
      </c>
      <c r="W4" s="66">
        <f>V3+V4</f>
        <v>200</v>
      </c>
      <c r="X4" s="66">
        <v>0</v>
      </c>
      <c r="Y4" s="68" t="s">
        <v>9688</v>
      </c>
      <c r="Z4" s="67" t="s">
        <v>9688</v>
      </c>
      <c r="AA4" s="67" t="s">
        <v>9688</v>
      </c>
      <c r="AB4" s="67" t="s">
        <v>9688</v>
      </c>
    </row>
    <row r="5" spans="1:28" x14ac:dyDescent="0.3">
      <c r="A5" s="67" t="s">
        <v>10548</v>
      </c>
      <c r="B5" s="67" t="str">
        <f t="shared" si="0"/>
        <v>M1A2</v>
      </c>
      <c r="C5" s="67" t="s">
        <v>10498</v>
      </c>
      <c r="D5" s="67" t="str">
        <f t="shared" si="1"/>
        <v>Esforço - M1A2</v>
      </c>
      <c r="E5" s="67">
        <f>(IFERROR(ROUND(VLOOKUP(B5,'Arranjos Consolidados'!$E$3:$BM$303,25,FALSE),0),""))</f>
        <v>-4</v>
      </c>
      <c r="F5" s="67">
        <f>(IFERROR(ROUND(VLOOKUP(B5,'Arranjos Consolidados'!$E$3:$BM$303,23,FALSE),0),""))+(IFERROR(ROUND(VLOOKUP(B5,'Arranjos Consolidados'!$E$3:$BM$303,24,FALSE),0),""))</f>
        <v>951</v>
      </c>
      <c r="G5" s="67">
        <f>E5+F5</f>
        <v>947</v>
      </c>
      <c r="H5" s="67">
        <f>(IFERROR(ROUND(VLOOKUP(B5,'Arranjos Consolidados'!$E$3:$BM$303,33,FALSE),0),""))</f>
        <v>0</v>
      </c>
      <c r="I5" s="67">
        <f>(IFERROR(ROUND(VLOOKUP(B5,'Arranjos Consolidados'!$E$3:$BM$303,34,FALSE),0),""))</f>
        <v>0</v>
      </c>
      <c r="J5" s="67">
        <f>(IFERROR(ROUND(VLOOKUP(B5,'Arranjos Consolidados'!$E$3:$BM$303,35,FALSE),0),""))</f>
        <v>0</v>
      </c>
      <c r="K5" s="67">
        <f>(IFERROR(ROUND(VLOOKUP(B5,'Arranjos Consolidados'!$E$3:$BM$303,32,FALSE),0),""))</f>
        <v>254</v>
      </c>
      <c r="L5" s="67">
        <f>(IFERROR(ROUND(VLOOKUP(B5,'Arranjos Consolidados'!$E$3:$BM$303,31,FALSE),0),""))</f>
        <v>123</v>
      </c>
      <c r="M5" s="67">
        <f t="shared" ref="M5:M9" si="4">G5-H5-I5-J5-K5-L5</f>
        <v>570</v>
      </c>
      <c r="N5" s="67">
        <f>G5-M5</f>
        <v>377</v>
      </c>
      <c r="O5" s="67" t="str">
        <f t="shared" si="2"/>
        <v>Ganhos Indiretos - M1A2</v>
      </c>
      <c r="P5" s="67">
        <f>(IFERROR(ROUND(VLOOKUP(B5,'Arranjos Consolidados'!$E$3:$BM$303,44,FALSE),0),""))</f>
        <v>79</v>
      </c>
      <c r="Q5" s="67">
        <f>(IFERROR(ROUND(VLOOKUP(B5,'Arranjos Consolidados'!$E$3:$BM$303,48,FALSE),0),""))</f>
        <v>50</v>
      </c>
      <c r="R5" s="67">
        <f>(IFERROR(ROUND(VLOOKUP(B5,'Arranjos Consolidados'!$E$3:$BM$303,53,FALSE),0),""))</f>
        <v>136</v>
      </c>
      <c r="S5" s="67">
        <f>P5+Q5+R5</f>
        <v>265</v>
      </c>
      <c r="T5" s="67" t="str">
        <f t="shared" si="3"/>
        <v>Desoneração Gestão Pública - M1A2</v>
      </c>
      <c r="U5" s="66">
        <f>(IFERROR(ROUND(VLOOKUP(B5,'Arranjos Consolidados'!$E$3:$BM$303,4,FALSE),0),""))</f>
        <v>200</v>
      </c>
      <c r="V5" s="66">
        <f>(IFERROR(ROUND(VLOOKUP(B5,'Arranjos Consolidados'!$E$3:$BM$303,27,FALSE),0),""))+(IFERROR(ROUND(VLOOKUP(B5,'Arranjos Consolidados'!$E$3:$BM$303,28,FALSE),0),""))</f>
        <v>0</v>
      </c>
      <c r="W5" s="66">
        <f>(IFERROR(ROUND(VLOOKUP(B5,'Arranjos Consolidados'!$E$3:$BM$303,29,FALSE),0),""))+(IFERROR(ROUND(VLOOKUP(B5,'Arranjos Consolidados'!$E$3:$BM$303,30,FALSE),0),""))</f>
        <v>0</v>
      </c>
      <c r="X5" s="66">
        <f>U5+V5+W5</f>
        <v>200</v>
      </c>
      <c r="Y5" s="68">
        <f t="shared" ref="Y5:Y9" si="5">ROUND((N5+S5+X5)/M5*100,0)</f>
        <v>148</v>
      </c>
      <c r="Z5" s="67" t="str">
        <f t="shared" ref="Z5:Z9" si="6">_xlfn.CONCAT("Modicidade Tarifaria (",N5,") + Ganhos Indiretos (",S5,") + Desoneração (",X5,")")</f>
        <v>Modicidade Tarifaria (377) + Ganhos Indiretos (265) + Desoneração (200)</v>
      </c>
      <c r="AA5" s="67" t="str">
        <f>_xlfn.CONCAT("TARIFA LÍQUIDA (",M5,")")</f>
        <v>TARIFA LÍQUIDA (570)</v>
      </c>
      <c r="AB5" s="67" t="str">
        <f>_xlfn.CONCAT("EFICIÊNCIA VALORIZAÇÃO = ",Y5,"%")</f>
        <v>EFICIÊNCIA VALORIZAÇÃO = 148%</v>
      </c>
    </row>
    <row r="6" spans="1:28" x14ac:dyDescent="0.3">
      <c r="A6" s="67" t="str">
        <f>A5</f>
        <v>A2</v>
      </c>
      <c r="B6" s="67" t="str">
        <f t="shared" si="0"/>
        <v>M1A2</v>
      </c>
      <c r="C6" s="67" t="s">
        <v>10499</v>
      </c>
      <c r="D6" s="67" t="str">
        <f t="shared" si="1"/>
        <v>Esforço - M1A2</v>
      </c>
      <c r="E6" s="67">
        <v>0</v>
      </c>
      <c r="F6" s="67">
        <f>E5</f>
        <v>-4</v>
      </c>
      <c r="G6" s="67">
        <v>0</v>
      </c>
      <c r="H6" s="67">
        <f>G5-H5</f>
        <v>947</v>
      </c>
      <c r="I6" s="67">
        <f>H6-I5</f>
        <v>947</v>
      </c>
      <c r="J6" s="67">
        <f>I6-J5</f>
        <v>947</v>
      </c>
      <c r="K6" s="67">
        <f>I6-K5</f>
        <v>693</v>
      </c>
      <c r="L6" s="67">
        <f>K6-L5</f>
        <v>570</v>
      </c>
      <c r="M6" s="67">
        <v>0</v>
      </c>
      <c r="N6" s="67" t="s">
        <v>9688</v>
      </c>
      <c r="O6" s="67" t="str">
        <f t="shared" si="2"/>
        <v>Ganhos Indiretos - M1A2</v>
      </c>
      <c r="P6" s="67">
        <v>0</v>
      </c>
      <c r="Q6" s="67">
        <f>P5+P6</f>
        <v>79</v>
      </c>
      <c r="R6" s="67">
        <f>Q5+Q6</f>
        <v>129</v>
      </c>
      <c r="S6" s="67">
        <v>0</v>
      </c>
      <c r="T6" s="67" t="str">
        <f t="shared" si="3"/>
        <v>Desoneração Gestão Pública - M1A2</v>
      </c>
      <c r="U6" s="66">
        <v>0</v>
      </c>
      <c r="V6" s="66">
        <f>U5+U6</f>
        <v>200</v>
      </c>
      <c r="W6" s="66">
        <f>V5+V6</f>
        <v>200</v>
      </c>
      <c r="X6" s="66">
        <v>0</v>
      </c>
      <c r="Y6" s="68" t="s">
        <v>9688</v>
      </c>
      <c r="Z6" s="67" t="s">
        <v>9688</v>
      </c>
      <c r="AA6" s="67" t="s">
        <v>9688</v>
      </c>
      <c r="AB6" s="67" t="s">
        <v>9688</v>
      </c>
    </row>
    <row r="7" spans="1:28" x14ac:dyDescent="0.3">
      <c r="A7" s="67" t="s">
        <v>10437</v>
      </c>
      <c r="B7" s="67" t="str">
        <f t="shared" si="0"/>
        <v>M1A3</v>
      </c>
      <c r="C7" s="67" t="s">
        <v>10498</v>
      </c>
      <c r="D7" s="67" t="str">
        <f t="shared" si="1"/>
        <v>Esforço - M1A3</v>
      </c>
      <c r="E7" s="67">
        <f>(IFERROR(ROUND(VLOOKUP(B7,'Arranjos Consolidados'!$E$3:$BM$303,25,FALSE),0),""))</f>
        <v>-4</v>
      </c>
      <c r="F7" s="67">
        <f>(IFERROR(ROUND(VLOOKUP(B7,'Arranjos Consolidados'!$E$3:$BM$303,23,FALSE),0),""))+(IFERROR(ROUND(VLOOKUP(B7,'Arranjos Consolidados'!$E$3:$BM$303,24,FALSE),0),""))</f>
        <v>988</v>
      </c>
      <c r="G7" s="67">
        <f>E7+F7</f>
        <v>984</v>
      </c>
      <c r="H7" s="67">
        <f>(IFERROR(ROUND(VLOOKUP(B7,'Arranjos Consolidados'!$E$3:$BM$303,33,FALSE),0),""))</f>
        <v>0</v>
      </c>
      <c r="I7" s="67">
        <f>(IFERROR(ROUND(VLOOKUP(B7,'Arranjos Consolidados'!$E$3:$BM$303,34,FALSE),0),""))</f>
        <v>0</v>
      </c>
      <c r="J7" s="67">
        <f>(IFERROR(ROUND(VLOOKUP(B7,'Arranjos Consolidados'!$E$3:$BM$303,35,FALSE),0),""))</f>
        <v>0</v>
      </c>
      <c r="K7" s="67">
        <f>(IFERROR(ROUND(VLOOKUP(B7,'Arranjos Consolidados'!$E$3:$BM$303,32,FALSE),0),""))</f>
        <v>254</v>
      </c>
      <c r="L7" s="67">
        <f>(IFERROR(ROUND(VLOOKUP(B7,'Arranjos Consolidados'!$E$3:$BM$303,31,FALSE),0),""))</f>
        <v>123</v>
      </c>
      <c r="M7" s="67">
        <f t="shared" si="4"/>
        <v>607</v>
      </c>
      <c r="N7" s="67">
        <f>G7-M7</f>
        <v>377</v>
      </c>
      <c r="O7" s="67" t="str">
        <f t="shared" si="2"/>
        <v>Ganhos Indiretos - M1A3</v>
      </c>
      <c r="P7" s="67">
        <f>(IFERROR(ROUND(VLOOKUP(B7,'Arranjos Consolidados'!$E$3:$BM$303,44,FALSE),0),""))</f>
        <v>80</v>
      </c>
      <c r="Q7" s="67">
        <f>(IFERROR(ROUND(VLOOKUP(B7,'Arranjos Consolidados'!$E$3:$BM$303,48,FALSE),0),""))</f>
        <v>50</v>
      </c>
      <c r="R7" s="67">
        <f>(IFERROR(ROUND(VLOOKUP(B7,'Arranjos Consolidados'!$E$3:$BM$303,53,FALSE),0),""))</f>
        <v>141</v>
      </c>
      <c r="S7" s="67">
        <f>P7+Q7+R7</f>
        <v>271</v>
      </c>
      <c r="T7" s="67" t="str">
        <f t="shared" si="3"/>
        <v>Desoneração Gestão Pública - M1A3</v>
      </c>
      <c r="U7" s="66">
        <f>(IFERROR(ROUND(VLOOKUP(B7,'Arranjos Consolidados'!$E$3:$BM$303,4,FALSE),0),""))</f>
        <v>200</v>
      </c>
      <c r="V7" s="66">
        <f>(IFERROR(ROUND(VLOOKUP(B7,'Arranjos Consolidados'!$E$3:$BM$303,27,FALSE),0),""))+(IFERROR(ROUND(VLOOKUP(B7,'Arranjos Consolidados'!$E$3:$BM$303,28,FALSE),0),""))</f>
        <v>0</v>
      </c>
      <c r="W7" s="66">
        <f>(IFERROR(ROUND(VLOOKUP(B7,'Arranjos Consolidados'!$E$3:$BM$303,29,FALSE),0),""))+(IFERROR(ROUND(VLOOKUP(B7,'Arranjos Consolidados'!$E$3:$BM$303,30,FALSE),0),""))</f>
        <v>0</v>
      </c>
      <c r="X7" s="66">
        <f>U7+V7+W7</f>
        <v>200</v>
      </c>
      <c r="Y7" s="68">
        <f t="shared" si="5"/>
        <v>140</v>
      </c>
      <c r="Z7" s="67" t="str">
        <f t="shared" si="6"/>
        <v>Modicidade Tarifaria (377) + Ganhos Indiretos (271) + Desoneração (200)</v>
      </c>
      <c r="AA7" s="67" t="str">
        <f>_xlfn.CONCAT("TARIFA LÍQUIDA (",M7,")")</f>
        <v>TARIFA LÍQUIDA (607)</v>
      </c>
      <c r="AB7" s="67" t="str">
        <f>_xlfn.CONCAT("EFICIÊNCIA VALORIZAÇÃO = ",Y7,"%")</f>
        <v>EFICIÊNCIA VALORIZAÇÃO = 140%</v>
      </c>
    </row>
    <row r="8" spans="1:28" x14ac:dyDescent="0.3">
      <c r="A8" s="67" t="str">
        <f>A7</f>
        <v>A3</v>
      </c>
      <c r="B8" s="67" t="str">
        <f t="shared" si="0"/>
        <v>M1A3</v>
      </c>
      <c r="C8" s="67" t="s">
        <v>10499</v>
      </c>
      <c r="D8" s="67" t="str">
        <f t="shared" si="1"/>
        <v>Esforço - M1A3</v>
      </c>
      <c r="E8" s="67">
        <v>0</v>
      </c>
      <c r="F8" s="67">
        <f>E7</f>
        <v>-4</v>
      </c>
      <c r="G8" s="67">
        <v>0</v>
      </c>
      <c r="H8" s="67">
        <f>G7-H7</f>
        <v>984</v>
      </c>
      <c r="I8" s="67">
        <f>H8-I7</f>
        <v>984</v>
      </c>
      <c r="J8" s="67">
        <f>I8-J7</f>
        <v>984</v>
      </c>
      <c r="K8" s="67">
        <f>I8-K7</f>
        <v>730</v>
      </c>
      <c r="L8" s="67">
        <f>K8-L7</f>
        <v>607</v>
      </c>
      <c r="M8" s="67">
        <v>0</v>
      </c>
      <c r="N8" s="67" t="s">
        <v>9688</v>
      </c>
      <c r="O8" s="67" t="str">
        <f t="shared" si="2"/>
        <v>Ganhos Indiretos - M1A3</v>
      </c>
      <c r="P8" s="67">
        <v>0</v>
      </c>
      <c r="Q8" s="67">
        <f>P7+P8</f>
        <v>80</v>
      </c>
      <c r="R8" s="67">
        <f>Q7+Q8</f>
        <v>130</v>
      </c>
      <c r="S8" s="67">
        <v>0</v>
      </c>
      <c r="T8" s="67" t="str">
        <f t="shared" si="3"/>
        <v>Desoneração Gestão Pública - M1A3</v>
      </c>
      <c r="U8" s="66">
        <v>0</v>
      </c>
      <c r="V8" s="66">
        <f>U7+U8</f>
        <v>200</v>
      </c>
      <c r="W8" s="66">
        <f>V7+V8</f>
        <v>200</v>
      </c>
      <c r="X8" s="66">
        <v>0</v>
      </c>
      <c r="Y8" s="68" t="s">
        <v>9688</v>
      </c>
      <c r="Z8" s="67" t="s">
        <v>9688</v>
      </c>
      <c r="AA8" s="67" t="s">
        <v>9688</v>
      </c>
      <c r="AB8" s="67" t="s">
        <v>9688</v>
      </c>
    </row>
    <row r="9" spans="1:28" x14ac:dyDescent="0.3">
      <c r="A9" s="67" t="s">
        <v>10301</v>
      </c>
      <c r="B9" s="67" t="str">
        <f t="shared" si="0"/>
        <v>M1A4</v>
      </c>
      <c r="C9" s="67" t="s">
        <v>10498</v>
      </c>
      <c r="D9" s="67" t="str">
        <f t="shared" si="1"/>
        <v>Esforço - M1A4</v>
      </c>
      <c r="E9" s="67">
        <f>(IFERROR(ROUND(VLOOKUP(B9,'Arranjos Consolidados'!$E$3:$BM$303,25,FALSE),0),""))</f>
        <v>-2</v>
      </c>
      <c r="F9" s="67">
        <f>(IFERROR(ROUND(VLOOKUP(B9,'Arranjos Consolidados'!$E$3:$BM$303,23,FALSE),0),""))+(IFERROR(ROUND(VLOOKUP(B9,'Arranjos Consolidados'!$E$3:$BM$303,24,FALSE),0),""))</f>
        <v>1042</v>
      </c>
      <c r="G9" s="67">
        <f>E9+F9</f>
        <v>1040</v>
      </c>
      <c r="H9" s="67">
        <f>(IFERROR(ROUND(VLOOKUP(B9,'Arranjos Consolidados'!$E$3:$BM$303,33,FALSE),0),""))</f>
        <v>0</v>
      </c>
      <c r="I9" s="67">
        <f>(IFERROR(ROUND(VLOOKUP(B9,'Arranjos Consolidados'!$E$3:$BM$303,34,FALSE),0),""))</f>
        <v>0</v>
      </c>
      <c r="J9" s="67">
        <f>(IFERROR(ROUND(VLOOKUP(B9,'Arranjos Consolidados'!$E$3:$BM$303,35,FALSE),0),""))</f>
        <v>0</v>
      </c>
      <c r="K9" s="67">
        <f>(IFERROR(ROUND(VLOOKUP(B9,'Arranjos Consolidados'!$E$3:$BM$303,32,FALSE),0),""))</f>
        <v>254</v>
      </c>
      <c r="L9" s="67">
        <f>(IFERROR(ROUND(VLOOKUP(B9,'Arranjos Consolidados'!$E$3:$BM$303,31,FALSE),0),""))</f>
        <v>123</v>
      </c>
      <c r="M9" s="67">
        <f t="shared" si="4"/>
        <v>663</v>
      </c>
      <c r="N9" s="67">
        <f>G9-M9</f>
        <v>377</v>
      </c>
      <c r="O9" s="67" t="str">
        <f t="shared" si="2"/>
        <v>Ganhos Indiretos - M1A4</v>
      </c>
      <c r="P9" s="67">
        <f>(IFERROR(ROUND(VLOOKUP(B9,'Arranjos Consolidados'!$E$3:$BM$303,44,FALSE),0),""))</f>
        <v>73</v>
      </c>
      <c r="Q9" s="67">
        <f>(IFERROR(ROUND(VLOOKUP(B9,'Arranjos Consolidados'!$E$3:$BM$303,48,FALSE),0),""))</f>
        <v>41</v>
      </c>
      <c r="R9" s="67">
        <f>(IFERROR(ROUND(VLOOKUP(B9,'Arranjos Consolidados'!$E$3:$BM$303,53,FALSE),0),""))</f>
        <v>148</v>
      </c>
      <c r="S9" s="67">
        <f>P9+Q9+R9</f>
        <v>262</v>
      </c>
      <c r="T9" s="67" t="str">
        <f t="shared" si="3"/>
        <v>Desoneração Gestão Pública - M1A4</v>
      </c>
      <c r="U9" s="66">
        <f>(IFERROR(ROUND(VLOOKUP(B9,'Arranjos Consolidados'!$E$3:$BM$303,4,FALSE),0),""))</f>
        <v>200</v>
      </c>
      <c r="V9" s="66">
        <f>(IFERROR(ROUND(VLOOKUP(B9,'Arranjos Consolidados'!$E$3:$BM$303,27,FALSE),0),""))+(IFERROR(ROUND(VLOOKUP(B9,'Arranjos Consolidados'!$E$3:$BM$303,28,FALSE),0),""))</f>
        <v>0</v>
      </c>
      <c r="W9" s="66">
        <f>(IFERROR(ROUND(VLOOKUP(B9,'Arranjos Consolidados'!$E$3:$BM$303,29,FALSE),0),""))+(IFERROR(ROUND(VLOOKUP(B9,'Arranjos Consolidados'!$E$3:$BM$303,30,FALSE),0),""))</f>
        <v>0</v>
      </c>
      <c r="X9" s="66">
        <f>U9+V9+W9</f>
        <v>200</v>
      </c>
      <c r="Y9" s="68">
        <f t="shared" si="5"/>
        <v>127</v>
      </c>
      <c r="Z9" s="67" t="str">
        <f t="shared" si="6"/>
        <v>Modicidade Tarifaria (377) + Ganhos Indiretos (262) + Desoneração (200)</v>
      </c>
      <c r="AA9" s="67" t="str">
        <f>_xlfn.CONCAT("TARIFA LÍQUIDA (",M9,")")</f>
        <v>TARIFA LÍQUIDA (663)</v>
      </c>
      <c r="AB9" s="67" t="str">
        <f>_xlfn.CONCAT("EFICIÊNCIA VALORIZAÇÃO = ",Y9,"%")</f>
        <v>EFICIÊNCIA VALORIZAÇÃO = 127%</v>
      </c>
    </row>
    <row r="10" spans="1:28" x14ac:dyDescent="0.3">
      <c r="A10" s="67" t="str">
        <f>A9</f>
        <v>A4</v>
      </c>
      <c r="B10" s="67" t="str">
        <f t="shared" si="0"/>
        <v>M1A4</v>
      </c>
      <c r="C10" s="67" t="s">
        <v>10499</v>
      </c>
      <c r="D10" s="67" t="str">
        <f t="shared" si="1"/>
        <v>Esforço - M1A4</v>
      </c>
      <c r="E10" s="67">
        <v>0</v>
      </c>
      <c r="F10" s="67">
        <f>E9</f>
        <v>-2</v>
      </c>
      <c r="G10" s="67">
        <v>0</v>
      </c>
      <c r="H10" s="67">
        <f>G9-H9</f>
        <v>1040</v>
      </c>
      <c r="I10" s="67">
        <f>H10-I9</f>
        <v>1040</v>
      </c>
      <c r="J10" s="67">
        <f>I10-J9</f>
        <v>1040</v>
      </c>
      <c r="K10" s="67">
        <f>I10-K9</f>
        <v>786</v>
      </c>
      <c r="L10" s="67">
        <f>K10-L9</f>
        <v>663</v>
      </c>
      <c r="M10" s="67">
        <v>0</v>
      </c>
      <c r="N10" s="67" t="s">
        <v>9688</v>
      </c>
      <c r="O10" s="67" t="str">
        <f t="shared" si="2"/>
        <v>Ganhos Indiretos - M1A4</v>
      </c>
      <c r="P10" s="67">
        <v>0</v>
      </c>
      <c r="Q10" s="67">
        <f>P9+P10</f>
        <v>73</v>
      </c>
      <c r="R10" s="67">
        <f>Q9+Q10</f>
        <v>114</v>
      </c>
      <c r="S10" s="67">
        <v>0</v>
      </c>
      <c r="T10" s="67" t="str">
        <f t="shared" si="3"/>
        <v>Desoneração Gestão Pública - M1A4</v>
      </c>
      <c r="U10" s="66">
        <v>0</v>
      </c>
      <c r="V10" s="66">
        <f>U9+U10</f>
        <v>200</v>
      </c>
      <c r="W10" s="66">
        <f>V9+V10</f>
        <v>200</v>
      </c>
      <c r="X10" s="66">
        <v>0</v>
      </c>
      <c r="Y10" s="68" t="s">
        <v>9688</v>
      </c>
      <c r="Z10" s="67" t="s">
        <v>9688</v>
      </c>
      <c r="AA10" s="66" t="s">
        <v>9688</v>
      </c>
      <c r="AB10" s="66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4.4" x14ac:dyDescent="0.3"/>
  <cols>
    <col min="1" max="21" width="9.109375" customWidth="1"/>
  </cols>
  <sheetData>
    <row r="11" spans="6:21" x14ac:dyDescent="0.3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6" x14ac:dyDescent="0.3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3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3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6" x14ac:dyDescent="0.3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3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3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6" x14ac:dyDescent="0.3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3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3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6" x14ac:dyDescent="0.3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3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3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3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3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3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6" x14ac:dyDescent="0.3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3"/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3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5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6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2024-04-28T16:48:03Z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