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Caso Piloto - CIRSOP\Mercado 1\"/>
    </mc:Choice>
  </mc:AlternateContent>
  <xr:revisionPtr revIDLastSave="0" documentId="13_ncr:1_{EABF941B-1B99-4D38-B5F0-103021828969}" xr6:coauthVersionLast="47" xr6:coauthVersionMax="47" xr10:uidLastSave="{00000000-0000-0000-0000-000000000000}"/>
  <bookViews>
    <workbookView xWindow="-108" yWindow="-108" windowWidth="23256" windowHeight="12456" tabRatio="882" firstSheet="6"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6" i="19" l="1"/>
  <c r="Q16" i="19"/>
  <c r="M16" i="19"/>
  <c r="I16" i="19"/>
  <c r="E16" i="19"/>
  <c r="T15" i="19"/>
  <c r="P15" i="19"/>
  <c r="L15" i="19"/>
  <c r="H15" i="19"/>
  <c r="D15" i="19"/>
  <c r="U42" i="14"/>
  <c r="Q42" i="14"/>
  <c r="M42" i="14"/>
  <c r="I42" i="14"/>
  <c r="E42" i="14"/>
  <c r="U16" i="14"/>
  <c r="Q16" i="14"/>
  <c r="M16" i="14"/>
  <c r="I16" i="14"/>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E16"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<sst xmlns="http://schemas.openxmlformats.org/spreadsheetml/2006/main" count="2679" uniqueCount="1124">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</sst>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9" fontId="154" fillId="64" borderId="0" xfId="1" applyFont="1" applyFill="1" applyAlignment="1">
      <alignment horizontal="center" vertical="center"/>
    </xf>
    <xf numFmtId="9" fontId="51" fillId="64" borderId="0" xfId="1" applyFont="1" applyFill="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537.85074868029085</c:v>
                </c:pt>
                <c:pt idx="3">
                  <c:v>0</c:v>
                </c:pt>
                <c:pt idx="4">
                  <c:v>0</c:v>
                </c:pt>
                <c:pt idx="5">
                  <c:v>0</c:v>
                </c:pt>
                <c:pt idx="6">
                  <c:v>0</c:v>
                </c:pt>
                <c:pt idx="7">
                  <c:v>1343.0039850581582</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4289.0590054504992</c:v>
                </c:pt>
                <c:pt idx="3">
                  <c:v>0</c:v>
                </c:pt>
                <c:pt idx="4">
                  <c:v>0</c:v>
                </c:pt>
                <c:pt idx="5">
                  <c:v>0</c:v>
                </c:pt>
                <c:pt idx="6">
                  <c:v>0</c:v>
                </c:pt>
                <c:pt idx="7">
                  <c:v>1352.1929105794002</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638.62628641765048</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642.99581133871402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3.6378296661384839</c:v>
                </c:pt>
                <c:pt idx="1">
                  <c:v>-0.80957597934246461</c:v>
                </c:pt>
                <c:pt idx="2">
                  <c:v>-1.03420768201014</c:v>
                </c:pt>
                <c:pt idx="3">
                  <c:v>4.5046555079481569</c:v>
                </c:pt>
                <c:pt idx="4">
                  <c:v>10.130209023506074</c:v>
                </c:pt>
                <c:pt idx="5">
                  <c:v>15.842860309193926</c:v>
                </c:pt>
                <c:pt idx="6">
                  <c:v>21.643018724531323</c:v>
                </c:pt>
                <c:pt idx="7">
                  <c:v>27.531095553027619</c:v>
                </c:pt>
                <c:pt idx="8">
                  <c:v>33.507504011224661</c:v>
                </c:pt>
                <c:pt idx="9">
                  <c:v>39.572659257782043</c:v>
                </c:pt>
                <c:pt idx="10">
                  <c:v>45.726978402605056</c:v>
                </c:pt>
                <c:pt idx="11">
                  <c:v>51.970880516015555</c:v>
                </c:pt>
                <c:pt idx="12">
                  <c:v>58.304786637965897</c:v>
                </c:pt>
                <c:pt idx="13">
                  <c:v>64.729119787296213</c:v>
                </c:pt>
                <c:pt idx="14">
                  <c:v>71.244304971035191</c:v>
                </c:pt>
                <c:pt idx="15">
                  <c:v>77.850769193744568</c:v>
                </c:pt>
                <c:pt idx="16">
                  <c:v>84.548941466907493</c:v>
                </c:pt>
                <c:pt idx="17">
                  <c:v>91.339252818361089</c:v>
                </c:pt>
                <c:pt idx="18">
                  <c:v>98.222136301773332</c:v>
                </c:pt>
                <c:pt idx="19">
                  <c:v>105.19802700616442</c:v>
                </c:pt>
                <c:pt idx="20">
                  <c:v>112.26736206547297</c:v>
                </c:pt>
                <c:pt idx="21">
                  <c:v>119.43058066816708</c:v>
                </c:pt>
                <c:pt idx="22">
                  <c:v>126.68812406690067</c:v>
                </c:pt>
                <c:pt idx="23">
                  <c:v>134.0404355882151</c:v>
                </c:pt>
                <c:pt idx="24">
                  <c:v>141.48796064228654</c:v>
                </c:pt>
                <c:pt idx="25">
                  <c:v>149.03114673271892</c:v>
                </c:pt>
                <c:pt idx="26">
                  <c:v>156.67044346638315</c:v>
                </c:pt>
                <c:pt idx="27">
                  <c:v>164.4063025633024</c:v>
                </c:pt>
                <c:pt idx="28">
                  <c:v>172.23917786658401</c:v>
                </c:pt>
                <c:pt idx="29">
                  <c:v>180.16952535239784</c:v>
                </c:pt>
                <c:pt idx="30">
                  <c:v>188.19780314000181</c:v>
                </c:pt>
                <c:pt idx="31">
                  <c:v>196.32447150181434</c:v>
                </c:pt>
                <c:pt idx="32">
                  <c:v>204.54999287353419</c:v>
                </c:pt>
                <c:pt idx="33">
                  <c:v>212.87483186430794</c:v>
                </c:pt>
                <c:pt idx="34">
                  <c:v>221.29945526694513</c:v>
                </c:pt>
                <c:pt idx="35">
                  <c:v>229.82433206818155</c:v>
                </c:pt>
                <c:pt idx="36">
                  <c:v>238.44993345899059</c:v>
                </c:pt>
                <c:pt idx="37">
                  <c:v>247.17673284494322</c:v>
                </c:pt>
                <c:pt idx="38">
                  <c:v>256.00520585661667</c:v>
                </c:pt>
                <c:pt idx="39">
                  <c:v>264.9358303600518</c:v>
                </c:pt>
                <c:pt idx="40">
                  <c:v>273.96908646725984</c:v>
                </c:pt>
                <c:pt idx="41">
                  <c:v>283.10545654677861</c:v>
                </c:pt>
                <c:pt idx="42">
                  <c:v>292.34542523427791</c:v>
                </c:pt>
                <c:pt idx="43">
                  <c:v>301.6894794432153</c:v>
                </c:pt>
                <c:pt idx="44">
                  <c:v>311.13810837554149</c:v>
                </c:pt>
                <c:pt idx="45">
                  <c:v>320.69180353245645</c:v>
                </c:pt>
                <c:pt idx="46">
                  <c:v>330.35105872521569</c:v>
                </c:pt>
                <c:pt idx="47">
                  <c:v>340.11637008598774</c:v>
                </c:pt>
                <c:pt idx="48">
                  <c:v>349.98823607876221</c:v>
                </c:pt>
                <c:pt idx="49">
                  <c:v>359.96715751030956</c:v>
                </c:pt>
                <c:pt idx="50">
                  <c:v>370.05363754119196</c:v>
                </c:pt>
                <c:pt idx="51">
                  <c:v>380.24818169682635</c:v>
                </c:pt>
                <c:pt idx="52">
                  <c:v>390.55129787859903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20.726795600680983</c:v>
                </c:pt>
                <c:pt idx="1">
                  <c:v>39.742339940747343</c:v>
                </c:pt>
                <c:pt idx="2">
                  <c:v>59.192429499827867</c:v>
                </c:pt>
                <c:pt idx="3">
                  <c:v>60.992981286979322</c:v>
                </c:pt>
                <c:pt idx="4">
                  <c:v>63.034744718160276</c:v>
                </c:pt>
                <c:pt idx="5">
                  <c:v>65.318180981705112</c:v>
                </c:pt>
                <c:pt idx="6">
                  <c:v>67.843753433533365</c:v>
                </c:pt>
                <c:pt idx="7">
                  <c:v>70.611927607337435</c:v>
                </c:pt>
                <c:pt idx="8">
                  <c:v>73.623171224818037</c:v>
                </c:pt>
                <c:pt idx="9">
                  <c:v>76.87795420596791</c:v>
                </c:pt>
                <c:pt idx="10">
                  <c:v>80.376748679403732</c:v>
                </c:pt>
                <c:pt idx="11">
                  <c:v>84.120028992746697</c:v>
                </c:pt>
                <c:pt idx="12">
                  <c:v>88.108271723051814</c:v>
                </c:pt>
                <c:pt idx="13">
                  <c:v>92.341955687286244</c:v>
                </c:pt>
                <c:pt idx="14">
                  <c:v>96.821561952856911</c:v>
                </c:pt>
                <c:pt idx="15">
                  <c:v>101.54757384818753</c:v>
                </c:pt>
                <c:pt idx="16">
                  <c:v>106.52047697334541</c:v>
                </c:pt>
                <c:pt idx="17">
                  <c:v>111.74075921071821</c:v>
                </c:pt>
                <c:pt idx="18">
                  <c:v>117.20891073574076</c:v>
                </c:pt>
                <c:pt idx="19">
                  <c:v>122.92542402767245</c:v>
                </c:pt>
                <c:pt idx="20">
                  <c:v>128.89079388042521</c:v>
                </c:pt>
                <c:pt idx="21">
                  <c:v>135.10551741344236</c:v>
                </c:pt>
                <c:pt idx="22">
                  <c:v>141.57009408262857</c:v>
                </c:pt>
                <c:pt idx="23">
                  <c:v>151.14675502135503</c:v>
                </c:pt>
                <c:pt idx="24">
                  <c:v>160.83118859491998</c:v>
                </c:pt>
                <c:pt idx="25">
                  <c:v>170.62390133470714</c:v>
                </c:pt>
                <c:pt idx="26">
                  <c:v>180.52540215279777</c:v>
                </c:pt>
                <c:pt idx="27">
                  <c:v>190.53620235315992</c:v>
                </c:pt>
                <c:pt idx="28">
                  <c:v>200.65681564289022</c:v>
                </c:pt>
                <c:pt idx="29">
                  <c:v>210.88775814350873</c:v>
                </c:pt>
                <c:pt idx="30">
                  <c:v>221.22954840230662</c:v>
                </c:pt>
                <c:pt idx="31">
                  <c:v>231.68270740374734</c:v>
                </c:pt>
                <c:pt idx="32">
                  <c:v>242.2477585809213</c:v>
                </c:pt>
                <c:pt idx="33">
                  <c:v>252.92522782705444</c:v>
                </c:pt>
                <c:pt idx="34">
                  <c:v>263.71564350707087</c:v>
                </c:pt>
                <c:pt idx="35">
                  <c:v>274.61953646920983</c:v>
                </c:pt>
                <c:pt idx="36">
                  <c:v>285.63744005669736</c:v>
                </c:pt>
                <c:pt idx="37">
                  <c:v>296.76989011947256</c:v>
                </c:pt>
                <c:pt idx="38">
                  <c:v>308.01742502596926</c:v>
                </c:pt>
                <c:pt idx="39">
                  <c:v>319.38058567495295</c:v>
                </c:pt>
                <c:pt idx="40">
                  <c:v>330.85991550741335</c:v>
                </c:pt>
                <c:pt idx="41">
                  <c:v>342.45596051851277</c:v>
                </c:pt>
                <c:pt idx="42">
                  <c:v>354.16926926959087</c:v>
                </c:pt>
                <c:pt idx="43">
                  <c:v>366.00039290022551</c:v>
                </c:pt>
                <c:pt idx="44">
                  <c:v>377.9498851403506</c:v>
                </c:pt>
                <c:pt idx="45">
                  <c:v>390.01830232243071</c:v>
                </c:pt>
                <c:pt idx="46">
                  <c:v>402.2062033936931</c:v>
                </c:pt>
                <c:pt idx="47">
                  <c:v>414.51414992841688</c:v>
                </c:pt>
                <c:pt idx="48">
                  <c:v>426.94270614028034</c:v>
                </c:pt>
                <c:pt idx="49">
                  <c:v>439.49243889476605</c:v>
                </c:pt>
                <c:pt idx="50">
                  <c:v>452.16391772162433</c:v>
                </c:pt>
                <c:pt idx="51">
                  <c:v>464.95771482739531</c:v>
                </c:pt>
                <c:pt idx="52">
                  <c:v>477.87440510798984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3.9921542756203721</c:v>
                </c:pt>
                <c:pt idx="1">
                  <c:v>-0.88842867973042061</c:v>
                </c:pt>
                <c:pt idx="2">
                  <c:v>-1.1349395102379276</c:v>
                </c:pt>
                <c:pt idx="3">
                  <c:v>4.9434089544223072</c:v>
                </c:pt>
                <c:pt idx="4">
                  <c:v>11.116891382395565</c:v>
                </c:pt>
                <c:pt idx="5">
                  <c:v>17.385954903309411</c:v>
                </c:pt>
                <c:pt idx="6">
                  <c:v>23.751048748300672</c:v>
                </c:pt>
                <c:pt idx="7">
                  <c:v>30.212624259892507</c:v>
                </c:pt>
                <c:pt idx="8">
                  <c:v>36.771134901917939</c:v>
                </c:pt>
                <c:pt idx="9">
                  <c:v>43.42703626949001</c:v>
                </c:pt>
                <c:pt idx="10">
                  <c:v>50.180786099018789</c:v>
                </c:pt>
                <c:pt idx="11">
                  <c:v>57.032844278275469</c:v>
                </c:pt>
                <c:pt idx="12">
                  <c:v>63.983672856503773</c:v>
                </c:pt>
                <c:pt idx="13">
                  <c:v>71.033736054578867</c:v>
                </c:pt>
                <c:pt idx="14">
                  <c:v>78.18350027521403</c:v>
                </c:pt>
                <c:pt idx="15">
                  <c:v>85.433434113215299</c:v>
                </c:pt>
                <c:pt idx="16">
                  <c:v>92.784008365784288</c:v>
                </c:pt>
                <c:pt idx="17">
                  <c:v>100.23569604286946</c:v>
                </c:pt>
                <c:pt idx="18">
                  <c:v>107.78897237756605</c:v>
                </c:pt>
                <c:pt idx="19">
                  <c:v>115.44431483656484</c:v>
                </c:pt>
                <c:pt idx="20">
                  <c:v>123.20220313065005</c:v>
                </c:pt>
                <c:pt idx="21">
                  <c:v>131.06311922524657</c:v>
                </c:pt>
                <c:pt idx="22">
                  <c:v>139.02754735101681</c:v>
                </c:pt>
                <c:pt idx="23">
                  <c:v>147.09597401450728</c:v>
                </c:pt>
                <c:pt idx="24">
                  <c:v>155.26888800884527</c:v>
                </c:pt>
                <c:pt idx="25">
                  <c:v>163.54678042448577</c:v>
                </c:pt>
                <c:pt idx="26">
                  <c:v>171.93014466000889</c:v>
                </c:pt>
                <c:pt idx="27">
                  <c:v>180.41947643296808</c:v>
                </c:pt>
                <c:pt idx="28">
                  <c:v>189.01527379078931</c:v>
                </c:pt>
                <c:pt idx="29">
                  <c:v>197.71803712172141</c:v>
                </c:pt>
                <c:pt idx="30">
                  <c:v>206.528269165838</c:v>
                </c:pt>
                <c:pt idx="31">
                  <c:v>215.44647502609106</c:v>
                </c:pt>
                <c:pt idx="32">
                  <c:v>224.47316217941645</c:v>
                </c:pt>
                <c:pt idx="33">
                  <c:v>233.60884048789157</c:v>
                </c:pt>
                <c:pt idx="34">
                  <c:v>242.85402220994564</c:v>
                </c:pt>
                <c:pt idx="35">
                  <c:v>252.20922201162247</c:v>
                </c:pt>
                <c:pt idx="36">
                  <c:v>261.67495697789627</c:v>
                </c:pt>
                <c:pt idx="37">
                  <c:v>271.25174662404072</c:v>
                </c:pt>
                <c:pt idx="38">
                  <c:v>280.94011290705117</c:v>
                </c:pt>
                <c:pt idx="39">
                  <c:v>290.74058023712087</c:v>
                </c:pt>
                <c:pt idx="40">
                  <c:v>300.65367548917101</c:v>
                </c:pt>
                <c:pt idx="41">
                  <c:v>310.67992801443489</c:v>
                </c:pt>
                <c:pt idx="42">
                  <c:v>320.81986965209666</c:v>
                </c:pt>
                <c:pt idx="43">
                  <c:v>331.07403474098453</c:v>
                </c:pt>
                <c:pt idx="44">
                  <c:v>341.4429601313193</c:v>
                </c:pt>
                <c:pt idx="45">
                  <c:v>351.92718519651777</c:v>
                </c:pt>
                <c:pt idx="46">
                  <c:v>362.52725184505181</c:v>
                </c:pt>
                <c:pt idx="47">
                  <c:v>373.24370453236304</c:v>
                </c:pt>
                <c:pt idx="48">
                  <c:v>384.07709027283374</c:v>
                </c:pt>
                <c:pt idx="49">
                  <c:v>395.02795865181378</c:v>
                </c:pt>
                <c:pt idx="50">
                  <c:v>406.09686183770413</c:v>
                </c:pt>
                <c:pt idx="51">
                  <c:v>417.28435459409729</c:v>
                </c:pt>
                <c:pt idx="52">
                  <c:v>428.59099429197465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21.98283941408225</c:v>
                </c:pt>
                <c:pt idx="1">
                  <c:v>42.150725741156627</c:v>
                </c:pt>
                <c:pt idx="2">
                  <c:v>62.779490727517427</c:v>
                </c:pt>
                <c:pt idx="3">
                  <c:v>64.689155952970253</c:v>
                </c:pt>
                <c:pt idx="4">
                  <c:v>66.854650248080773</c:v>
                </c:pt>
                <c:pt idx="5">
                  <c:v>69.276462749196412</c:v>
                </c:pt>
                <c:pt idx="6">
                  <c:v>71.955084891605466</c:v>
                </c:pt>
                <c:pt idx="7">
                  <c:v>74.891010420342056</c:v>
                </c:pt>
                <c:pt idx="8">
                  <c:v>78.084735401041982</c:v>
                </c:pt>
                <c:pt idx="9">
                  <c:v>81.536758230849543</c:v>
                </c:pt>
                <c:pt idx="10">
                  <c:v>85.247579649375581</c:v>
                </c:pt>
                <c:pt idx="11">
                  <c:v>89.217702749707129</c:v>
                </c:pt>
                <c:pt idx="12">
                  <c:v>93.447632989468744</c:v>
                </c:pt>
                <c:pt idx="13">
                  <c:v>97.937878201935789</c:v>
                </c:pt>
                <c:pt idx="14">
                  <c:v>102.68894860720003</c:v>
                </c:pt>
                <c:pt idx="15">
                  <c:v>107.70135682338768</c:v>
                </c:pt>
                <c:pt idx="16">
                  <c:v>112.97561787793015</c:v>
                </c:pt>
                <c:pt idx="17">
                  <c:v>118.51224921888773</c:v>
                </c:pt>
                <c:pt idx="18">
                  <c:v>124.31177072632664</c:v>
                </c:pt>
                <c:pt idx="19">
                  <c:v>130.3747047237494</c:v>
                </c:pt>
                <c:pt idx="20">
                  <c:v>136.701575989579</c:v>
                </c:pt>
                <c:pt idx="21">
                  <c:v>143.292911768697</c:v>
                </c:pt>
                <c:pt idx="22">
                  <c:v>150.14924178403589</c:v>
                </c:pt>
                <c:pt idx="23">
                  <c:v>160.30624837564918</c:v>
                </c:pt>
                <c:pt idx="24">
                  <c:v>170.57755862377215</c:v>
                </c:pt>
                <c:pt idx="25">
                  <c:v>180.96370975559043</c:v>
                </c:pt>
                <c:pt idx="26">
                  <c:v>191.46524152325736</c:v>
                </c:pt>
                <c:pt idx="27">
                  <c:v>202.08269621576144</c:v>
                </c:pt>
                <c:pt idx="28">
                  <c:v>212.81661867084941</c:v>
                </c:pt>
                <c:pt idx="29">
                  <c:v>223.66755628700543</c:v>
                </c:pt>
                <c:pt idx="30">
                  <c:v>234.63605903548648</c:v>
                </c:pt>
                <c:pt idx="31">
                  <c:v>245.72267947241451</c:v>
                </c:pt>
                <c:pt idx="32">
                  <c:v>256.92797275092522</c:v>
                </c:pt>
                <c:pt idx="33">
                  <c:v>268.25249663337405</c:v>
                </c:pt>
                <c:pt idx="34">
                  <c:v>279.69681150359952</c:v>
                </c:pt>
                <c:pt idx="35">
                  <c:v>291.26148037924412</c:v>
                </c:pt>
                <c:pt idx="36">
                  <c:v>302.94706892413342</c:v>
                </c:pt>
                <c:pt idx="37">
                  <c:v>314.75414546071278</c:v>
                </c:pt>
                <c:pt idx="38">
                  <c:v>326.68328098254318</c:v>
                </c:pt>
                <c:pt idx="39">
                  <c:v>338.73504916685533</c:v>
                </c:pt>
                <c:pt idx="40">
                  <c:v>350.91002638716287</c:v>
                </c:pt>
                <c:pt idx="41">
                  <c:v>363.20879172593493</c:v>
                </c:pt>
                <c:pt idx="42">
                  <c:v>375.63192698732837</c:v>
                </c:pt>
                <c:pt idx="43">
                  <c:v>388.18001670997944</c:v>
                </c:pt>
                <c:pt idx="44">
                  <c:v>400.85364817985612</c:v>
                </c:pt>
                <c:pt idx="45">
                  <c:v>413.65341144317028</c:v>
                </c:pt>
                <c:pt idx="46">
                  <c:v>426.57989931935117</c:v>
                </c:pt>
                <c:pt idx="47">
                  <c:v>439.6337074140792</c:v>
                </c:pt>
                <c:pt idx="48">
                  <c:v>452.8154341323816</c:v>
                </c:pt>
                <c:pt idx="49">
                  <c:v>466.12568069178911</c:v>
                </c:pt>
                <c:pt idx="50">
                  <c:v>479.565051135555</c:v>
                </c:pt>
                <c:pt idx="51">
                  <c:v>493.13415234593566</c:v>
                </c:pt>
                <c:pt idx="52">
                  <c:v>506.83359405753424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7" t="s">
        <v>473</v>
      </c>
      <c r="D2" s="2108"/>
      <c r="E2" s="2108"/>
      <c r="F2" s="2108"/>
      <c r="G2" s="2108"/>
      <c r="H2" s="415"/>
      <c r="I2" s="2111" t="s">
        <v>962</v>
      </c>
      <c r="J2" s="2112"/>
      <c r="K2" s="2112"/>
    </row>
    <row r="3" spans="2:18" ht="10.5" customHeight="1" x14ac:dyDescent="0.3">
      <c r="B3" s="414"/>
      <c r="C3" s="413"/>
      <c r="D3" s="413"/>
      <c r="E3" s="413"/>
      <c r="F3" s="413"/>
      <c r="G3" s="413"/>
      <c r="H3" s="414"/>
      <c r="I3" s="414"/>
      <c r="J3" s="414"/>
      <c r="K3" s="414"/>
    </row>
    <row r="4" spans="2:18" ht="37.950000000000003" customHeight="1" x14ac:dyDescent="0.3">
      <c r="B4" s="416"/>
      <c r="C4" s="2109" t="s">
        <v>770</v>
      </c>
      <c r="D4" s="2110"/>
      <c r="E4" s="2110"/>
      <c r="F4" s="2110"/>
      <c r="G4" s="2110"/>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4" t="s">
        <v>497</v>
      </c>
      <c r="K6" s="2106"/>
      <c r="L6" s="2106"/>
      <c r="M6" s="2106"/>
      <c r="N6" s="2106"/>
      <c r="O6" s="2106"/>
      <c r="P6" s="2106"/>
      <c r="Q6" s="2106"/>
      <c r="R6" s="2106"/>
    </row>
    <row r="7" spans="2:18" ht="18" customHeight="1" x14ac:dyDescent="0.3">
      <c r="B7" s="73"/>
      <c r="I7" s="417"/>
      <c r="J7" s="2106"/>
      <c r="K7" s="2106"/>
      <c r="L7" s="2106"/>
      <c r="M7" s="2106"/>
      <c r="N7" s="2106"/>
      <c r="O7" s="2106"/>
      <c r="P7" s="2106"/>
      <c r="Q7" s="2106"/>
      <c r="R7" s="2106"/>
    </row>
    <row r="8" spans="2:18" ht="18" customHeight="1" x14ac:dyDescent="0.3">
      <c r="B8" s="73"/>
      <c r="I8" s="417"/>
      <c r="J8" s="77"/>
      <c r="K8" s="77"/>
      <c r="L8" s="77"/>
      <c r="M8" s="77"/>
      <c r="N8" s="77"/>
      <c r="O8" s="77"/>
      <c r="P8" s="77"/>
      <c r="Q8" s="77"/>
      <c r="R8" s="77"/>
    </row>
    <row r="9" spans="2:18" ht="22.95" customHeight="1" x14ac:dyDescent="0.3">
      <c r="B9" s="73"/>
      <c r="I9" s="112" t="s">
        <v>772</v>
      </c>
      <c r="J9" s="2104" t="s">
        <v>775</v>
      </c>
      <c r="K9" s="2106"/>
      <c r="L9" s="2106"/>
      <c r="M9" s="2106"/>
      <c r="N9" s="2106"/>
      <c r="O9" s="2106"/>
      <c r="P9" s="2106"/>
      <c r="Q9" s="2106"/>
      <c r="R9" s="2106"/>
    </row>
    <row r="10" spans="2:18" ht="22.95" customHeight="1" x14ac:dyDescent="0.3">
      <c r="B10" s="73"/>
      <c r="I10" s="417"/>
      <c r="J10" s="2106"/>
      <c r="K10" s="2106"/>
      <c r="L10" s="2106"/>
      <c r="M10" s="2106"/>
      <c r="N10" s="2106"/>
      <c r="O10" s="2106"/>
      <c r="P10" s="2106"/>
      <c r="Q10" s="2106"/>
      <c r="R10" s="2106"/>
    </row>
    <row r="11" spans="2:18" ht="22.95" customHeight="1" x14ac:dyDescent="0.3">
      <c r="I11" s="417"/>
      <c r="J11" s="2106"/>
      <c r="K11" s="2106"/>
      <c r="L11" s="2106"/>
      <c r="M11" s="2106"/>
      <c r="N11" s="2106"/>
      <c r="O11" s="2106"/>
      <c r="P11" s="2106"/>
      <c r="Q11" s="2106"/>
      <c r="R11" s="2106"/>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5" t="s">
        <v>776</v>
      </c>
      <c r="K13" s="2105"/>
      <c r="L13" s="2105"/>
      <c r="M13" s="2105"/>
      <c r="N13" s="2105"/>
      <c r="O13" s="2105"/>
      <c r="P13" s="2105"/>
      <c r="Q13" s="2105"/>
      <c r="R13" s="2105"/>
    </row>
    <row r="14" spans="2:18" ht="18" customHeight="1" x14ac:dyDescent="0.3">
      <c r="B14" s="73"/>
      <c r="C14" s="79"/>
      <c r="G14" s="80"/>
      <c r="H14" s="80"/>
      <c r="I14" s="417"/>
      <c r="J14" s="2105"/>
      <c r="K14" s="2105"/>
      <c r="L14" s="2105"/>
      <c r="M14" s="2105"/>
      <c r="N14" s="2105"/>
      <c r="O14" s="2105"/>
      <c r="P14" s="2105"/>
      <c r="Q14" s="2105"/>
      <c r="R14" s="2105"/>
    </row>
    <row r="15" spans="2:18" ht="18" customHeight="1" x14ac:dyDescent="0.3">
      <c r="B15" s="73"/>
      <c r="C15" s="79"/>
      <c r="G15" s="80"/>
      <c r="H15" s="80"/>
      <c r="I15" s="417"/>
      <c r="J15" s="2105"/>
      <c r="K15" s="2105"/>
      <c r="L15" s="2105"/>
      <c r="M15" s="2105"/>
      <c r="N15" s="2105"/>
      <c r="O15" s="2105"/>
      <c r="P15" s="2105"/>
      <c r="Q15" s="2105"/>
      <c r="R15" s="2105"/>
    </row>
    <row r="16" spans="2:18" ht="18" customHeight="1" x14ac:dyDescent="0.3">
      <c r="B16" s="73"/>
      <c r="C16" s="79"/>
      <c r="G16" s="80"/>
      <c r="H16" s="80"/>
      <c r="I16" s="417"/>
      <c r="J16" s="2105"/>
      <c r="K16" s="2105"/>
      <c r="L16" s="2105"/>
      <c r="M16" s="2105"/>
      <c r="N16" s="2105"/>
      <c r="O16" s="2105"/>
      <c r="P16" s="2105"/>
      <c r="Q16" s="2105"/>
      <c r="R16" s="2105"/>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3">
      <c r="B19" s="73"/>
      <c r="C19" s="80"/>
      <c r="D19" s="79"/>
      <c r="E19" s="79"/>
      <c r="F19" s="79"/>
      <c r="G19" s="79"/>
      <c r="H19" s="79"/>
      <c r="I19" s="79"/>
      <c r="J19" s="2104"/>
      <c r="K19" s="2104"/>
      <c r="L19" s="2104"/>
      <c r="M19" s="2104"/>
      <c r="N19" s="2104"/>
      <c r="O19" s="2104"/>
      <c r="P19" s="2104"/>
      <c r="Q19" s="2104"/>
      <c r="R19" s="2104"/>
    </row>
    <row r="20" spans="1:18" ht="18" customHeight="1" x14ac:dyDescent="0.3">
      <c r="B20" s="73"/>
      <c r="C20" s="79"/>
      <c r="D20" s="79"/>
      <c r="E20" s="79"/>
      <c r="F20" s="79"/>
      <c r="G20" s="79"/>
      <c r="H20" s="79"/>
      <c r="I20" s="79"/>
      <c r="J20" s="2104"/>
      <c r="K20" s="2104"/>
      <c r="L20" s="2104"/>
      <c r="M20" s="2104"/>
      <c r="N20" s="2104"/>
      <c r="O20" s="2104"/>
      <c r="P20" s="2104"/>
      <c r="Q20" s="2104"/>
      <c r="R20" s="2104"/>
    </row>
    <row r="21" spans="1:18" ht="40.200000000000003" customHeight="1" x14ac:dyDescent="0.3">
      <c r="A21" s="523"/>
      <c r="B21" s="418"/>
      <c r="C21" s="419"/>
      <c r="D21" s="419"/>
      <c r="E21" s="419"/>
      <c r="F21" s="419"/>
      <c r="G21" s="422"/>
      <c r="I21" s="79"/>
      <c r="J21" s="2104"/>
      <c r="K21" s="2104"/>
      <c r="L21" s="2104"/>
      <c r="M21" s="2104"/>
      <c r="N21" s="2104"/>
      <c r="O21" s="2104"/>
      <c r="P21" s="2104"/>
      <c r="Q21" s="2104"/>
      <c r="R21" s="2104"/>
    </row>
    <row r="22" spans="1:18" ht="34.950000000000003" customHeight="1" x14ac:dyDescent="0.3">
      <c r="B22" s="75"/>
      <c r="C22" s="75"/>
      <c r="D22" s="75"/>
      <c r="E22" s="75"/>
      <c r="F22" s="75"/>
      <c r="G22" s="75"/>
      <c r="H22" s="75"/>
      <c r="I22" s="75"/>
      <c r="J22" s="2104"/>
      <c r="K22" s="2104"/>
      <c r="L22" s="2104"/>
      <c r="M22" s="2104"/>
      <c r="N22" s="2104"/>
      <c r="O22" s="2104"/>
      <c r="P22" s="2104"/>
      <c r="Q22" s="2104"/>
      <c r="R22" s="2104"/>
    </row>
    <row r="23" spans="1:18" ht="18" customHeight="1" x14ac:dyDescent="0.3">
      <c r="B23" s="75"/>
      <c r="C23" s="207" t="s">
        <v>499</v>
      </c>
      <c r="D23" s="524" t="s">
        <v>472</v>
      </c>
      <c r="E23" s="76"/>
      <c r="F23" s="75"/>
      <c r="G23" s="75"/>
      <c r="H23" s="75"/>
      <c r="J23" s="2104"/>
      <c r="K23" s="2104"/>
      <c r="L23" s="2104"/>
      <c r="M23" s="2104"/>
      <c r="N23" s="2104"/>
      <c r="O23" s="2104"/>
      <c r="P23" s="2104"/>
      <c r="Q23" s="2104"/>
      <c r="R23" s="2104"/>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3" t="s">
        <v>1000</v>
      </c>
      <c r="E2" s="2114"/>
      <c r="F2" s="2115"/>
      <c r="G2" s="434"/>
      <c r="H2" s="2116" t="s">
        <v>5</v>
      </c>
      <c r="I2" s="2117"/>
      <c r="J2" s="2118"/>
      <c r="K2" s="434"/>
      <c r="L2" s="434"/>
      <c r="M2" s="434"/>
      <c r="N2" s="434"/>
      <c r="O2" s="983"/>
      <c r="P2" s="983" t="s">
        <v>6</v>
      </c>
      <c r="Q2" s="983"/>
      <c r="R2" s="983"/>
      <c r="S2" s="983"/>
      <c r="T2" s="983"/>
      <c r="U2" s="983"/>
      <c r="V2" s="3"/>
      <c r="W2" s="3"/>
      <c r="X2" s="3"/>
      <c r="Y2" s="3"/>
    </row>
    <row r="3" spans="1:25" ht="18" customHeight="1" x14ac:dyDescent="0.3">
      <c r="A3" s="85"/>
      <c r="B3" s="434"/>
      <c r="C3" s="531" t="s">
        <v>486</v>
      </c>
      <c r="D3" s="2113" t="s">
        <v>1001</v>
      </c>
      <c r="E3" s="2114"/>
      <c r="F3" s="2115"/>
      <c r="G3" s="434"/>
      <c r="H3" s="2119"/>
      <c r="I3" s="2120"/>
      <c r="J3" s="2121"/>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6" t="s">
        <v>473</v>
      </c>
      <c r="M4" s="2127"/>
      <c r="N4" s="2127"/>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8" t="str">
        <f>Apresentação!I2</f>
        <v>RC-RSU V.1.0 - 15/10/2020</v>
      </c>
      <c r="M5" s="2128"/>
      <c r="N5" s="2128"/>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0.3250752556505514</v>
      </c>
      <c r="F9" s="602">
        <f>(E10)*1000/E8</f>
        <v>0.17930159840815166</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'[1]Arranjos NOVO'!$E$16</f>
        <v>73.8</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73.8</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6" t="s">
        <v>931</v>
      </c>
      <c r="D16" s="2137"/>
      <c r="E16" s="2137"/>
      <c r="F16" s="2137"/>
      <c r="G16" s="2137"/>
      <c r="H16" s="2137"/>
      <c r="I16" s="2137"/>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2" t="s">
        <v>16</v>
      </c>
      <c r="D23" s="2125" t="s">
        <v>736</v>
      </c>
      <c r="E23" s="2123"/>
      <c r="F23" s="2123"/>
      <c r="G23" s="2131" t="s">
        <v>830</v>
      </c>
      <c r="H23" s="2131" t="s">
        <v>17</v>
      </c>
      <c r="I23" s="2123"/>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3"/>
      <c r="D24" s="2124" t="s">
        <v>18</v>
      </c>
      <c r="E24" s="2124" t="s">
        <v>19</v>
      </c>
      <c r="F24" s="2124" t="s">
        <v>20</v>
      </c>
      <c r="G24" s="2123"/>
      <c r="H24" s="2123"/>
      <c r="I24" s="2123"/>
      <c r="J24" s="529"/>
      <c r="K24" s="547"/>
      <c r="L24" s="529"/>
      <c r="M24" s="529"/>
      <c r="N24" s="434"/>
      <c r="O24" s="983"/>
      <c r="P24" s="983"/>
      <c r="Q24" s="983"/>
      <c r="R24" s="983"/>
      <c r="S24" s="983"/>
      <c r="T24" s="983"/>
      <c r="U24" s="983"/>
      <c r="V24" s="3"/>
      <c r="W24" s="7"/>
      <c r="X24" s="7"/>
      <c r="Y24" s="7"/>
    </row>
    <row r="25" spans="1:25" ht="30.45" customHeight="1" x14ac:dyDescent="0.3">
      <c r="A25" s="85"/>
      <c r="B25" s="434"/>
      <c r="C25" s="2123"/>
      <c r="D25" s="2123"/>
      <c r="E25" s="2123"/>
      <c r="F25" s="2123"/>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35.719199999999994</v>
      </c>
      <c r="H26" s="2132">
        <f>E26+E27</f>
        <v>51.4</v>
      </c>
      <c r="I26" s="2134"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2.214</v>
      </c>
      <c r="H27" s="2133"/>
      <c r="I27" s="2135"/>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9.6677999999999997</v>
      </c>
      <c r="H28" s="2132">
        <f>SUM(E28:E33)</f>
        <v>31.900000000000002</v>
      </c>
      <c r="I28" s="2134"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6.5682000000000009</v>
      </c>
      <c r="H29" s="2133"/>
      <c r="I29" s="2135"/>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3.3947999999999996</v>
      </c>
      <c r="H30" s="2133"/>
      <c r="I30" s="2135"/>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1.7711999999999997</v>
      </c>
      <c r="H31" s="2133"/>
      <c r="I31" s="2135"/>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1.6973999999999998</v>
      </c>
      <c r="H32" s="2133"/>
      <c r="I32" s="2135"/>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0.44279999999999992</v>
      </c>
      <c r="H33" s="2133"/>
      <c r="I33" s="2135"/>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3.2841000000000005</v>
      </c>
      <c r="H34" s="2132">
        <f>SUM(E34:E37)</f>
        <v>10.14</v>
      </c>
      <c r="I34" s="2139"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0.70848</v>
      </c>
      <c r="H35" s="2133"/>
      <c r="I35" s="2135"/>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2.952</v>
      </c>
      <c r="H36" s="2133"/>
      <c r="I36" s="2135"/>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0.53874</v>
      </c>
      <c r="H37" s="2133"/>
      <c r="I37" s="2135"/>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2">
        <f>SUM(E38:E39)</f>
        <v>6.5600000000000023</v>
      </c>
      <c r="I38" s="2139"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4.8412800000000011</v>
      </c>
      <c r="H39" s="2133"/>
      <c r="I39" s="2135"/>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73.799999999999983</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73.8</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73.8</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3" t="s">
        <v>48</v>
      </c>
      <c r="D51" s="2141" t="s">
        <v>508</v>
      </c>
      <c r="E51" s="2142"/>
      <c r="F51" s="2142"/>
      <c r="G51" s="2142"/>
      <c r="H51" s="2142"/>
      <c r="I51" s="2142"/>
      <c r="J51" s="2142"/>
      <c r="K51" s="2142"/>
      <c r="L51" s="2142"/>
      <c r="M51" s="2142"/>
      <c r="N51" s="2142"/>
      <c r="O51" s="983"/>
      <c r="P51" s="983"/>
      <c r="Q51" s="983"/>
      <c r="R51" s="983"/>
      <c r="S51" s="983"/>
      <c r="T51" s="983"/>
      <c r="U51" s="983"/>
      <c r="V51" s="3"/>
      <c r="W51" s="3"/>
      <c r="X51" s="3"/>
      <c r="Y51" s="3"/>
    </row>
    <row r="52" spans="1:25" ht="18" customHeight="1" x14ac:dyDescent="0.3">
      <c r="A52" s="85"/>
      <c r="B52" s="434"/>
      <c r="C52" s="2130"/>
      <c r="D52" s="2129" t="s">
        <v>25</v>
      </c>
      <c r="E52" s="2130"/>
      <c r="F52" s="2144" t="s">
        <v>49</v>
      </c>
      <c r="G52" s="2129" t="s">
        <v>475</v>
      </c>
      <c r="H52" s="2130"/>
      <c r="I52" s="2129" t="s">
        <v>476</v>
      </c>
      <c r="J52" s="2129" t="s">
        <v>52</v>
      </c>
      <c r="K52" s="2130"/>
      <c r="L52" s="2129" t="s">
        <v>477</v>
      </c>
      <c r="M52" s="2140"/>
      <c r="N52" s="2138" t="s">
        <v>53</v>
      </c>
      <c r="O52" s="983"/>
      <c r="P52" s="983"/>
      <c r="Q52" s="983"/>
      <c r="R52" s="983"/>
      <c r="S52" s="983"/>
      <c r="T52" s="983"/>
      <c r="U52" s="983"/>
      <c r="V52" s="3"/>
      <c r="W52" s="3"/>
      <c r="X52" s="3"/>
      <c r="Y52" s="3"/>
    </row>
    <row r="53" spans="1:25" ht="31.2" customHeight="1" x14ac:dyDescent="0.3">
      <c r="A53" s="85"/>
      <c r="B53" s="434"/>
      <c r="C53" s="2130"/>
      <c r="D53" s="499" t="s">
        <v>54</v>
      </c>
      <c r="E53" s="499" t="s">
        <v>55</v>
      </c>
      <c r="F53" s="2130"/>
      <c r="G53" s="499" t="s">
        <v>56</v>
      </c>
      <c r="H53" s="499" t="s">
        <v>57</v>
      </c>
      <c r="I53" s="2130"/>
      <c r="J53" s="499" t="s">
        <v>58</v>
      </c>
      <c r="K53" s="499" t="s">
        <v>510</v>
      </c>
      <c r="L53" s="499" t="s">
        <v>478</v>
      </c>
      <c r="M53" s="500" t="s">
        <v>509</v>
      </c>
      <c r="N53" s="2130"/>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35.719199999999994</v>
      </c>
      <c r="E56" s="104">
        <f>G27-E55</f>
        <v>2.214</v>
      </c>
      <c r="F56" s="104">
        <f>G28-F54</f>
        <v>9.6677999999999997</v>
      </c>
      <c r="G56" s="104">
        <f>G29-G54</f>
        <v>6.5682000000000009</v>
      </c>
      <c r="H56" s="104">
        <f>G30-H54</f>
        <v>3.3947999999999996</v>
      </c>
      <c r="I56" s="104">
        <f>G31-I54</f>
        <v>1.7711999999999997</v>
      </c>
      <c r="J56" s="104">
        <f>G32-J54</f>
        <v>1.6973999999999998</v>
      </c>
      <c r="K56" s="104">
        <f>G33-K54</f>
        <v>0.44279999999999992</v>
      </c>
      <c r="L56" s="104">
        <f>SUM(G34:G37)</f>
        <v>7.48332</v>
      </c>
      <c r="M56" s="104">
        <f>SUM(G38:G39)</f>
        <v>4.8412800000000011</v>
      </c>
      <c r="N56" s="104">
        <f>SUM(D56:M56)</f>
        <v>73.799999999999983</v>
      </c>
      <c r="O56" s="983"/>
      <c r="P56" s="983"/>
      <c r="Q56" s="983"/>
      <c r="R56" s="983"/>
      <c r="S56" s="983"/>
      <c r="T56" s="983"/>
      <c r="U56" s="983"/>
      <c r="V56" s="3"/>
      <c r="W56" s="3"/>
      <c r="X56" s="3"/>
      <c r="Y56" s="3"/>
    </row>
    <row r="57" spans="1:25" ht="18" customHeight="1" x14ac:dyDescent="0.3">
      <c r="A57" s="85"/>
      <c r="B57" s="434"/>
      <c r="C57" s="233" t="s">
        <v>53</v>
      </c>
      <c r="D57" s="104">
        <f>SUM(D55:D56)</f>
        <v>35.719199999999994</v>
      </c>
      <c r="E57" s="104">
        <f>SUM(E55:E56)</f>
        <v>2.214</v>
      </c>
      <c r="F57" s="104">
        <f t="shared" ref="F57:L57" si="2">SUM(F54:F56)</f>
        <v>9.6677999999999997</v>
      </c>
      <c r="G57" s="104">
        <f t="shared" si="2"/>
        <v>6.5682000000000009</v>
      </c>
      <c r="H57" s="104">
        <f t="shared" si="2"/>
        <v>3.3947999999999996</v>
      </c>
      <c r="I57" s="104">
        <f t="shared" si="2"/>
        <v>1.7711999999999997</v>
      </c>
      <c r="J57" s="104">
        <f t="shared" si="2"/>
        <v>1.6973999999999998</v>
      </c>
      <c r="K57" s="104">
        <f t="shared" si="2"/>
        <v>0.44279999999999992</v>
      </c>
      <c r="L57" s="104">
        <f t="shared" si="2"/>
        <v>7.48332</v>
      </c>
      <c r="M57" s="104">
        <f>M56</f>
        <v>4.8412800000000011</v>
      </c>
      <c r="N57" s="104">
        <f>SUM(N54:N56)</f>
        <v>73.799999999999983</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5" t="str">
        <f>IF('R-Entrada'!D2&lt;&gt;0,'R-Entrada'!D2,"")</f>
        <v>CIRSOP - Consórcio RSU Oeste Paulista</v>
      </c>
      <c r="E2" s="2146"/>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5" t="str">
        <f>IF('R-Entrada'!D3&lt;&gt;0,'R-Entrada'!D3,"")</f>
        <v>Biodigestão c/ Prod. E. Elétrica</v>
      </c>
      <c r="E3" s="2146"/>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6" t="s">
        <v>737</v>
      </c>
      <c r="G5" s="2162"/>
      <c r="H5" s="2163"/>
      <c r="I5" s="434"/>
      <c r="J5" s="132"/>
      <c r="K5" s="584" t="s">
        <v>725</v>
      </c>
      <c r="L5" s="434"/>
      <c r="M5" s="434"/>
      <c r="N5" s="2126" t="s">
        <v>473</v>
      </c>
      <c r="O5" s="2171"/>
      <c r="P5" s="2171"/>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4"/>
      <c r="G6" s="2165"/>
      <c r="H6" s="2166"/>
      <c r="I6" s="532"/>
      <c r="J6" s="700"/>
      <c r="K6" s="584" t="s">
        <v>726</v>
      </c>
      <c r="L6" s="434"/>
      <c r="M6" s="434"/>
      <c r="N6" s="2128" t="str">
        <f>Apresentação!I2</f>
        <v>RC-RSU V.1.0 - 15/10/2020</v>
      </c>
      <c r="O6" s="2128"/>
      <c r="P6" s="2128"/>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2" t="s">
        <v>511</v>
      </c>
      <c r="C8" s="2172"/>
      <c r="D8" s="2172"/>
      <c r="E8" s="2172"/>
      <c r="F8" s="2172"/>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31" t="s">
        <v>48</v>
      </c>
      <c r="D10" s="2125" t="s">
        <v>508</v>
      </c>
      <c r="E10" s="2123"/>
      <c r="F10" s="2123"/>
      <c r="G10" s="2123"/>
      <c r="H10" s="2123"/>
      <c r="I10" s="2123"/>
      <c r="J10" s="2123"/>
      <c r="K10" s="2123"/>
      <c r="L10" s="2123"/>
      <c r="M10" s="2123"/>
      <c r="N10" s="2123"/>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3"/>
      <c r="D11" s="2125" t="s">
        <v>25</v>
      </c>
      <c r="E11" s="2123"/>
      <c r="F11" s="2131" t="s">
        <v>49</v>
      </c>
      <c r="G11" s="2125" t="s">
        <v>475</v>
      </c>
      <c r="H11" s="2123"/>
      <c r="I11" s="2125" t="s">
        <v>476</v>
      </c>
      <c r="J11" s="2125" t="s">
        <v>52</v>
      </c>
      <c r="K11" s="2123"/>
      <c r="L11" s="2125" t="s">
        <v>477</v>
      </c>
      <c r="M11" s="2123"/>
      <c r="N11" s="2161"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3"/>
      <c r="D12" s="503" t="s">
        <v>54</v>
      </c>
      <c r="E12" s="503" t="s">
        <v>55</v>
      </c>
      <c r="F12" s="2123"/>
      <c r="G12" s="503" t="s">
        <v>56</v>
      </c>
      <c r="H12" s="503" t="s">
        <v>57</v>
      </c>
      <c r="I12" s="2123"/>
      <c r="J12" s="503" t="s">
        <v>58</v>
      </c>
      <c r="K12" s="503" t="s">
        <v>510</v>
      </c>
      <c r="L12" s="503" t="s">
        <v>478</v>
      </c>
      <c r="M12" s="497" t="s">
        <v>509</v>
      </c>
      <c r="N12" s="2123"/>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35.719199999999994</v>
      </c>
      <c r="E15" s="122">
        <f>'R-Entrada'!E56</f>
        <v>2.214</v>
      </c>
      <c r="F15" s="122">
        <f>'R-Entrada'!F56</f>
        <v>9.6677999999999997</v>
      </c>
      <c r="G15" s="122">
        <f>'R-Entrada'!G56</f>
        <v>6.5682000000000009</v>
      </c>
      <c r="H15" s="122">
        <f>'R-Entrada'!H56</f>
        <v>3.3947999999999996</v>
      </c>
      <c r="I15" s="122">
        <f>'R-Entrada'!I56</f>
        <v>1.7711999999999997</v>
      </c>
      <c r="J15" s="122">
        <f>'R-Entrada'!J56</f>
        <v>1.6973999999999998</v>
      </c>
      <c r="K15" s="122">
        <f>'R-Entrada'!K56</f>
        <v>0.44279999999999992</v>
      </c>
      <c r="L15" s="122">
        <f>'R-Entrada'!L56</f>
        <v>7.48332</v>
      </c>
      <c r="M15" s="122">
        <f>'R-Entrada'!M56</f>
        <v>4.8412800000000011</v>
      </c>
      <c r="N15" s="98">
        <f>SUM(D15:M15)</f>
        <v>73.799999999999983</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35.719199999999994</v>
      </c>
      <c r="E16" s="154">
        <f>SUM(E14:E15)</f>
        <v>2.214</v>
      </c>
      <c r="F16" s="154">
        <f t="shared" ref="F16:L16" si="0">SUM(F13:F15)</f>
        <v>9.6677999999999997</v>
      </c>
      <c r="G16" s="154">
        <f t="shared" si="0"/>
        <v>6.5682000000000009</v>
      </c>
      <c r="H16" s="154">
        <f t="shared" si="0"/>
        <v>3.3947999999999996</v>
      </c>
      <c r="I16" s="154">
        <f t="shared" si="0"/>
        <v>1.7711999999999997</v>
      </c>
      <c r="J16" s="154">
        <f t="shared" si="0"/>
        <v>1.6973999999999998</v>
      </c>
      <c r="K16" s="154">
        <f t="shared" si="0"/>
        <v>0.44279999999999992</v>
      </c>
      <c r="L16" s="154">
        <f t="shared" si="0"/>
        <v>7.48332</v>
      </c>
      <c r="M16" s="154">
        <f>M15</f>
        <v>4.8412800000000011</v>
      </c>
      <c r="N16" s="98">
        <f>SUM(N13:N15)</f>
        <v>73.799999999999983</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31.900000000000006</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0.30211874999999999</v>
      </c>
      <c r="M24" s="115">
        <f>IF($E$28="Sim",F$13*'R-Avançado'!$H$11/100*$E$29/$N$13,0)</f>
        <v>0</v>
      </c>
      <c r="N24" s="115">
        <f>IF($E$32="Sim",F$13*'R-Avançado'!$G$11/100*$E$33/$N$13,0)</f>
        <v>0</v>
      </c>
      <c r="O24" s="628">
        <f>IF(AND($I$25&gt;0,$I$24="Sim"),$I$27/$N$15*F$15*'R-Avançado'!$F$11/100,0)</f>
        <v>0.30211874999999999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73.799999999999983</v>
      </c>
      <c r="J25" s="591"/>
      <c r="K25" s="625" t="s">
        <v>29</v>
      </c>
      <c r="L25" s="114">
        <f t="shared" si="1"/>
        <v>0.20525625000000003</v>
      </c>
      <c r="M25" s="115">
        <f>IF($E$28="Sim",G$13*'R-Avançado'!$H$11/100*$E$29/$N$13,0)</f>
        <v>0</v>
      </c>
      <c r="N25" s="115">
        <f>IF($E$32="Sim",G$13*'R-Avançado'!$G$11/100*$E$33/$N$13,0)</f>
        <v>0</v>
      </c>
      <c r="O25" s="628">
        <f>IF(AND($I$25&gt;0,$I$24="Sim"),$I$27/$N$15*G$15*'R-Avançado'!$F$11/100,0)</f>
        <v>0.20525625000000003</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68" t="str">
        <f>IF(AND(I24="Sim",I27&lt;&gt;0,I27&lt;50),"Mín. é 50 t/d. Rever Célula I26","")</f>
        <v>Mín. é 50 t/d. Rever Célula I26</v>
      </c>
      <c r="K26" s="625" t="s">
        <v>78</v>
      </c>
      <c r="L26" s="114">
        <f t="shared" si="1"/>
        <v>0.10608749999999999</v>
      </c>
      <c r="M26" s="115">
        <f>IF($E$28="Sim",H$13*'R-Avançado'!$H$11/100*$E$29/$N$13,0)</f>
        <v>0</v>
      </c>
      <c r="N26" s="115">
        <f>IF($E$32="Sim",H$13*'R-Avançado'!$G$11/100*$E$33/$N$13,0)</f>
        <v>0</v>
      </c>
      <c r="O26" s="628">
        <f>IF(AND($I$25&gt;0,$I$24="Sim"),$I$27/$N$15*H$15*'R-Avançado'!$F$11/100,0)</f>
        <v>0.10608749999999999</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9.2249999999999979</v>
      </c>
      <c r="J27" s="2169"/>
      <c r="K27" s="625" t="s">
        <v>31</v>
      </c>
      <c r="L27" s="114">
        <f t="shared" si="1"/>
        <v>5.5349999999999989E-2</v>
      </c>
      <c r="M27" s="115">
        <f>IF($E$28="Sim",I$13*'R-Avançado'!$H$11/100*$E$29/$N$13,0)</f>
        <v>0</v>
      </c>
      <c r="N27" s="115">
        <f>IF($E$32="Sim",I$13*'R-Avançado'!$G$11/100*$E$33/$N$13,0)</f>
        <v>0</v>
      </c>
      <c r="O27" s="628">
        <f>IF(AND($I$25&gt;0,$I$24="Sim"),$I$27/$N$15*I$15*'R-Avançado'!$F$11/100,0)</f>
        <v>5.5349999999999989E-2</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8" t="str">
        <f>IF(E29&gt;100,"Máx. é 100 t/d. Rever Célula E25","")</f>
        <v/>
      </c>
      <c r="G28" s="640"/>
      <c r="H28" s="594" t="s">
        <v>81</v>
      </c>
      <c r="I28" s="959" t="s">
        <v>64</v>
      </c>
      <c r="J28" s="530"/>
      <c r="K28" s="625" t="s">
        <v>32</v>
      </c>
      <c r="L28" s="114">
        <f t="shared" si="1"/>
        <v>5.3043749999999994E-2</v>
      </c>
      <c r="M28" s="115">
        <f>IF($E$28="Sim",J$13*'R-Avançado'!$H$11/100*$E$29/$N$13,0)</f>
        <v>0</v>
      </c>
      <c r="N28" s="115">
        <f>IF($E$32="Sim",J$13*'R-Avançado'!$G$11/100*$E$33/$N$13,0)</f>
        <v>0</v>
      </c>
      <c r="O28" s="628">
        <f>IF(AND($I$25&gt;0,$I$24="Sim"),$I$27/$N$15*J$15*'R-Avançado'!$F$11/100,0)</f>
        <v>5.3043749999999994E-2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9"/>
      <c r="G29" s="640"/>
      <c r="H29" s="594" t="s">
        <v>83</v>
      </c>
      <c r="I29" s="959" t="s">
        <v>64</v>
      </c>
      <c r="J29" s="530"/>
      <c r="K29" s="625" t="s">
        <v>84</v>
      </c>
      <c r="L29" s="114">
        <f t="shared" si="1"/>
        <v>1.3837499999999997E-2</v>
      </c>
      <c r="M29" s="115">
        <f>IF($E$28="Sim",K$13*'R-Avançado'!$H$11/100*$E$29/$N$13,0)</f>
        <v>0</v>
      </c>
      <c r="N29" s="115">
        <f>IF($E$32="Sim",K$13*'R-Avançado'!$G$11/100*$E$33/$N$13,0)</f>
        <v>0</v>
      </c>
      <c r="O29" s="628">
        <f>IF(AND($I$25&gt;0,$I$24="Sim"),$I$27/$N$15*K$15*'R-Avançado'!$F$11/100,0)</f>
        <v>1.3837499999999997E-2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9"/>
      <c r="G30" s="434"/>
      <c r="H30" s="434"/>
      <c r="I30" s="434"/>
      <c r="J30" s="602"/>
      <c r="K30" s="626" t="s">
        <v>513</v>
      </c>
      <c r="L30" s="116">
        <f>SUM(L24:L29)</f>
        <v>0.73569374999999992</v>
      </c>
      <c r="M30" s="199">
        <f>SUM(M24:M29)</f>
        <v>0</v>
      </c>
      <c r="N30" s="199">
        <f>SUM(N24:N29)</f>
        <v>0</v>
      </c>
      <c r="O30" s="629">
        <f>SUM(O24:O29)</f>
        <v>0.73569374999999992</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9" t="s">
        <v>85</v>
      </c>
      <c r="H31" s="2150"/>
      <c r="I31" s="2151"/>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8" t="str">
        <f>IF(AND(E24&gt;0,E33&lt;50,E33&gt;0),"Mín. é 50 t/d. Rever Célula E25","")</f>
        <v/>
      </c>
      <c r="G32" s="631"/>
      <c r="H32" s="594" t="s">
        <v>92</v>
      </c>
      <c r="I32" s="732" t="s">
        <v>89</v>
      </c>
      <c r="J32" s="434"/>
      <c r="K32" s="233" t="s">
        <v>780</v>
      </c>
      <c r="L32" s="98">
        <f>O32+O33</f>
        <v>4.0304024999999992</v>
      </c>
      <c r="M32" s="644"/>
      <c r="N32" s="987" t="s">
        <v>54</v>
      </c>
      <c r="O32" s="985">
        <f>IF(AND($I$25&gt;0,$I$24="Sim"),I27/N15*D15*'R-Avançado'!E11/100,0)</f>
        <v>3.7951649999999995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9"/>
      <c r="G33" s="631"/>
      <c r="H33" s="594" t="s">
        <v>93</v>
      </c>
      <c r="I33" s="732" t="s">
        <v>89</v>
      </c>
      <c r="J33" s="434"/>
      <c r="K33" s="233" t="s">
        <v>781</v>
      </c>
      <c r="L33" s="98">
        <f>'R-Entrada'!E45</f>
        <v>0</v>
      </c>
      <c r="M33" s="645"/>
      <c r="N33" s="987" t="s">
        <v>55</v>
      </c>
      <c r="O33" s="985">
        <f>IF(AND($I$25&gt;0,$I$24="Sim"),I27/N15*E15*'R-Avançado'!E11/100,0)</f>
        <v>0.23523749999999999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9"/>
      <c r="G34" s="641"/>
      <c r="H34" s="594" t="s">
        <v>960</v>
      </c>
      <c r="I34" s="958" t="s">
        <v>89</v>
      </c>
      <c r="J34" s="434"/>
      <c r="K34" s="642" t="s">
        <v>818</v>
      </c>
      <c r="L34" s="98">
        <f>SUM(M34:O34)</f>
        <v>3.4870499999999995</v>
      </c>
      <c r="M34" s="98">
        <f>IF(E28="Sim",E29*(1-'R-Avançado'!H11/100)*0.9,0)</f>
        <v>0</v>
      </c>
      <c r="N34" s="986">
        <f>IF(E32="Sim",E33*(1-'R-Avançado'!G11/100)*0.9,0)</f>
        <v>0</v>
      </c>
      <c r="O34" s="98">
        <f>D43+E43+F43+G43+H43+L43</f>
        <v>3.4870499999999995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0.97185374999999996</v>
      </c>
      <c r="M35" s="98">
        <f>IF(E28="Sim",E29*(1-'R-Avançado'!H11/100)*0.1,0)</f>
        <v>0</v>
      </c>
      <c r="N35" s="98">
        <f>IF(E32="Sim",E33*(1-'R-Avançado'!G11/100)*0.1,0)</f>
        <v>0</v>
      </c>
      <c r="O35" s="98">
        <f>M43+K43+J43+I43</f>
        <v>0.97185374999999996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9" t="s">
        <v>514</v>
      </c>
      <c r="E38" s="2130"/>
      <c r="F38" s="2130"/>
      <c r="G38" s="2130"/>
      <c r="H38" s="2130"/>
      <c r="I38" s="2130"/>
      <c r="J38" s="2130"/>
      <c r="K38" s="2130"/>
      <c r="L38" s="2130"/>
      <c r="M38" s="2130"/>
      <c r="N38" s="2130"/>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9" t="s">
        <v>25</v>
      </c>
      <c r="E39" s="2167"/>
      <c r="F39" s="2144" t="s">
        <v>49</v>
      </c>
      <c r="G39" s="2129" t="s">
        <v>475</v>
      </c>
      <c r="H39" s="2167"/>
      <c r="I39" s="2129" t="s">
        <v>51</v>
      </c>
      <c r="J39" s="2129" t="s">
        <v>52</v>
      </c>
      <c r="K39" s="2167"/>
      <c r="L39" s="2129" t="s">
        <v>477</v>
      </c>
      <c r="M39" s="2167"/>
      <c r="N39" s="2138"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70"/>
      <c r="G40" s="499" t="s">
        <v>56</v>
      </c>
      <c r="H40" s="499" t="s">
        <v>57</v>
      </c>
      <c r="I40" s="2167"/>
      <c r="J40" s="499" t="s">
        <v>58</v>
      </c>
      <c r="K40" s="499" t="s">
        <v>510</v>
      </c>
      <c r="L40" s="499" t="s">
        <v>478</v>
      </c>
      <c r="M40" s="500" t="s">
        <v>509</v>
      </c>
      <c r="N40" s="2167"/>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4.4648999999999992</v>
      </c>
      <c r="E41" s="121">
        <f t="shared" si="2"/>
        <v>0.27675</v>
      </c>
      <c r="F41" s="121">
        <f t="shared" si="2"/>
        <v>1.208475</v>
      </c>
      <c r="G41" s="121">
        <f t="shared" si="2"/>
        <v>0.82102500000000012</v>
      </c>
      <c r="H41" s="121">
        <f t="shared" si="2"/>
        <v>0.42434999999999995</v>
      </c>
      <c r="I41" s="121">
        <f t="shared" si="2"/>
        <v>0.22139999999999996</v>
      </c>
      <c r="J41" s="121">
        <f t="shared" si="2"/>
        <v>0.21217499999999997</v>
      </c>
      <c r="K41" s="121">
        <f t="shared" si="2"/>
        <v>5.5349999999999989E-2</v>
      </c>
      <c r="L41" s="121">
        <f t="shared" si="2"/>
        <v>0.935415</v>
      </c>
      <c r="M41" s="121">
        <f t="shared" si="2"/>
        <v>0.60516000000000014</v>
      </c>
      <c r="N41" s="98">
        <f>SUM(D41:M41)</f>
        <v>9.2249999999999979</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3.7951649999999995</v>
      </c>
      <c r="E42" s="121">
        <f>O33</f>
        <v>0.23523749999999999</v>
      </c>
      <c r="F42" s="121">
        <f>O24</f>
        <v>0.30211874999999999</v>
      </c>
      <c r="G42" s="121">
        <f>O25</f>
        <v>0.20525625000000003</v>
      </c>
      <c r="H42" s="121">
        <f>O26</f>
        <v>0.10608749999999999</v>
      </c>
      <c r="I42" s="121">
        <f>O27</f>
        <v>5.5349999999999989E-2</v>
      </c>
      <c r="J42" s="121">
        <f>O28</f>
        <v>5.3043749999999994E-2</v>
      </c>
      <c r="K42" s="121">
        <f>O29</f>
        <v>1.3837499999999997E-2</v>
      </c>
      <c r="L42" s="121">
        <v>0</v>
      </c>
      <c r="M42" s="121">
        <v>0</v>
      </c>
      <c r="N42" s="98">
        <f>SUM(D42:M42)</f>
        <v>4.7660962499999986</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0.66973499999999975</v>
      </c>
      <c r="E43" s="122">
        <f t="shared" si="3"/>
        <v>4.1512500000000008E-2</v>
      </c>
      <c r="F43" s="122">
        <f t="shared" si="3"/>
        <v>0.90635624999999997</v>
      </c>
      <c r="G43" s="122">
        <f t="shared" si="3"/>
        <v>0.61576875000000009</v>
      </c>
      <c r="H43" s="122">
        <f t="shared" si="3"/>
        <v>0.31826249999999995</v>
      </c>
      <c r="I43" s="122">
        <f t="shared" si="3"/>
        <v>0.16604999999999998</v>
      </c>
      <c r="J43" s="122">
        <f t="shared" si="3"/>
        <v>0.15913124999999997</v>
      </c>
      <c r="K43" s="122">
        <f t="shared" si="3"/>
        <v>4.1512499999999994E-2</v>
      </c>
      <c r="L43" s="122">
        <f t="shared" si="3"/>
        <v>0.935415</v>
      </c>
      <c r="M43" s="122">
        <f t="shared" si="3"/>
        <v>0.60516000000000014</v>
      </c>
      <c r="N43" s="98">
        <f>SUM(D43:M43)</f>
        <v>4.4589037499999993</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31.254299999999994</v>
      </c>
      <c r="E44" s="98">
        <f t="shared" si="4"/>
        <v>1.9372499999999999</v>
      </c>
      <c r="F44" s="98">
        <f t="shared" si="4"/>
        <v>8.4593249999999998</v>
      </c>
      <c r="G44" s="98">
        <f t="shared" si="4"/>
        <v>5.7471750000000004</v>
      </c>
      <c r="H44" s="98">
        <f t="shared" si="4"/>
        <v>2.9704499999999996</v>
      </c>
      <c r="I44" s="98">
        <f t="shared" si="4"/>
        <v>1.5497999999999996</v>
      </c>
      <c r="J44" s="98">
        <f t="shared" si="4"/>
        <v>1.4852249999999998</v>
      </c>
      <c r="K44" s="98">
        <f t="shared" si="4"/>
        <v>0.38744999999999991</v>
      </c>
      <c r="L44" s="98">
        <f t="shared" si="4"/>
        <v>6.5479050000000001</v>
      </c>
      <c r="M44" s="98">
        <f t="shared" si="4"/>
        <v>4.2361200000000014</v>
      </c>
      <c r="N44" s="98">
        <f>SUM(D44:M44)</f>
        <v>64.574999999999989</v>
      </c>
      <c r="O44" s="548"/>
      <c r="P44" s="492"/>
      <c r="Q44" s="544"/>
      <c r="R44" s="544" t="s">
        <v>99</v>
      </c>
      <c r="S44" s="544" t="s">
        <v>64</v>
      </c>
      <c r="T44" s="544">
        <f>IF($I$28="Incineração",O34+O35,0)</f>
        <v>4.4589037499999993</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7" t="s">
        <v>113</v>
      </c>
      <c r="O61" s="2148"/>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6" t="s">
        <v>126</v>
      </c>
      <c r="J72" s="2157"/>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4" t="s">
        <v>533</v>
      </c>
      <c r="E77" s="2155"/>
      <c r="F77" s="2155"/>
      <c r="G77" s="2155"/>
      <c r="H77" s="2155"/>
      <c r="I77" s="2155"/>
      <c r="J77" s="2155"/>
      <c r="K77" s="2155"/>
      <c r="L77" s="2155"/>
      <c r="M77" s="2155"/>
      <c r="N77" s="2155"/>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4" t="s">
        <v>25</v>
      </c>
      <c r="E78" s="2155"/>
      <c r="F78" s="2159" t="s">
        <v>49</v>
      </c>
      <c r="G78" s="2154" t="s">
        <v>475</v>
      </c>
      <c r="H78" s="2155"/>
      <c r="I78" s="2154" t="s">
        <v>476</v>
      </c>
      <c r="J78" s="2154" t="s">
        <v>52</v>
      </c>
      <c r="K78" s="2155"/>
      <c r="L78" s="2154" t="s">
        <v>477</v>
      </c>
      <c r="M78" s="2155"/>
      <c r="N78" s="2158"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0"/>
      <c r="G79" s="505" t="s">
        <v>56</v>
      </c>
      <c r="H79" s="505" t="s">
        <v>57</v>
      </c>
      <c r="I79" s="2155"/>
      <c r="J79" s="505" t="s">
        <v>58</v>
      </c>
      <c r="K79" s="505" t="s">
        <v>510</v>
      </c>
      <c r="L79" s="505" t="s">
        <v>478</v>
      </c>
      <c r="M79" s="506" t="s">
        <v>509</v>
      </c>
      <c r="N79" s="2155"/>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31.924034999999993</v>
      </c>
      <c r="E80" s="135">
        <f t="shared" si="5"/>
        <v>1.9787625</v>
      </c>
      <c r="F80" s="135">
        <f t="shared" si="5"/>
        <v>9.3656812499999997</v>
      </c>
      <c r="G80" s="135">
        <f t="shared" si="5"/>
        <v>6.3629437500000003</v>
      </c>
      <c r="H80" s="135">
        <f t="shared" si="5"/>
        <v>3.2887124999999995</v>
      </c>
      <c r="I80" s="135">
        <f t="shared" si="5"/>
        <v>1.7158499999999997</v>
      </c>
      <c r="J80" s="135">
        <f t="shared" si="5"/>
        <v>1.6443562499999997</v>
      </c>
      <c r="K80" s="135">
        <f t="shared" si="5"/>
        <v>0.42896249999999991</v>
      </c>
      <c r="L80" s="135">
        <f t="shared" si="5"/>
        <v>7.48332</v>
      </c>
      <c r="M80" s="135">
        <f t="shared" si="5"/>
        <v>4.8412800000000011</v>
      </c>
      <c r="N80" s="669">
        <f>SUM(D80:M80)</f>
        <v>69.033903749999993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31.254299999999994</v>
      </c>
      <c r="E81" s="141">
        <f t="shared" si="6"/>
        <v>1.9372499999999999</v>
      </c>
      <c r="F81" s="141">
        <f t="shared" si="6"/>
        <v>8.4593249999999998</v>
      </c>
      <c r="G81" s="141">
        <f t="shared" si="6"/>
        <v>5.7471750000000004</v>
      </c>
      <c r="H81" s="141">
        <f t="shared" si="6"/>
        <v>2.9704499999999996</v>
      </c>
      <c r="I81" s="141">
        <f t="shared" si="6"/>
        <v>1.5497999999999996</v>
      </c>
      <c r="J81" s="141">
        <f t="shared" si="6"/>
        <v>1.4852249999999998</v>
      </c>
      <c r="K81" s="141">
        <f t="shared" si="6"/>
        <v>0.38744999999999991</v>
      </c>
      <c r="L81" s="141">
        <f t="shared" si="6"/>
        <v>6.5479050000000001</v>
      </c>
      <c r="M81" s="141">
        <f t="shared" si="6"/>
        <v>4.2361200000000014</v>
      </c>
      <c r="N81" s="670">
        <f>SUM(D81:M81)</f>
        <v>64.574999999999989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0.66973499999999975</v>
      </c>
      <c r="E82" s="141">
        <f t="shared" si="7"/>
        <v>4.1512500000000008E-2</v>
      </c>
      <c r="F82" s="141">
        <f t="shared" si="7"/>
        <v>0.90635624999999997</v>
      </c>
      <c r="G82" s="141">
        <f t="shared" si="7"/>
        <v>0.61576875000000009</v>
      </c>
      <c r="H82" s="141">
        <f t="shared" si="7"/>
        <v>0.31826249999999995</v>
      </c>
      <c r="I82" s="141">
        <f t="shared" si="7"/>
        <v>0.16604999999999998</v>
      </c>
      <c r="J82" s="141">
        <f t="shared" si="7"/>
        <v>0.15913124999999997</v>
      </c>
      <c r="K82" s="141">
        <f t="shared" si="7"/>
        <v>4.1512499999999994E-2</v>
      </c>
      <c r="L82" s="141">
        <f t="shared" si="7"/>
        <v>0.935415</v>
      </c>
      <c r="M82" s="141">
        <f t="shared" si="7"/>
        <v>0.60516000000000014</v>
      </c>
      <c r="N82" s="670">
        <f>SUM(D82:M82)</f>
        <v>4.4589037499999993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31.924034999999993</v>
      </c>
      <c r="E90" s="135">
        <f t="shared" si="9"/>
        <v>1.9787625</v>
      </c>
      <c r="F90" s="135">
        <f t="shared" si="9"/>
        <v>9.3656812499999997</v>
      </c>
      <c r="G90" s="135">
        <f t="shared" si="9"/>
        <v>6.3629437500000003</v>
      </c>
      <c r="H90" s="135">
        <f t="shared" si="9"/>
        <v>3.2887124999999995</v>
      </c>
      <c r="I90" s="135">
        <f t="shared" si="9"/>
        <v>1.7158499999999997</v>
      </c>
      <c r="J90" s="135">
        <f t="shared" si="9"/>
        <v>1.6443562499999997</v>
      </c>
      <c r="K90" s="135">
        <f t="shared" si="9"/>
        <v>0.42896249999999991</v>
      </c>
      <c r="L90" s="135">
        <f t="shared" si="9"/>
        <v>7.48332</v>
      </c>
      <c r="M90" s="135">
        <f t="shared" si="9"/>
        <v>4.8412800000000011</v>
      </c>
      <c r="N90" s="669">
        <f>SUM(D90:M90)</f>
        <v>69.033903749999993</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35.719199999999994</v>
      </c>
      <c r="E92" s="200">
        <f>E90-E94+E97+(IF(I29="Incineração",O33,0))</f>
        <v>2.214</v>
      </c>
      <c r="F92" s="200">
        <f t="shared" ref="F92:L92" si="10">F90-F94</f>
        <v>9.3656812499999997</v>
      </c>
      <c r="G92" s="200">
        <f t="shared" si="10"/>
        <v>6.3629437500000003</v>
      </c>
      <c r="H92" s="200">
        <f t="shared" si="10"/>
        <v>3.2887124999999995</v>
      </c>
      <c r="I92" s="200">
        <f t="shared" si="10"/>
        <v>1.7158499999999997</v>
      </c>
      <c r="J92" s="200">
        <f t="shared" si="10"/>
        <v>1.6443562499999997</v>
      </c>
      <c r="K92" s="200">
        <f t="shared" si="10"/>
        <v>0.42896249999999991</v>
      </c>
      <c r="L92" s="200">
        <f t="shared" si="10"/>
        <v>7.48332</v>
      </c>
      <c r="M92" s="200">
        <f>M90-M94+M100+M101</f>
        <v>4.8412800000000011</v>
      </c>
      <c r="N92" s="200">
        <f>SUM(D92:M93)</f>
        <v>73.064306250000001</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14.612861249999996</v>
      </c>
      <c r="N94" s="200">
        <f t="shared" ref="N94:N101" si="12">SUM(D94:M94)</f>
        <v>14.612861249999996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14.612861249999996</v>
      </c>
      <c r="N101" s="670">
        <f t="shared" si="12"/>
        <v>14.612861249999996</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64.574999999999989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1.321151913760414</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0.34464832532880363</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2"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4.4589037499999993</v>
      </c>
      <c r="F110" s="2153"/>
      <c r="G110" s="616"/>
      <c r="H110" s="616"/>
      <c r="I110" s="616"/>
      <c r="J110" s="620"/>
      <c r="K110" s="679"/>
      <c r="L110" s="681"/>
      <c r="M110" s="615"/>
      <c r="N110" s="126" t="s">
        <v>156</v>
      </c>
      <c r="O110" s="684">
        <f>(E112*J111/100)*(1-J113/100)</f>
        <v>14.612861249999996</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4.0304024999999992</v>
      </c>
      <c r="F111" s="2153"/>
      <c r="G111" s="681"/>
      <c r="H111" s="618"/>
      <c r="I111" s="118" t="s">
        <v>157</v>
      </c>
      <c r="J111" s="201">
        <f>'R-Avançado'!F29</f>
        <v>20</v>
      </c>
      <c r="K111" s="680"/>
      <c r="L111" s="681"/>
      <c r="M111" s="615"/>
      <c r="N111" s="126" t="s">
        <v>135</v>
      </c>
      <c r="O111" s="685">
        <f>E112*E114*J109/100</f>
        <v>49534.248252065823</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73.064306249999987</v>
      </c>
      <c r="F112" s="2153"/>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3"/>
      <c r="G113" s="149"/>
      <c r="H113" s="149"/>
      <c r="I113" s="118" t="s">
        <v>160</v>
      </c>
      <c r="J113" s="150">
        <v>0</v>
      </c>
      <c r="K113" s="680"/>
      <c r="L113" s="681"/>
      <c r="M113" s="615"/>
      <c r="N113" s="126" t="s">
        <v>161</v>
      </c>
      <c r="O113" s="682">
        <f>E112*(1-J111/100)-O107-O108</f>
        <v>56.78564476091077</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2690.2941707016817</v>
      </c>
      <c r="F114" s="2153"/>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3"/>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14.612861249999996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10.229002874999997</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3" t="str">
        <f>IF('R-Entrada'!D2&lt;&gt;0,'R-Entrada'!D2,"")</f>
        <v>CIRSOP - Consórcio RSU Oeste Paulista</v>
      </c>
      <c r="E2" s="217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3" t="str">
        <f>IF('R-Entrada'!D3&lt;&gt;0,'R-Entrada'!D3,"")</f>
        <v>Biodigestão c/ Prod. E. Elétrica</v>
      </c>
      <c r="E3" s="217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5" t="s">
        <v>473</v>
      </c>
      <c r="O5" s="2176"/>
      <c r="P5" s="484"/>
      <c r="Q5" s="484"/>
      <c r="R5" s="484"/>
      <c r="S5" s="484"/>
      <c r="T5" s="484"/>
      <c r="U5" s="484"/>
    </row>
    <row r="6" spans="1:21" ht="18.45" customHeight="1" x14ac:dyDescent="0.3">
      <c r="A6" s="484"/>
      <c r="B6" s="484"/>
      <c r="C6" s="484"/>
      <c r="D6" s="484"/>
      <c r="E6" s="484"/>
      <c r="F6" s="484"/>
      <c r="G6" s="484"/>
      <c r="H6" s="484"/>
      <c r="I6" s="484"/>
      <c r="J6" s="484"/>
      <c r="K6" s="484"/>
      <c r="L6" s="484"/>
      <c r="M6" s="484"/>
      <c r="N6" s="2128" t="str">
        <f>Apresentação!I2</f>
        <v>RC-RSU V.1.0 - 15/10/2020</v>
      </c>
      <c r="O6" s="217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90" t="s">
        <v>958</v>
      </c>
      <c r="F8" s="2191"/>
      <c r="G8" s="2191"/>
      <c r="H8" s="2192"/>
      <c r="I8" s="484"/>
      <c r="J8" s="2195"/>
      <c r="K8" s="2196"/>
      <c r="L8" s="2193" t="s">
        <v>186</v>
      </c>
      <c r="M8" s="2193" t="s">
        <v>535</v>
      </c>
      <c r="N8" s="484"/>
      <c r="O8" s="484"/>
      <c r="P8" s="484"/>
      <c r="Q8" s="484"/>
      <c r="R8" s="484"/>
      <c r="S8" s="484"/>
      <c r="T8" s="484"/>
      <c r="U8" s="484"/>
    </row>
    <row r="9" spans="1:21" ht="18" customHeight="1" x14ac:dyDescent="0.3">
      <c r="A9" s="484"/>
      <c r="B9" s="484"/>
      <c r="C9" s="484"/>
      <c r="D9" s="2201"/>
      <c r="E9" s="748" t="s">
        <v>25</v>
      </c>
      <c r="F9" s="2190" t="s">
        <v>959</v>
      </c>
      <c r="G9" s="2191"/>
      <c r="H9" s="2192"/>
      <c r="I9" s="484"/>
      <c r="J9" s="2197"/>
      <c r="K9" s="2198"/>
      <c r="L9" s="2194"/>
      <c r="M9" s="2194"/>
      <c r="N9" s="484"/>
      <c r="O9" s="484"/>
      <c r="P9" s="484"/>
      <c r="Q9" s="484"/>
      <c r="R9" s="484"/>
      <c r="S9" s="484"/>
      <c r="T9" s="484"/>
      <c r="U9" s="484"/>
    </row>
    <row r="10" spans="1:21" ht="18" customHeight="1" x14ac:dyDescent="0.3">
      <c r="A10" s="484"/>
      <c r="B10" s="484"/>
      <c r="C10" s="484"/>
      <c r="D10" s="2202"/>
      <c r="E10" s="1627" t="s">
        <v>730</v>
      </c>
      <c r="F10" s="517" t="s">
        <v>730</v>
      </c>
      <c r="G10" s="517" t="s">
        <v>731</v>
      </c>
      <c r="H10" s="517" t="s">
        <v>557</v>
      </c>
      <c r="I10" s="484"/>
      <c r="J10" s="2199"/>
      <c r="K10" s="2200"/>
      <c r="L10" s="2194"/>
      <c r="M10" s="2194"/>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3" t="s">
        <v>536</v>
      </c>
      <c r="K11" s="2183"/>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3" t="s">
        <v>537</v>
      </c>
      <c r="K12" s="2183"/>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3" t="s">
        <v>191</v>
      </c>
      <c r="E17" s="514" t="s">
        <v>192</v>
      </c>
      <c r="F17" s="514" t="s">
        <v>999</v>
      </c>
      <c r="G17" s="484"/>
      <c r="H17" s="2205"/>
      <c r="I17" s="2205" t="s">
        <v>193</v>
      </c>
      <c r="J17" s="2155"/>
      <c r="K17" s="484"/>
      <c r="L17" s="2204" t="s">
        <v>744</v>
      </c>
      <c r="M17" s="2167"/>
      <c r="N17" s="484"/>
      <c r="O17" s="484"/>
      <c r="P17" s="484"/>
      <c r="Q17" s="484"/>
      <c r="R17" s="484"/>
      <c r="S17" s="484"/>
      <c r="T17" s="484"/>
      <c r="U17" s="484"/>
    </row>
    <row r="18" spans="1:21" ht="18" customHeight="1" x14ac:dyDescent="0.3">
      <c r="A18" s="484"/>
      <c r="B18" s="484"/>
      <c r="C18" s="729"/>
      <c r="D18" s="2155"/>
      <c r="E18" s="1712" t="s">
        <v>1062</v>
      </c>
      <c r="F18" s="1712" t="s">
        <v>998</v>
      </c>
      <c r="G18" s="484"/>
      <c r="H18" s="2155"/>
      <c r="I18" s="514" t="s">
        <v>189</v>
      </c>
      <c r="J18" s="717" t="s">
        <v>132</v>
      </c>
      <c r="K18" s="484"/>
      <c r="L18" s="2167"/>
      <c r="M18" s="2167"/>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81" t="s">
        <v>745</v>
      </c>
      <c r="E23" s="2182"/>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81" t="s">
        <v>538</v>
      </c>
      <c r="E24" s="2182"/>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5"/>
      <c r="D27" s="2186"/>
      <c r="E27" s="2186"/>
      <c r="F27" s="340" t="s">
        <v>195</v>
      </c>
      <c r="G27" s="484"/>
      <c r="H27" s="2189" t="s">
        <v>539</v>
      </c>
      <c r="I27" s="2167"/>
      <c r="J27" s="2167"/>
      <c r="K27" s="484"/>
      <c r="L27" s="2184"/>
      <c r="M27" s="2155"/>
      <c r="N27" s="2155"/>
      <c r="O27" s="514" t="s">
        <v>289</v>
      </c>
      <c r="P27" s="484"/>
      <c r="Q27" s="484"/>
      <c r="R27" s="484"/>
      <c r="S27" s="484"/>
      <c r="T27" s="484"/>
      <c r="U27" s="484"/>
    </row>
    <row r="28" spans="1:21" ht="18" customHeight="1" x14ac:dyDescent="0.3">
      <c r="A28" s="484"/>
      <c r="B28" s="484"/>
      <c r="C28" s="2181" t="s">
        <v>746</v>
      </c>
      <c r="D28" s="2182"/>
      <c r="E28" s="2182"/>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81" t="s">
        <v>196</v>
      </c>
      <c r="D29" s="2182"/>
      <c r="E29" s="2182"/>
      <c r="F29" s="214">
        <v>20</v>
      </c>
      <c r="G29" s="484"/>
      <c r="H29" s="214">
        <v>50</v>
      </c>
      <c r="I29" s="214">
        <v>30</v>
      </c>
      <c r="J29" s="214">
        <v>10</v>
      </c>
      <c r="K29" s="484"/>
      <c r="L29" s="2187" t="s">
        <v>541</v>
      </c>
      <c r="M29" s="2188"/>
      <c r="N29" s="2188"/>
      <c r="O29" s="1585">
        <v>35</v>
      </c>
      <c r="P29" s="484"/>
      <c r="Q29" s="484"/>
      <c r="R29" s="484"/>
      <c r="S29" s="484"/>
      <c r="T29" s="484"/>
      <c r="U29" s="484"/>
    </row>
    <row r="30" spans="1:21" ht="18" customHeight="1" x14ac:dyDescent="0.3">
      <c r="A30" s="484"/>
      <c r="B30" s="484"/>
      <c r="C30" s="2181" t="s">
        <v>159</v>
      </c>
      <c r="D30" s="2182"/>
      <c r="E30" s="2182"/>
      <c r="F30" s="214">
        <v>90</v>
      </c>
      <c r="G30" s="484"/>
      <c r="H30" s="170"/>
      <c r="I30" s="213"/>
      <c r="J30" s="170"/>
      <c r="K30" s="484"/>
      <c r="L30" s="2187" t="s">
        <v>747</v>
      </c>
      <c r="M30" s="2188"/>
      <c r="N30" s="2188"/>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9"/>
      <c r="C33" s="2180"/>
      <c r="D33" s="2180"/>
      <c r="E33" s="2129" t="s">
        <v>198</v>
      </c>
      <c r="F33" s="2167"/>
      <c r="G33" s="2167"/>
      <c r="H33" s="2167"/>
      <c r="I33" s="2167"/>
      <c r="J33" s="2167"/>
      <c r="K33" s="2167"/>
      <c r="L33" s="2167"/>
      <c r="M33" s="2167"/>
      <c r="N33" s="2167"/>
      <c r="O33" s="484"/>
      <c r="P33" s="484"/>
      <c r="Q33" s="484"/>
      <c r="R33" s="484"/>
      <c r="S33" s="484"/>
      <c r="T33" s="484"/>
      <c r="U33" s="484"/>
    </row>
    <row r="34" spans="1:21" ht="18" customHeight="1" x14ac:dyDescent="0.3">
      <c r="A34" s="484"/>
      <c r="B34" s="2180"/>
      <c r="C34" s="2180"/>
      <c r="D34" s="2180"/>
      <c r="E34" s="2129" t="s">
        <v>25</v>
      </c>
      <c r="F34" s="2167"/>
      <c r="G34" s="2144" t="s">
        <v>49</v>
      </c>
      <c r="H34" s="2129" t="s">
        <v>475</v>
      </c>
      <c r="I34" s="2167"/>
      <c r="J34" s="2129" t="s">
        <v>476</v>
      </c>
      <c r="K34" s="2129" t="s">
        <v>52</v>
      </c>
      <c r="L34" s="2167"/>
      <c r="M34" s="2129" t="s">
        <v>477</v>
      </c>
      <c r="N34" s="2167"/>
      <c r="O34" s="484"/>
      <c r="P34" s="484"/>
      <c r="Q34" s="484"/>
      <c r="R34" s="484"/>
      <c r="S34" s="484"/>
      <c r="T34" s="484"/>
      <c r="U34" s="484"/>
    </row>
    <row r="35" spans="1:21" ht="18" customHeight="1" x14ac:dyDescent="0.3">
      <c r="A35" s="484"/>
      <c r="B35" s="2180"/>
      <c r="C35" s="2180"/>
      <c r="D35" s="2180"/>
      <c r="E35" s="499" t="s">
        <v>54</v>
      </c>
      <c r="F35" s="499" t="s">
        <v>479</v>
      </c>
      <c r="G35" s="2167"/>
      <c r="H35" s="499" t="s">
        <v>56</v>
      </c>
      <c r="I35" s="499" t="s">
        <v>57</v>
      </c>
      <c r="J35" s="2167"/>
      <c r="K35" s="499" t="s">
        <v>58</v>
      </c>
      <c r="L35" s="499" t="s">
        <v>510</v>
      </c>
      <c r="M35" s="499" t="s">
        <v>478</v>
      </c>
      <c r="N35" s="499" t="s">
        <v>509</v>
      </c>
      <c r="O35" s="484"/>
      <c r="P35" s="484"/>
      <c r="Q35" s="484"/>
      <c r="R35" s="484"/>
      <c r="S35" s="484"/>
      <c r="T35" s="484"/>
      <c r="U35" s="484"/>
    </row>
    <row r="36" spans="1:21" ht="18" customHeight="1" x14ac:dyDescent="0.3">
      <c r="A36" s="484"/>
      <c r="B36" s="2183" t="s">
        <v>480</v>
      </c>
      <c r="C36" s="2178"/>
      <c r="D36" s="217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3" t="s">
        <v>748</v>
      </c>
      <c r="C37" s="2178"/>
      <c r="D37" s="217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7" t="s">
        <v>831</v>
      </c>
      <c r="C38" s="2178"/>
      <c r="D38" s="217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4" t="s">
        <v>834</v>
      </c>
      <c r="C1" s="2235"/>
      <c r="D1" s="2235"/>
      <c r="E1" s="2235"/>
      <c r="F1" s="2235"/>
      <c r="G1" s="2235"/>
      <c r="H1" s="2235"/>
      <c r="I1" s="2235"/>
      <c r="J1" s="2235"/>
      <c r="K1" s="2235"/>
      <c r="L1" s="2235"/>
      <c r="M1" s="2235"/>
      <c r="N1" s="2235"/>
      <c r="O1" s="2235"/>
      <c r="P1" s="2236"/>
      <c r="Q1" s="2236"/>
      <c r="R1" s="2221" t="s">
        <v>199</v>
      </c>
      <c r="S1" s="2222"/>
      <c r="T1" s="2222"/>
      <c r="U1" s="2222"/>
      <c r="V1" s="2227" t="str">
        <f>IF('R-Entrada'!D3&lt;&gt;0,'R-Entrada'!D3,"")</f>
        <v>Biodigestão c/ Prod. E. Elétrica</v>
      </c>
      <c r="W1" s="2228"/>
      <c r="X1" s="2228"/>
      <c r="Y1" s="2228"/>
      <c r="Z1" s="2228"/>
      <c r="AA1" s="2228"/>
      <c r="AB1" s="2229"/>
      <c r="AC1" s="2221" t="s">
        <v>4</v>
      </c>
      <c r="AD1" s="2222"/>
      <c r="AE1" s="2222"/>
      <c r="AF1" s="2222"/>
      <c r="AG1" s="2227" t="str">
        <f>IF('R-Entrada'!D2&lt;&gt;0,'R-Entrada'!D2,"")</f>
        <v>CIRSOP - Consórcio RSU Oeste Paulista</v>
      </c>
      <c r="AH1" s="2228"/>
      <c r="AI1" s="2228"/>
      <c r="AJ1" s="2228"/>
      <c r="AK1" s="2228"/>
      <c r="AL1" s="2228"/>
      <c r="AM1" s="2228"/>
      <c r="AN1" s="2228"/>
      <c r="AO1" s="2228"/>
      <c r="AP1" s="2228"/>
      <c r="AQ1" s="2228"/>
      <c r="AR1" s="2229"/>
      <c r="AS1" s="1026" t="s">
        <v>828</v>
      </c>
      <c r="AT1" s="1023"/>
      <c r="AV1" s="165"/>
    </row>
    <row r="2" spans="2:69" s="164" customFormat="1" ht="3" customHeight="1" x14ac:dyDescent="0.3">
      <c r="B2" s="2230"/>
      <c r="C2" s="2212"/>
      <c r="D2" s="2212"/>
      <c r="E2" s="2212"/>
      <c r="F2" s="2212"/>
      <c r="G2" s="2212"/>
      <c r="H2" s="2212"/>
      <c r="I2" s="2213"/>
      <c r="J2" s="166"/>
      <c r="K2" s="2225"/>
      <c r="L2" s="2212"/>
      <c r="M2" s="2212"/>
      <c r="N2" s="2212"/>
      <c r="O2" s="2212"/>
      <c r="P2" s="2212"/>
      <c r="Q2" s="2212"/>
      <c r="R2" s="2212"/>
      <c r="S2" s="2212"/>
      <c r="T2" s="2212"/>
      <c r="U2" s="2212"/>
      <c r="V2" s="2212"/>
      <c r="W2" s="2212"/>
      <c r="X2" s="2212"/>
      <c r="Y2" s="2212"/>
      <c r="Z2" s="2212"/>
      <c r="AA2" s="2212"/>
      <c r="AB2" s="2212"/>
      <c r="AC2" s="2212"/>
      <c r="AD2" s="2212"/>
      <c r="AE2" s="2212"/>
      <c r="AF2" s="2212"/>
      <c r="AG2" s="2212"/>
      <c r="AH2" s="2212"/>
      <c r="AI2" s="2212"/>
      <c r="AJ2" s="2213"/>
      <c r="AK2" s="2225"/>
      <c r="AL2" s="2212"/>
      <c r="AM2" s="2212"/>
      <c r="AN2" s="2212"/>
      <c r="AO2" s="2212"/>
      <c r="AP2" s="2212"/>
      <c r="AQ2" s="2212"/>
      <c r="AR2" s="2212"/>
      <c r="AS2" s="2212"/>
      <c r="AT2" s="2226"/>
      <c r="AU2" s="165"/>
    </row>
    <row r="3" spans="2:69" s="164" customFormat="1" ht="16.95" customHeight="1" x14ac:dyDescent="0.3">
      <c r="B3" s="167"/>
      <c r="C3" s="158">
        <f>'R-Entrada'!E14</f>
        <v>73.8</v>
      </c>
      <c r="D3" s="168"/>
      <c r="E3" s="2211" t="s">
        <v>200</v>
      </c>
      <c r="F3" s="2212"/>
      <c r="G3" s="2212"/>
      <c r="H3" s="2213"/>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11" t="s">
        <v>201</v>
      </c>
      <c r="F5" s="2212"/>
      <c r="G5" s="2212"/>
      <c r="H5" s="2213"/>
      <c r="I5" s="166"/>
      <c r="J5" s="166"/>
      <c r="K5" s="166"/>
      <c r="L5" s="166"/>
      <c r="M5" s="166"/>
      <c r="N5" s="166"/>
      <c r="O5" s="166"/>
      <c r="P5" s="166"/>
      <c r="Q5" s="166"/>
      <c r="R5" s="166"/>
      <c r="S5" s="166"/>
      <c r="T5" s="166"/>
      <c r="U5" s="166"/>
      <c r="V5" s="166"/>
      <c r="W5" s="166"/>
      <c r="X5" s="166"/>
      <c r="Y5" s="166"/>
      <c r="Z5" s="166"/>
      <c r="AA5" s="166"/>
      <c r="AB5" s="2231" t="s">
        <v>473</v>
      </c>
      <c r="AC5" s="2171"/>
      <c r="AD5" s="2171"/>
      <c r="AE5" s="2171"/>
      <c r="AF5" s="2171"/>
      <c r="AG5" s="2171"/>
      <c r="AH5" s="2171"/>
      <c r="AI5" s="2171"/>
      <c r="AJ5" s="2171"/>
      <c r="AK5" s="2171"/>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11" t="s">
        <v>59</v>
      </c>
      <c r="F7" s="2212"/>
      <c r="G7" s="2212"/>
      <c r="H7" s="2213"/>
      <c r="I7" s="166"/>
      <c r="J7" s="166"/>
      <c r="K7" s="166"/>
      <c r="L7" s="166"/>
      <c r="M7" s="166"/>
      <c r="N7" s="166"/>
      <c r="O7" s="166"/>
      <c r="P7" s="166"/>
      <c r="Q7" s="166"/>
      <c r="R7" s="166"/>
      <c r="S7" s="166"/>
      <c r="T7" s="166"/>
      <c r="U7" s="166"/>
      <c r="V7" s="166"/>
      <c r="W7" s="166"/>
      <c r="X7" s="166"/>
      <c r="Y7" s="166"/>
      <c r="Z7" s="166"/>
      <c r="AA7" s="166"/>
      <c r="AB7" s="2232" t="str">
        <f>Apresentação!I2</f>
        <v>RC-RSU V.1.0 - 15/10/2020</v>
      </c>
      <c r="AC7" s="2233"/>
      <c r="AD7" s="2233"/>
      <c r="AE7" s="2233"/>
      <c r="AF7" s="2233"/>
      <c r="AG7" s="2233"/>
      <c r="AH7" s="2233"/>
      <c r="AI7" s="2233"/>
      <c r="AJ7" s="2233"/>
      <c r="AK7" s="2233"/>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73.8</v>
      </c>
      <c r="D9" s="166"/>
      <c r="E9" s="2211" t="s">
        <v>202</v>
      </c>
      <c r="F9" s="2212"/>
      <c r="G9" s="2212"/>
      <c r="H9" s="2213"/>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73.8</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4" t="s">
        <v>832</v>
      </c>
      <c r="J15" s="2212"/>
      <c r="K15" s="2212"/>
      <c r="L15" s="2212"/>
      <c r="M15" s="2212"/>
      <c r="N15" s="2212"/>
      <c r="O15" s="2213"/>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4" t="s">
        <v>833</v>
      </c>
      <c r="M19" s="2212"/>
      <c r="N19" s="2212"/>
      <c r="O19" s="2212"/>
      <c r="P19" s="2212"/>
      <c r="Q19" s="2212"/>
      <c r="R19" s="2213"/>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9.2249999999999979</v>
      </c>
      <c r="G23" s="166"/>
      <c r="H23" s="166"/>
      <c r="I23" s="166"/>
      <c r="J23" s="166"/>
      <c r="K23" s="166"/>
      <c r="L23" s="166"/>
      <c r="M23" s="166"/>
      <c r="N23" s="166"/>
      <c r="O23" s="166"/>
      <c r="P23" s="166"/>
      <c r="Q23" s="2214" t="s">
        <v>836</v>
      </c>
      <c r="R23" s="2212"/>
      <c r="S23" s="2212"/>
      <c r="T23" s="2212"/>
      <c r="U23" s="2212"/>
      <c r="V23" s="2212"/>
      <c r="W23" s="2213"/>
      <c r="X23" s="166"/>
      <c r="Y23" s="166"/>
      <c r="Z23" s="166"/>
      <c r="AA23" s="166"/>
      <c r="AB23" s="166"/>
      <c r="AC23" s="166"/>
      <c r="AD23" s="166"/>
      <c r="AE23" s="166"/>
      <c r="AF23" s="166"/>
      <c r="AG23" s="166"/>
      <c r="AH23" s="166"/>
      <c r="AI23" s="166"/>
      <c r="AJ23" s="166"/>
      <c r="AK23" s="166"/>
      <c r="AL23" s="166"/>
      <c r="AM23" s="166"/>
      <c r="AN23" s="159"/>
      <c r="AO23" s="158">
        <f>'R-Resumo Bal. Massa'!G64</f>
        <v>0.73569374999999992</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5">
        <f>F15+F19+F23-AO15-AO19-AO23-AS17-AS21-AS25-S25</f>
        <v>4.4589037499999993</v>
      </c>
      <c r="K25" s="2209"/>
      <c r="L25" s="2209"/>
      <c r="M25" s="2210"/>
      <c r="N25" s="166"/>
      <c r="O25" s="166"/>
      <c r="P25" s="166"/>
      <c r="Q25" s="166"/>
      <c r="R25" s="166"/>
      <c r="S25" s="2208">
        <f>IF('R-Definição'!I29&lt;&gt;"Aterro sanitário",'R-Resumo Bal. Massa'!F22,0)</f>
        <v>4.0304024999999992</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08">
        <f>'R-Resumo Bal. Massa'!B25</f>
        <v>0</v>
      </c>
      <c r="W27" s="2210"/>
      <c r="X27" s="166"/>
      <c r="Y27" s="2237" t="s">
        <v>100</v>
      </c>
      <c r="Z27" s="2212"/>
      <c r="AA27" s="2212"/>
      <c r="AB27" s="2213"/>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8">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8">
        <f>SUM('R-Resumo Bal. Massa'!D40:D42)</f>
        <v>4.4589037499999993</v>
      </c>
      <c r="K31" s="2209"/>
      <c r="L31" s="2209"/>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8">
        <f>'R-Resumo Bal. Massa'!D36</f>
        <v>0</v>
      </c>
      <c r="T33" s="2210"/>
      <c r="U33" s="166"/>
      <c r="V33" s="166"/>
      <c r="W33" s="166"/>
      <c r="X33" s="166"/>
      <c r="Y33" s="2208">
        <f>'R-Definição'!E60*'R-Definição'!J59/100</f>
        <v>0</v>
      </c>
      <c r="Z33" s="2210"/>
      <c r="AA33" s="166"/>
      <c r="AB33" s="2240" t="s">
        <v>115</v>
      </c>
      <c r="AC33" s="2241"/>
      <c r="AD33" s="2241"/>
      <c r="AE33" s="2241"/>
      <c r="AF33" s="2242"/>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8">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8">
        <f>'R-Resumo Bal. Massa'!D35</f>
        <v>0</v>
      </c>
      <c r="T37" s="2210"/>
      <c r="U37" s="166"/>
      <c r="V37" s="166"/>
      <c r="W37" s="166"/>
      <c r="X37" s="166"/>
      <c r="Y37" s="166"/>
      <c r="Z37" s="166"/>
      <c r="AA37" s="166"/>
      <c r="AB37" s="166"/>
      <c r="AC37" s="166"/>
      <c r="AD37" s="2237" t="s">
        <v>132</v>
      </c>
      <c r="AE37" s="2212"/>
      <c r="AF37" s="2212"/>
      <c r="AG37" s="2213"/>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8">
        <f>'R-Resumo Bal. Massa'!D43</f>
        <v>4.0304024999999992</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64.574999999999989</v>
      </c>
      <c r="G43" s="166"/>
      <c r="H43" s="166"/>
      <c r="I43" s="166"/>
      <c r="J43" s="2208">
        <f>SUM('R-Resumo Bal. Massa'!D39:D42)</f>
        <v>69.033903749999993</v>
      </c>
      <c r="K43" s="2209"/>
      <c r="L43" s="2209"/>
      <c r="M43" s="2210"/>
      <c r="N43" s="166"/>
      <c r="O43" s="166"/>
      <c r="P43" s="166"/>
      <c r="Q43" s="166"/>
      <c r="R43" s="166"/>
      <c r="S43" s="166"/>
      <c r="T43" s="2208">
        <f>'R-Resumo Bal. Massa'!D44</f>
        <v>73.064306249999987</v>
      </c>
      <c r="U43" s="2210"/>
      <c r="V43" s="166"/>
      <c r="W43" s="166"/>
      <c r="X43" s="166"/>
      <c r="Y43" s="166"/>
      <c r="Z43" s="166"/>
      <c r="AA43" s="166"/>
      <c r="AB43" s="166"/>
      <c r="AC43" s="166"/>
      <c r="AD43" s="166"/>
      <c r="AE43" s="166"/>
      <c r="AF43" s="166"/>
      <c r="AG43" s="733"/>
      <c r="AH43" s="2237" t="s">
        <v>205</v>
      </c>
      <c r="AI43" s="2238"/>
      <c r="AJ43" s="2238"/>
      <c r="AK43" s="2239"/>
      <c r="AL43" s="166"/>
      <c r="AM43" s="166"/>
      <c r="AN43" s="159"/>
      <c r="AO43" s="158">
        <f>'R-Resumo Bal. Massa'!E44</f>
        <v>1.6658002390892177</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56.78564476091077</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14.612861249999996</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6">
        <f>'R-Definição'!E126</f>
        <v>10.229002874999997</v>
      </c>
      <c r="J51" s="220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2.4014939890892175</v>
      </c>
      <c r="AP51" s="162"/>
      <c r="AQ51" s="1025">
        <f>AQ29+AQ33+AQ39+AQ45</f>
        <v>56.78564476091077</v>
      </c>
      <c r="AR51" s="162"/>
      <c r="AS51" s="1025">
        <f>'R-Resumo Bal. Massa'!D53</f>
        <v>14.612861249999996</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6" t="str">
        <f>IF('R-Definição'!O124&gt;0,'R-Definição'!O124,"Não")</f>
        <v>Não</v>
      </c>
      <c r="J53" s="220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6"/>
      <c r="K4" s="2137"/>
      <c r="L4" s="3"/>
      <c r="M4" s="3"/>
      <c r="N4" s="3"/>
      <c r="O4" s="3"/>
      <c r="P4" s="3"/>
      <c r="Q4" s="3"/>
      <c r="R4" s="3"/>
      <c r="S4" s="3"/>
      <c r="T4" s="3"/>
    </row>
    <row r="5" spans="1:20" ht="25.95" customHeight="1" x14ac:dyDescent="0.3">
      <c r="A5" s="3"/>
      <c r="B5" s="100"/>
      <c r="C5" s="204" t="s">
        <v>543</v>
      </c>
      <c r="D5" s="100"/>
      <c r="E5" s="100"/>
      <c r="F5" s="100"/>
      <c r="G5" s="100"/>
      <c r="H5" s="100"/>
      <c r="I5" s="3"/>
      <c r="J5" s="2248" t="s">
        <v>473</v>
      </c>
      <c r="K5" s="2171"/>
      <c r="L5" s="2171"/>
      <c r="M5" s="3"/>
      <c r="N5" s="3"/>
      <c r="O5" s="3"/>
      <c r="P5" s="3"/>
      <c r="Q5" s="3"/>
      <c r="R5" s="3"/>
      <c r="S5" s="3"/>
      <c r="T5" s="3"/>
    </row>
    <row r="6" spans="1:20" ht="18" customHeight="1" x14ac:dyDescent="0.3">
      <c r="A6" s="3"/>
      <c r="B6" s="64"/>
      <c r="C6" s="64"/>
      <c r="D6" s="64"/>
      <c r="E6" s="64"/>
      <c r="F6" s="64"/>
      <c r="G6" s="64"/>
      <c r="H6" s="64"/>
      <c r="I6" s="3"/>
      <c r="J6" s="2128" t="str">
        <f>Apresentação!I2</f>
        <v>RC-RSU V.1.0 - 15/10/2020</v>
      </c>
      <c r="K6" s="2247"/>
      <c r="L6" s="2247"/>
      <c r="M6" s="3"/>
      <c r="N6" s="3"/>
      <c r="O6" s="3"/>
      <c r="P6" s="3"/>
      <c r="Q6" s="3"/>
      <c r="R6" s="3"/>
      <c r="S6" s="3"/>
      <c r="T6" s="3"/>
    </row>
    <row r="7" spans="1:20" ht="18" customHeight="1" x14ac:dyDescent="0.3">
      <c r="A7" s="3"/>
      <c r="B7" s="2129" t="s">
        <v>544</v>
      </c>
      <c r="C7" s="2167"/>
      <c r="D7" s="2167"/>
      <c r="E7" s="2167"/>
      <c r="F7" s="2167"/>
      <c r="G7" s="2167"/>
      <c r="H7" s="2167"/>
      <c r="I7" s="3"/>
      <c r="J7" s="734"/>
      <c r="K7" s="734"/>
      <c r="L7" s="734"/>
      <c r="M7" s="3"/>
      <c r="N7" s="3"/>
      <c r="O7" s="3"/>
      <c r="P7" s="3"/>
      <c r="Q7" s="3"/>
      <c r="R7" s="3"/>
      <c r="S7" s="3"/>
      <c r="T7" s="3"/>
    </row>
    <row r="8" spans="1:20" ht="18" customHeight="1" x14ac:dyDescent="0.3">
      <c r="A8" s="3"/>
      <c r="B8" s="2144" t="s">
        <v>210</v>
      </c>
      <c r="C8" s="2144" t="s">
        <v>211</v>
      </c>
      <c r="D8" s="2129" t="s">
        <v>212</v>
      </c>
      <c r="E8" s="2144" t="s">
        <v>213</v>
      </c>
      <c r="F8" s="2130"/>
      <c r="G8" s="2130"/>
      <c r="H8" s="2130"/>
      <c r="I8" s="3"/>
      <c r="J8" s="3"/>
      <c r="K8" s="3"/>
      <c r="L8" s="3"/>
      <c r="M8" s="3"/>
      <c r="N8" s="3"/>
      <c r="O8" s="3"/>
      <c r="P8" s="14"/>
      <c r="Q8" s="3"/>
      <c r="R8" s="3"/>
      <c r="S8" s="3"/>
      <c r="T8" s="3"/>
    </row>
    <row r="9" spans="1:20" ht="18" customHeight="1" x14ac:dyDescent="0.3">
      <c r="A9" s="7"/>
      <c r="B9" s="2130"/>
      <c r="C9" s="2130"/>
      <c r="D9" s="2130"/>
      <c r="E9" s="2144" t="s">
        <v>214</v>
      </c>
      <c r="F9" s="2261" t="s">
        <v>25</v>
      </c>
      <c r="G9" s="2129" t="s">
        <v>215</v>
      </c>
      <c r="H9" s="2144" t="s">
        <v>216</v>
      </c>
      <c r="I9" s="7"/>
      <c r="J9" s="7"/>
      <c r="K9" s="7"/>
      <c r="L9" s="7"/>
      <c r="M9" s="7"/>
      <c r="N9" s="7"/>
      <c r="O9" s="7"/>
      <c r="P9" s="3"/>
      <c r="Q9" s="3"/>
      <c r="R9" s="7"/>
      <c r="S9" s="3"/>
      <c r="T9" s="3"/>
    </row>
    <row r="10" spans="1:20" ht="18" customHeight="1" x14ac:dyDescent="0.3">
      <c r="A10" s="7"/>
      <c r="B10" s="2130"/>
      <c r="C10" s="2130"/>
      <c r="D10" s="2130"/>
      <c r="E10" s="2130"/>
      <c r="F10" s="2130"/>
      <c r="G10" s="2130"/>
      <c r="H10" s="2130"/>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73.799999999999983</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73.799999999999983</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9.2249999999999979</v>
      </c>
      <c r="C21" s="510" t="s">
        <v>751</v>
      </c>
      <c r="D21" s="223">
        <f>IF('R-Definição'!$I$24="Sim",'R-Definição'!$I$27,0)</f>
        <v>9.2249999999999979</v>
      </c>
      <c r="E21" s="223">
        <f>'R-Definição'!O30</f>
        <v>0.73569374999999992</v>
      </c>
      <c r="F21" s="223">
        <f>'R-Definição'!L32</f>
        <v>4.0304024999999992</v>
      </c>
      <c r="G21" s="223">
        <f>SUM('R-Definição'!O34:'R-Definição'!O35)</f>
        <v>4.4589037499999993</v>
      </c>
      <c r="H21" s="21"/>
      <c r="I21" s="3"/>
      <c r="J21" s="3"/>
      <c r="K21" s="3"/>
      <c r="L21" s="3"/>
      <c r="M21" s="7"/>
      <c r="N21" s="7"/>
      <c r="O21" s="7"/>
      <c r="P21" s="7"/>
      <c r="Q21" s="7"/>
      <c r="R21" s="3"/>
      <c r="S21" s="3"/>
      <c r="T21" s="3"/>
    </row>
    <row r="22" spans="1:20" ht="18" customHeight="1" x14ac:dyDescent="0.3">
      <c r="A22" s="3"/>
      <c r="B22" s="745"/>
      <c r="C22" s="746" t="s">
        <v>218</v>
      </c>
      <c r="D22" s="740">
        <f>SUM(D19:D21)</f>
        <v>9.2249999999999979</v>
      </c>
      <c r="E22" s="224">
        <f>SUM(E19:E21)</f>
        <v>0.73569374999999992</v>
      </c>
      <c r="F22" s="224">
        <f>SUM(F19:F21)</f>
        <v>4.0304024999999992</v>
      </c>
      <c r="G22" s="224">
        <f>SUM(G19:G21)</f>
        <v>4.4589037499999993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9">
        <f>D29</f>
        <v>0</v>
      </c>
      <c r="C25" s="233" t="s">
        <v>732</v>
      </c>
      <c r="D25" s="223">
        <f>'R-Definição'!E49</f>
        <v>0</v>
      </c>
      <c r="E25" s="2251">
        <f>'R-Definição'!O49+'R-Definição'!O50</f>
        <v>0</v>
      </c>
      <c r="F25" s="2253"/>
      <c r="G25" s="2251">
        <f>'R-Definição'!O53</f>
        <v>0</v>
      </c>
      <c r="H25" s="2251">
        <f>'R-Definição'!O55</f>
        <v>0</v>
      </c>
      <c r="I25" s="3"/>
      <c r="J25" s="3"/>
      <c r="K25" s="3"/>
      <c r="L25" s="3"/>
      <c r="M25" s="3"/>
      <c r="N25" s="3"/>
      <c r="O25" s="3"/>
      <c r="P25" s="3"/>
      <c r="Q25" s="3"/>
      <c r="R25" s="3"/>
      <c r="S25" s="3"/>
      <c r="T25" s="3"/>
    </row>
    <row r="26" spans="1:20" ht="18" customHeight="1" x14ac:dyDescent="0.3">
      <c r="A26" s="3"/>
      <c r="B26" s="2250"/>
      <c r="C26" s="233" t="s">
        <v>733</v>
      </c>
      <c r="D26" s="223">
        <f>'R-Definição'!E50</f>
        <v>0</v>
      </c>
      <c r="E26" s="2252"/>
      <c r="F26" s="2252"/>
      <c r="G26" s="2252"/>
      <c r="H26" s="2252"/>
      <c r="I26" s="3"/>
      <c r="J26" s="3"/>
      <c r="K26" s="3"/>
      <c r="L26" s="3"/>
      <c r="M26" s="3"/>
      <c r="N26" s="3"/>
      <c r="O26" s="3"/>
      <c r="P26" s="3"/>
      <c r="Q26" s="3"/>
      <c r="R26" s="3"/>
      <c r="S26" s="3"/>
      <c r="T26" s="3"/>
    </row>
    <row r="27" spans="1:20" ht="18" customHeight="1" x14ac:dyDescent="0.3">
      <c r="A27" s="3"/>
      <c r="B27" s="2250"/>
      <c r="C27" s="233" t="s">
        <v>545</v>
      </c>
      <c r="D27" s="223">
        <f>'R-Definição'!E51</f>
        <v>0</v>
      </c>
      <c r="E27" s="2252"/>
      <c r="F27" s="2252"/>
      <c r="G27" s="2252"/>
      <c r="H27" s="2252"/>
      <c r="I27" s="3"/>
      <c r="J27" s="3"/>
      <c r="K27" s="3"/>
      <c r="L27" s="3"/>
      <c r="M27" s="3"/>
      <c r="N27" s="3"/>
      <c r="O27" s="3"/>
      <c r="P27" s="3"/>
      <c r="Q27" s="3"/>
      <c r="R27" s="3"/>
      <c r="S27" s="3"/>
      <c r="T27" s="3"/>
    </row>
    <row r="28" spans="1:20" ht="18" customHeight="1" x14ac:dyDescent="0.3">
      <c r="A28" s="3"/>
      <c r="B28" s="2250"/>
      <c r="C28" s="233" t="s">
        <v>546</v>
      </c>
      <c r="D28" s="223">
        <f>'R-Definição'!E52</f>
        <v>0</v>
      </c>
      <c r="E28" s="2252"/>
      <c r="F28" s="2252"/>
      <c r="G28" s="2252"/>
      <c r="H28" s="2252"/>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62">
        <f>'R-Definição'!O67+'R-Definição'!O68</f>
        <v>0</v>
      </c>
      <c r="G34" s="2251">
        <f>'R-Definição'!O73</f>
        <v>0</v>
      </c>
      <c r="H34" s="2251">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55"/>
      <c r="G35" s="2255"/>
      <c r="H35" s="2255"/>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9">
        <f>'R-Definição'!E112</f>
        <v>73.064306249999987</v>
      </c>
      <c r="C39" s="507" t="s">
        <v>222</v>
      </c>
      <c r="D39" s="223">
        <f>'R-Definição'!E107</f>
        <v>64.574999999999989</v>
      </c>
      <c r="E39" s="2254">
        <f>'R-Definição'!O107+'R-Definição'!O108+'R-Definição'!O109</f>
        <v>1.6658002390892177</v>
      </c>
      <c r="F39" s="2253"/>
      <c r="G39" s="2254">
        <f>'R-Definição'!O110</f>
        <v>14.612861249999996</v>
      </c>
      <c r="H39" s="2254">
        <f>'R-Definição'!O113</f>
        <v>56.78564476091077</v>
      </c>
      <c r="I39" s="3"/>
      <c r="J39" s="3"/>
      <c r="K39" s="3"/>
      <c r="L39" s="3"/>
      <c r="M39" s="3"/>
      <c r="N39" s="3"/>
      <c r="O39" s="3"/>
      <c r="P39" s="3"/>
      <c r="Q39" s="3"/>
      <c r="R39" s="3"/>
      <c r="S39" s="3"/>
      <c r="T39" s="3"/>
    </row>
    <row r="40" spans="1:20" ht="18" customHeight="1" x14ac:dyDescent="0.3">
      <c r="A40" s="3"/>
      <c r="B40" s="2178"/>
      <c r="C40" s="507" t="s">
        <v>752</v>
      </c>
      <c r="D40" s="223">
        <f>'R-Definição'!E108</f>
        <v>0</v>
      </c>
      <c r="E40" s="2255"/>
      <c r="F40" s="2255"/>
      <c r="G40" s="2255"/>
      <c r="H40" s="2255"/>
      <c r="I40" s="3"/>
      <c r="J40" s="3"/>
      <c r="K40" s="3"/>
      <c r="L40" s="3"/>
      <c r="M40" s="3"/>
      <c r="N40" s="3"/>
      <c r="O40" s="3"/>
      <c r="P40" s="3"/>
      <c r="Q40" s="3"/>
      <c r="R40" s="3"/>
      <c r="S40" s="3"/>
      <c r="T40" s="3"/>
    </row>
    <row r="41" spans="1:20" ht="18" customHeight="1" x14ac:dyDescent="0.3">
      <c r="A41" s="3"/>
      <c r="B41" s="2178"/>
      <c r="C41" s="507" t="s">
        <v>734</v>
      </c>
      <c r="D41" s="223">
        <f>'R-Definição'!E109</f>
        <v>0</v>
      </c>
      <c r="E41" s="2255"/>
      <c r="F41" s="2255"/>
      <c r="G41" s="2255"/>
      <c r="H41" s="2255"/>
      <c r="I41" s="3"/>
      <c r="J41" s="3"/>
      <c r="K41" s="3"/>
      <c r="L41" s="3"/>
      <c r="M41" s="3"/>
      <c r="N41" s="3"/>
      <c r="O41" s="3"/>
      <c r="P41" s="3"/>
      <c r="Q41" s="3"/>
      <c r="R41" s="3"/>
      <c r="S41" s="3"/>
      <c r="T41" s="3"/>
    </row>
    <row r="42" spans="1:20" ht="18" customHeight="1" x14ac:dyDescent="0.3">
      <c r="A42" s="3"/>
      <c r="B42" s="2178"/>
      <c r="C42" s="237" t="s">
        <v>819</v>
      </c>
      <c r="D42" s="223">
        <f>'R-Definição'!E110</f>
        <v>4.4589037499999993</v>
      </c>
      <c r="E42" s="2255"/>
      <c r="F42" s="2255"/>
      <c r="G42" s="2255"/>
      <c r="H42" s="2255"/>
      <c r="I42" s="3"/>
      <c r="J42" s="3"/>
      <c r="K42" s="3"/>
      <c r="L42" s="3"/>
      <c r="M42" s="3"/>
      <c r="N42" s="3"/>
      <c r="O42" s="3"/>
      <c r="P42" s="3"/>
      <c r="Q42" s="3"/>
      <c r="R42" s="3"/>
      <c r="S42" s="3"/>
      <c r="T42" s="3"/>
    </row>
    <row r="43" spans="1:20" ht="18" customHeight="1" x14ac:dyDescent="0.3">
      <c r="A43" s="3"/>
      <c r="C43" s="1708" t="s">
        <v>990</v>
      </c>
      <c r="D43" s="1707">
        <f>'R-Definição'!E111</f>
        <v>4.0304024999999992</v>
      </c>
      <c r="I43" s="3"/>
      <c r="J43" s="3"/>
      <c r="K43" s="3"/>
      <c r="L43" s="3"/>
      <c r="M43" s="3"/>
      <c r="N43" s="3"/>
      <c r="O43" s="3"/>
      <c r="P43" s="3"/>
      <c r="Q43" s="3"/>
      <c r="R43" s="3"/>
      <c r="S43" s="3"/>
      <c r="T43" s="3"/>
    </row>
    <row r="44" spans="1:20" ht="18" customHeight="1" x14ac:dyDescent="0.3">
      <c r="A44" s="3"/>
      <c r="B44" s="211"/>
      <c r="C44" s="747" t="s">
        <v>218</v>
      </c>
      <c r="D44" s="979">
        <f>SUM(D39:D43)</f>
        <v>73.064306249999987</v>
      </c>
      <c r="E44" s="750">
        <f>E39</f>
        <v>1.6658002390892177</v>
      </c>
      <c r="F44" s="751"/>
      <c r="G44" s="750">
        <f>SUM(G38:G42)</f>
        <v>14.612861249999996</v>
      </c>
      <c r="H44" s="750">
        <f>SUM(H38:H42)</f>
        <v>56.78564476091077</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3">
        <f>'R-Definição'!E119</f>
        <v>14.612861249999996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4"/>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44"/>
      <c r="C49" s="1706" t="s">
        <v>548</v>
      </c>
      <c r="D49" s="1707">
        <f>'R-Definição'!N98+'R-Definição'!N99+'R-Definição'!N97</f>
        <v>0</v>
      </c>
      <c r="E49" s="5"/>
      <c r="F49" s="233" t="s">
        <v>226</v>
      </c>
      <c r="G49" s="223">
        <f>D53</f>
        <v>14.612861249999996</v>
      </c>
      <c r="H49" s="878">
        <f>IF($G$52&lt;&gt;0,G49/$G$52*100,0)</f>
        <v>19.800625</v>
      </c>
      <c r="I49" s="20"/>
      <c r="J49" s="3"/>
      <c r="K49" s="3"/>
      <c r="L49" s="3"/>
      <c r="M49" s="3"/>
      <c r="N49" s="3"/>
      <c r="O49" s="3"/>
      <c r="P49" s="3"/>
      <c r="Q49" s="3"/>
      <c r="R49" s="3"/>
      <c r="S49" s="3"/>
      <c r="T49" s="3"/>
    </row>
    <row r="50" spans="1:20" ht="18" customHeight="1" x14ac:dyDescent="0.3">
      <c r="A50" s="3"/>
      <c r="B50" s="2244"/>
      <c r="C50" s="1706" t="s">
        <v>549</v>
      </c>
      <c r="D50" s="1707">
        <f>'R-Definição'!O53</f>
        <v>0</v>
      </c>
      <c r="E50" s="5"/>
      <c r="F50" s="233" t="s">
        <v>552</v>
      </c>
      <c r="G50" s="878">
        <f>E44+F36+E29+E22</f>
        <v>2.4014939890892175</v>
      </c>
      <c r="H50" s="878">
        <f>IF($G$52&lt;&gt;0,G50/$G$52*100,0)</f>
        <v>3.2540568957848479</v>
      </c>
      <c r="I50" s="22"/>
      <c r="J50" s="3"/>
      <c r="K50" s="3"/>
      <c r="L50" s="3"/>
      <c r="M50" s="3"/>
      <c r="N50" s="3"/>
      <c r="O50" s="3"/>
      <c r="P50" s="3"/>
      <c r="Q50" s="3"/>
      <c r="R50" s="3"/>
      <c r="S50" s="3"/>
      <c r="T50" s="3"/>
    </row>
    <row r="51" spans="1:20" ht="18" customHeight="1" x14ac:dyDescent="0.3">
      <c r="A51" s="3"/>
      <c r="B51" s="2244"/>
      <c r="C51" s="1706" t="s">
        <v>550</v>
      </c>
      <c r="D51" s="1707">
        <f>'R-Definição'!O73</f>
        <v>0</v>
      </c>
      <c r="E51" s="3"/>
      <c r="F51" s="233" t="s">
        <v>227</v>
      </c>
      <c r="G51" s="878">
        <f>H29+H36+H44</f>
        <v>56.78564476091077</v>
      </c>
      <c r="H51" s="878">
        <f>IF($G$52&lt;&gt;0,G51/$G$52*100,0)</f>
        <v>76.945318104215161</v>
      </c>
      <c r="I51" s="3"/>
      <c r="J51" s="3"/>
      <c r="K51" s="3"/>
      <c r="L51" s="3"/>
      <c r="M51" s="3"/>
      <c r="N51" s="3"/>
      <c r="O51" s="3"/>
      <c r="P51" s="3"/>
      <c r="Q51" s="3"/>
      <c r="R51" s="3"/>
      <c r="S51" s="3"/>
      <c r="T51" s="3"/>
    </row>
    <row r="52" spans="1:20" ht="18" customHeight="1" x14ac:dyDescent="0.3">
      <c r="A52" s="3"/>
      <c r="B52" s="2245"/>
      <c r="C52" s="1706" t="s">
        <v>551</v>
      </c>
      <c r="D52" s="1707">
        <f>'R-Definição'!O110</f>
        <v>14.612861249999996</v>
      </c>
      <c r="E52" s="3"/>
      <c r="F52" s="752" t="s">
        <v>53</v>
      </c>
      <c r="G52" s="224">
        <f>SUM(G49:G51)</f>
        <v>73.799999999999983</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14.612861249999996</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9" t="s">
        <v>151</v>
      </c>
      <c r="C55" s="2167"/>
      <c r="D55" s="2129" t="s">
        <v>229</v>
      </c>
      <c r="E55" s="2189"/>
      <c r="F55" s="2189"/>
      <c r="G55" s="2189"/>
      <c r="H55" s="2189"/>
      <c r="I55" s="2189"/>
      <c r="J55" s="2189"/>
      <c r="K55" s="2189"/>
      <c r="L55" s="3"/>
      <c r="M55" s="3"/>
      <c r="N55" s="3"/>
      <c r="O55" s="3"/>
      <c r="P55" s="3"/>
      <c r="Q55" s="3"/>
      <c r="R55" s="3"/>
      <c r="S55" s="3"/>
      <c r="T55" s="3"/>
    </row>
    <row r="56" spans="1:20" ht="18" customHeight="1" x14ac:dyDescent="0.3">
      <c r="A56" s="3"/>
      <c r="B56" s="2167"/>
      <c r="C56" s="2167"/>
      <c r="D56" s="2258" t="s">
        <v>53</v>
      </c>
      <c r="E56" s="2258" t="s">
        <v>185</v>
      </c>
      <c r="F56" s="2259"/>
      <c r="G56" s="2259"/>
      <c r="H56" s="2260" t="s">
        <v>62</v>
      </c>
      <c r="I56" s="2260" t="s">
        <v>188</v>
      </c>
      <c r="J56" s="2260" t="s">
        <v>64</v>
      </c>
      <c r="K56" s="2260" t="s">
        <v>65</v>
      </c>
      <c r="L56" s="3"/>
      <c r="M56" s="3"/>
      <c r="N56" s="3"/>
      <c r="O56" s="3"/>
      <c r="P56" s="3"/>
      <c r="Q56" s="3"/>
      <c r="R56" s="3"/>
      <c r="S56" s="3"/>
      <c r="T56" s="3"/>
    </row>
    <row r="57" spans="1:20" ht="18" customHeight="1" x14ac:dyDescent="0.3">
      <c r="A57" s="3"/>
      <c r="B57" s="2257" t="s">
        <v>28</v>
      </c>
      <c r="C57" s="515" t="s">
        <v>21</v>
      </c>
      <c r="D57" s="2259"/>
      <c r="E57" s="515" t="s">
        <v>80</v>
      </c>
      <c r="F57" s="515" t="s">
        <v>87</v>
      </c>
      <c r="G57" s="515" t="s">
        <v>73</v>
      </c>
      <c r="H57" s="2259"/>
      <c r="I57" s="2259"/>
      <c r="J57" s="2259"/>
      <c r="K57" s="2259"/>
      <c r="L57" s="3"/>
      <c r="M57" s="3"/>
      <c r="N57" s="3"/>
      <c r="O57" s="3"/>
      <c r="P57" s="3"/>
      <c r="Q57" s="3"/>
      <c r="R57" s="3"/>
      <c r="S57" s="3"/>
      <c r="T57" s="3"/>
    </row>
    <row r="58" spans="1:20" ht="18" customHeight="1" x14ac:dyDescent="0.3">
      <c r="A58" s="3"/>
      <c r="B58" s="2257"/>
      <c r="C58" s="233" t="s">
        <v>74</v>
      </c>
      <c r="D58" s="223">
        <f t="shared" ref="D58:D64" si="0">SUM(E58:K58)</f>
        <v>0.30211874999999999</v>
      </c>
      <c r="E58" s="223">
        <f>'R-Definição'!M24</f>
        <v>0</v>
      </c>
      <c r="F58" s="223">
        <f>'R-Definição'!N24</f>
        <v>0</v>
      </c>
      <c r="G58" s="223">
        <f>'R-Definição'!O24</f>
        <v>0.30211874999999999</v>
      </c>
      <c r="H58" s="878"/>
      <c r="I58" s="877"/>
      <c r="J58" s="877"/>
      <c r="K58" s="877"/>
      <c r="L58" s="3"/>
      <c r="M58" s="3"/>
      <c r="N58" s="3"/>
      <c r="O58" s="3"/>
      <c r="P58" s="3"/>
      <c r="Q58" s="3"/>
      <c r="R58" s="3"/>
      <c r="S58" s="3"/>
      <c r="T58" s="3"/>
    </row>
    <row r="59" spans="1:20" ht="18" customHeight="1" x14ac:dyDescent="0.3">
      <c r="A59" s="3"/>
      <c r="B59" s="2257"/>
      <c r="C59" s="233" t="s">
        <v>29</v>
      </c>
      <c r="D59" s="223">
        <f t="shared" si="0"/>
        <v>0.20525625000000003</v>
      </c>
      <c r="E59" s="223">
        <f>'R-Definição'!M25</f>
        <v>0</v>
      </c>
      <c r="F59" s="223">
        <f>'R-Definição'!N25</f>
        <v>0</v>
      </c>
      <c r="G59" s="223">
        <f>'R-Definição'!O25</f>
        <v>0.20525625000000003</v>
      </c>
      <c r="H59" s="879"/>
      <c r="I59" s="880"/>
      <c r="J59" s="880"/>
      <c r="K59" s="880"/>
      <c r="L59" s="3"/>
      <c r="M59" s="3"/>
      <c r="N59" s="3"/>
      <c r="O59" s="3"/>
      <c r="P59" s="3"/>
      <c r="Q59" s="3"/>
      <c r="R59" s="3"/>
      <c r="S59" s="3"/>
      <c r="T59" s="3"/>
    </row>
    <row r="60" spans="1:20" ht="18" customHeight="1" x14ac:dyDescent="0.3">
      <c r="A60" s="3"/>
      <c r="B60" s="2257"/>
      <c r="C60" s="233" t="s">
        <v>78</v>
      </c>
      <c r="D60" s="223">
        <f t="shared" si="0"/>
        <v>0.10608749999999999</v>
      </c>
      <c r="E60" s="223">
        <f>'R-Definição'!M26</f>
        <v>0</v>
      </c>
      <c r="F60" s="223">
        <f>'R-Definição'!N26</f>
        <v>0</v>
      </c>
      <c r="G60" s="223">
        <f>'R-Definição'!O26</f>
        <v>0.10608749999999999</v>
      </c>
      <c r="H60" s="878"/>
      <c r="I60" s="877"/>
      <c r="J60" s="877"/>
      <c r="K60" s="877"/>
      <c r="L60" s="3"/>
      <c r="M60" s="3"/>
      <c r="N60" s="3"/>
      <c r="O60" s="3"/>
      <c r="P60" s="3"/>
      <c r="Q60" s="3"/>
      <c r="R60" s="3"/>
      <c r="S60" s="3"/>
      <c r="T60" s="3"/>
    </row>
    <row r="61" spans="1:20" ht="18" customHeight="1" x14ac:dyDescent="0.3">
      <c r="A61" s="3"/>
      <c r="B61" s="2257"/>
      <c r="C61" s="233" t="s">
        <v>31</v>
      </c>
      <c r="D61" s="223">
        <f t="shared" si="0"/>
        <v>5.5349999999999989E-2</v>
      </c>
      <c r="E61" s="223">
        <f>'R-Definição'!M27</f>
        <v>0</v>
      </c>
      <c r="F61" s="223">
        <f>'R-Definição'!N27</f>
        <v>0</v>
      </c>
      <c r="G61" s="223">
        <f>'R-Definição'!O27</f>
        <v>5.5349999999999989E-2</v>
      </c>
      <c r="H61" s="878"/>
      <c r="I61" s="877"/>
      <c r="J61" s="877"/>
      <c r="K61" s="877"/>
      <c r="L61" s="3"/>
      <c r="M61" s="3"/>
      <c r="N61" s="3"/>
      <c r="O61" s="3"/>
      <c r="P61" s="3"/>
      <c r="Q61" s="3"/>
      <c r="R61" s="3"/>
      <c r="S61" s="3"/>
      <c r="T61" s="3"/>
    </row>
    <row r="62" spans="1:20" ht="18" customHeight="1" x14ac:dyDescent="0.3">
      <c r="A62" s="3"/>
      <c r="B62" s="2257"/>
      <c r="C62" s="233" t="s">
        <v>32</v>
      </c>
      <c r="D62" s="223">
        <f t="shared" si="0"/>
        <v>1.374195663760414</v>
      </c>
      <c r="E62" s="223">
        <f>'R-Definição'!M28</f>
        <v>0</v>
      </c>
      <c r="F62" s="223">
        <f>'R-Definição'!N28</f>
        <v>0</v>
      </c>
      <c r="G62" s="223">
        <f>'R-Definição'!O28</f>
        <v>5.3043749999999994E-2</v>
      </c>
      <c r="H62" s="878"/>
      <c r="I62" s="877"/>
      <c r="J62" s="878">
        <f>'R-Definição'!O107</f>
        <v>1.321151913760414</v>
      </c>
      <c r="K62" s="877"/>
      <c r="L62" s="3"/>
      <c r="M62" s="3"/>
      <c r="N62" s="3"/>
      <c r="O62" s="3"/>
      <c r="P62" s="3"/>
      <c r="Q62" s="3"/>
      <c r="R62" s="3"/>
      <c r="S62" s="3"/>
      <c r="T62" s="3"/>
    </row>
    <row r="63" spans="1:20" ht="18" customHeight="1" x14ac:dyDescent="0.3">
      <c r="A63" s="3"/>
      <c r="B63" s="2257"/>
      <c r="C63" s="233" t="s">
        <v>84</v>
      </c>
      <c r="D63" s="223">
        <f t="shared" si="0"/>
        <v>0.35848582532880363</v>
      </c>
      <c r="E63" s="223">
        <f>'R-Definição'!M29</f>
        <v>0</v>
      </c>
      <c r="F63" s="223">
        <f>'R-Definição'!N29</f>
        <v>0</v>
      </c>
      <c r="G63" s="223">
        <f>'R-Definição'!O29</f>
        <v>1.3837499999999997E-2</v>
      </c>
      <c r="H63" s="878"/>
      <c r="I63" s="877"/>
      <c r="J63" s="878">
        <f>'R-Definição'!O108</f>
        <v>0.34464832532880363</v>
      </c>
      <c r="K63" s="877"/>
      <c r="L63" s="3"/>
      <c r="M63" s="3"/>
      <c r="N63" s="3"/>
      <c r="O63" s="3"/>
      <c r="P63" s="3"/>
      <c r="Q63" s="3"/>
      <c r="R63" s="3"/>
      <c r="S63" s="3"/>
      <c r="T63" s="3"/>
    </row>
    <row r="64" spans="1:20" ht="18" customHeight="1" x14ac:dyDescent="0.3">
      <c r="A64" s="3"/>
      <c r="B64" s="2257"/>
      <c r="C64" s="753" t="s">
        <v>513</v>
      </c>
      <c r="D64" s="241">
        <f t="shared" si="0"/>
        <v>2.4014939890892175</v>
      </c>
      <c r="E64" s="242">
        <f>SUM(E58:E63)</f>
        <v>0</v>
      </c>
      <c r="F64" s="242">
        <f>SUM(F58:F63)</f>
        <v>0</v>
      </c>
      <c r="G64" s="242">
        <f>SUM(G58:G63)</f>
        <v>0.73569374999999992</v>
      </c>
      <c r="H64" s="235"/>
      <c r="I64" s="517"/>
      <c r="J64" s="243">
        <f>SUM(J58:J63)</f>
        <v>1.6658002390892177</v>
      </c>
      <c r="K64" s="517"/>
      <c r="L64" s="3"/>
      <c r="M64" s="3"/>
      <c r="N64" s="3"/>
      <c r="O64" s="3"/>
      <c r="P64" s="3"/>
      <c r="Q64" s="3"/>
      <c r="R64" s="3"/>
      <c r="S64" s="3"/>
      <c r="T64" s="3"/>
    </row>
    <row r="65" spans="1:20" ht="18" customHeight="1" x14ac:dyDescent="0.3">
      <c r="A65" s="3"/>
      <c r="B65" s="2257"/>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6"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7"/>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7"/>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7"/>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7"/>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7"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7"/>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7"/>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49534.248252065823</v>
      </c>
      <c r="E74" s="873"/>
      <c r="F74" s="873"/>
      <c r="G74" s="873"/>
      <c r="H74" s="874"/>
      <c r="I74" s="873">
        <f>'R-Definição'!O69</f>
        <v>0</v>
      </c>
      <c r="J74" s="873">
        <f>'R-Definição'!O111</f>
        <v>49534.248252065823</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4" t="str">
        <f>IF('R-Entrada'!D2&lt;&gt;0,'R-Entrada'!D2,"")</f>
        <v>CIRSOP - Consórcio RSU Oeste Paulista</v>
      </c>
      <c r="E2" s="2174"/>
      <c r="F2" s="2174"/>
      <c r="G2" s="217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4" t="str">
        <f>IF('R-Entrada'!D3&lt;&gt;0,'R-Entrada'!D3,"")</f>
        <v>Biodigestão c/ Prod. E. Elétrica</v>
      </c>
      <c r="E3" s="2146"/>
      <c r="F3" s="2146"/>
      <c r="G3" s="2146"/>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5" t="s">
        <v>473</v>
      </c>
      <c r="R5" s="2176"/>
      <c r="S5" s="2176"/>
      <c r="T5" s="2176"/>
      <c r="U5" s="217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8" t="str">
        <f>Apresentação!I2</f>
        <v>RC-RSU V.1.0 - 15/10/2020</v>
      </c>
      <c r="R6" s="2128"/>
      <c r="S6" s="2128"/>
      <c r="T6" s="2176"/>
      <c r="U6" s="2176"/>
      <c r="V6" s="476"/>
      <c r="W6" s="476"/>
      <c r="X6" s="476"/>
      <c r="Y6" s="2266"/>
      <c r="Z6" s="2267"/>
      <c r="AA6" s="2267"/>
      <c r="AB6" s="2267"/>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7"/>
      <c r="Z7" s="2267"/>
      <c r="AA7" s="2267"/>
      <c r="AB7" s="2267"/>
      <c r="AC7" s="476"/>
      <c r="AD7" s="476"/>
      <c r="AE7" s="476"/>
      <c r="AF7" s="476"/>
      <c r="AG7" s="476"/>
      <c r="AH7" s="476"/>
    </row>
    <row r="8" spans="1:34" ht="18" customHeight="1" x14ac:dyDescent="0.3">
      <c r="A8" s="251"/>
      <c r="B8" s="2268" t="s">
        <v>777</v>
      </c>
      <c r="C8" s="2269"/>
      <c r="D8" s="2269"/>
      <c r="E8" s="2269"/>
      <c r="F8" s="834"/>
      <c r="G8" s="834"/>
      <c r="H8" s="834"/>
      <c r="I8" s="834"/>
      <c r="J8" s="835"/>
      <c r="K8" s="438"/>
      <c r="L8" s="195" t="s">
        <v>932</v>
      </c>
      <c r="M8" s="454"/>
      <c r="N8" s="454"/>
      <c r="O8" s="454"/>
      <c r="P8" s="454"/>
      <c r="Q8" s="454"/>
      <c r="R8" s="454"/>
      <c r="S8" s="455"/>
      <c r="T8" s="498"/>
      <c r="U8" s="245"/>
      <c r="V8" s="476"/>
      <c r="W8" s="476"/>
      <c r="X8" s="476"/>
      <c r="Y8" s="2267"/>
      <c r="Z8" s="2267"/>
      <c r="AA8" s="2267"/>
      <c r="AB8" s="2267"/>
      <c r="AC8" s="476"/>
      <c r="AD8" s="476"/>
      <c r="AE8" s="476"/>
      <c r="AF8" s="476"/>
      <c r="AG8" s="476"/>
      <c r="AH8" s="476"/>
    </row>
    <row r="9" spans="1:34" ht="18" customHeight="1" x14ac:dyDescent="0.3">
      <c r="A9" s="245"/>
      <c r="B9" s="439"/>
      <c r="C9" s="802" t="s">
        <v>240</v>
      </c>
      <c r="D9" s="803" t="s">
        <v>799</v>
      </c>
      <c r="E9" s="815"/>
      <c r="F9" s="833"/>
      <c r="G9" s="639"/>
      <c r="H9" s="652"/>
      <c r="I9" s="1027">
        <f>'R-Entrada'!E14*313</f>
        <v>23099.399999999998</v>
      </c>
      <c r="J9" s="255" t="s">
        <v>241</v>
      </c>
      <c r="K9" s="440"/>
      <c r="L9" s="814"/>
      <c r="M9" s="456" t="s">
        <v>242</v>
      </c>
      <c r="N9" s="456"/>
      <c r="O9" s="456"/>
      <c r="P9" s="456"/>
      <c r="Q9" s="456"/>
      <c r="R9" s="456"/>
      <c r="S9" s="457"/>
      <c r="T9" s="836"/>
      <c r="U9" s="245"/>
      <c r="V9" s="476"/>
      <c r="W9" s="476"/>
      <c r="X9" s="476"/>
      <c r="Y9" s="2267"/>
      <c r="Z9" s="2267"/>
      <c r="AA9" s="2267"/>
      <c r="AB9" s="2267"/>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0.30211874999999999</v>
      </c>
      <c r="T10" s="850" t="s">
        <v>21</v>
      </c>
      <c r="U10" s="754"/>
      <c r="V10" s="476"/>
      <c r="W10" s="476"/>
      <c r="X10" s="476"/>
      <c r="Y10" s="2267"/>
      <c r="Z10" s="2267"/>
      <c r="AA10" s="2267"/>
      <c r="AB10" s="2267"/>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0.31134375000000003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5.5349999999999989E-2</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5.3043749999999994E-2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1.3837499999999997E-2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3" t="s">
        <v>800</v>
      </c>
      <c r="AC16" s="2151"/>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3.7951649999999995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0.23523749999999999</v>
      </c>
      <c r="T18" s="852" t="s">
        <v>21</v>
      </c>
      <c r="U18" s="754"/>
      <c r="V18" s="476"/>
      <c r="W18" s="507" t="s">
        <v>247</v>
      </c>
      <c r="X18" s="786"/>
      <c r="Y18" s="254">
        <f>'R-Definição'!$D$14+'R-Definição'!$O$32</f>
        <v>3.7951649999999995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0.23523749999999999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73.064306249999987</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73.064306249999987</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2" t="s">
        <v>473</v>
      </c>
      <c r="D2" s="2137"/>
      <c r="E2" s="862"/>
      <c r="F2" s="1574" t="s">
        <v>485</v>
      </c>
      <c r="G2" s="2273" t="str">
        <f>IF('R-Definição'!D2&lt;&gt;0,'R-Definição'!D2,"")</f>
        <v>CIRSOP - Consórcio RSU Oeste Paulista</v>
      </c>
      <c r="H2" s="2274"/>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1" t="str">
        <f>Apresentação!I2</f>
        <v>RC-RSU V.1.0 - 15/10/2020</v>
      </c>
      <c r="D3" s="2281"/>
      <c r="E3" s="862"/>
      <c r="F3" s="1575" t="s">
        <v>486</v>
      </c>
      <c r="G3" s="2275" t="str">
        <f>IF('R-Definição'!D3&lt;&gt;0,'R-Definição'!D3,"")</f>
        <v>Biodigestão c/ Prod. E. Elétrica</v>
      </c>
      <c r="H3" s="2276"/>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73.8</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537.85074868029085</v>
      </c>
      <c r="V7" s="992">
        <f>L59</f>
        <v>0</v>
      </c>
      <c r="W7" s="992">
        <f>L62</f>
        <v>0</v>
      </c>
      <c r="X7" s="992">
        <f>L65</f>
        <v>0</v>
      </c>
      <c r="Y7" s="992">
        <f>L68</f>
        <v>0</v>
      </c>
      <c r="Z7" s="992">
        <f>L71</f>
        <v>1343.0039850581582</v>
      </c>
      <c r="AA7" s="992">
        <f>L74</f>
        <v>439.0507846966205</v>
      </c>
      <c r="AB7" s="1622"/>
    </row>
    <row r="8" spans="1:28" s="2017" customFormat="1" ht="17.55" customHeight="1" x14ac:dyDescent="0.3">
      <c r="A8" s="1735"/>
      <c r="B8" s="2063" t="s">
        <v>297</v>
      </c>
      <c r="C8" s="2018" t="s">
        <v>298</v>
      </c>
      <c r="D8" s="2019">
        <f>D40</f>
        <v>23025.599999999999</v>
      </c>
      <c r="E8" s="1735"/>
      <c r="F8" s="2063" t="s">
        <v>562</v>
      </c>
      <c r="G8" s="2018" t="s">
        <v>292</v>
      </c>
      <c r="H8" s="2015">
        <f>O78</f>
        <v>20.262366027732043</v>
      </c>
      <c r="I8" s="1735"/>
      <c r="J8" s="1735"/>
      <c r="K8" s="2016"/>
      <c r="L8" s="1735"/>
      <c r="M8" s="1735"/>
      <c r="N8" s="1735"/>
      <c r="O8" s="1735"/>
      <c r="P8" s="1735"/>
      <c r="Q8" s="1735"/>
      <c r="R8" s="991" t="s">
        <v>300</v>
      </c>
      <c r="S8" s="1623">
        <v>0</v>
      </c>
      <c r="T8" s="993">
        <f>L52</f>
        <v>0</v>
      </c>
      <c r="U8" s="993">
        <f>L55</f>
        <v>4289.0590054504992</v>
      </c>
      <c r="V8" s="993">
        <f>L58</f>
        <v>0</v>
      </c>
      <c r="W8" s="993">
        <f>L61</f>
        <v>0</v>
      </c>
      <c r="X8" s="993">
        <f>L64</f>
        <v>0</v>
      </c>
      <c r="Y8" s="993">
        <f>L67</f>
        <v>0</v>
      </c>
      <c r="Z8" s="993">
        <f>L70</f>
        <v>1352.1929105794002</v>
      </c>
      <c r="AA8" s="993">
        <f>L73</f>
        <v>432.88015992359766</v>
      </c>
      <c r="AB8" s="1622"/>
    </row>
    <row r="9" spans="1:28" s="2017" customFormat="1" ht="17.55" customHeight="1" x14ac:dyDescent="0.3">
      <c r="A9" s="1735"/>
      <c r="B9" s="2064" t="s">
        <v>558</v>
      </c>
      <c r="C9" s="2020" t="s">
        <v>298</v>
      </c>
      <c r="D9" s="2022">
        <f>D44</f>
        <v>4559.2127099999989</v>
      </c>
      <c r="E9" s="1735"/>
      <c r="F9" s="2064" t="s">
        <v>936</v>
      </c>
      <c r="G9" s="2020" t="s">
        <v>292</v>
      </c>
      <c r="H9" s="2023">
        <f>IF('R-Definição'!$E$121="Existente",((D88+D89)*D44+(D89*D11))/1000000,((D85+D88)*D44+(D89*D11))/1000000)</f>
        <v>0.16914679154099951</v>
      </c>
      <c r="I9" s="1735"/>
      <c r="J9" s="1735"/>
      <c r="K9" s="2016"/>
      <c r="L9" s="1735"/>
      <c r="M9" s="1735"/>
      <c r="N9" s="1735"/>
      <c r="O9" s="1735"/>
      <c r="P9" s="1735"/>
      <c r="Q9" s="1735"/>
      <c r="R9" s="991" t="s">
        <v>301</v>
      </c>
      <c r="S9" s="1623">
        <f>L92</f>
        <v>514.64999999999884</v>
      </c>
      <c r="T9" s="992">
        <f>P53</f>
        <v>0</v>
      </c>
      <c r="U9" s="992">
        <f>P56</f>
        <v>73.111735195268324</v>
      </c>
      <c r="V9" s="992">
        <f>P59</f>
        <v>0</v>
      </c>
      <c r="W9" s="992">
        <f>P62</f>
        <v>0</v>
      </c>
      <c r="X9" s="992">
        <f>P65</f>
        <v>0</v>
      </c>
      <c r="Y9" s="992">
        <f>P68</f>
        <v>0</v>
      </c>
      <c r="Z9" s="992">
        <f>P71</f>
        <v>638.62628641765048</v>
      </c>
      <c r="AA9" s="992">
        <f>IF('R-Definição'!E121="Novo",P74,(D44+D46)*D89/D40)</f>
        <v>168.25494394420218</v>
      </c>
      <c r="AB9" s="1622"/>
    </row>
    <row r="10" spans="1:28" s="2017" customFormat="1" ht="17.55"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20.431512819273042</v>
      </c>
      <c r="I10" s="1735"/>
      <c r="J10" s="1735"/>
      <c r="K10" s="2016"/>
      <c r="L10" s="1735"/>
      <c r="M10" s="1735"/>
      <c r="N10" s="1735"/>
      <c r="O10" s="1735"/>
      <c r="P10" s="1735"/>
      <c r="Q10" s="1735"/>
      <c r="R10" s="991" t="s">
        <v>302</v>
      </c>
      <c r="S10" s="1623">
        <v>0</v>
      </c>
      <c r="T10" s="993">
        <f>P52</f>
        <v>0</v>
      </c>
      <c r="U10" s="993">
        <f>P55</f>
        <v>583.02521101402488</v>
      </c>
      <c r="V10" s="993">
        <f>P58</f>
        <v>0</v>
      </c>
      <c r="W10" s="993">
        <f>P61</f>
        <v>0</v>
      </c>
      <c r="X10" s="993">
        <f>P64</f>
        <v>0</v>
      </c>
      <c r="Y10" s="993">
        <f>P67</f>
        <v>0</v>
      </c>
      <c r="Z10" s="993">
        <f>P70</f>
        <v>642.99581133871402</v>
      </c>
      <c r="AA10" s="992">
        <f>IF('R-Definição'!E121="Novo",P73,D89)</f>
        <v>165.89021038381674</v>
      </c>
      <c r="AB10" s="1622"/>
    </row>
    <row r="11" spans="1:28" s="2017" customFormat="1" ht="17.55"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51.02922312590983</v>
      </c>
      <c r="V11" s="994">
        <f>IF(V12&gt;0,($L44*$D112+$L46*$D111)/(V12*312),0)</f>
        <v>0</v>
      </c>
      <c r="W11" s="994">
        <f>IF(W12&gt;0,($L45*$D112+$L47*$D111)/(W12*312),0)</f>
        <v>0</v>
      </c>
      <c r="X11" s="994">
        <f>IF(X12&gt;0,($P42*$D114+$P45*$D117)/(X12*312),0)</f>
        <v>0</v>
      </c>
      <c r="Y11" s="994">
        <f>IF(Y12&gt;0,($L48*$D108+$L49*$D109)/(Y12*312),0)</f>
        <v>0</v>
      </c>
      <c r="Z11" s="994">
        <f>IF(Z12&gt;0,($P43*$D114)/(Z12*312),0)</f>
        <v>366.34163838396557</v>
      </c>
      <c r="AA11" s="994">
        <f>IF(AA12&gt;0,($P44*$D114+$P46*$D117)/(AA12*312),0)</f>
        <v>0</v>
      </c>
      <c r="AB11" s="1622"/>
    </row>
    <row r="12" spans="1:28" s="2017" customFormat="1" ht="17.55" customHeight="1" x14ac:dyDescent="0.3">
      <c r="A12" s="1735"/>
      <c r="B12" s="2063" t="s">
        <v>560</v>
      </c>
      <c r="C12" s="2018" t="s">
        <v>195</v>
      </c>
      <c r="D12" s="2024">
        <f>(D16)/D8</f>
        <v>3.528018495968295E-2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20.431512819273042</v>
      </c>
      <c r="I12" s="1735"/>
      <c r="J12" s="1735"/>
      <c r="K12" s="2016"/>
      <c r="L12" s="1735"/>
      <c r="M12" s="1735"/>
      <c r="N12" s="1735"/>
      <c r="O12" s="1735"/>
      <c r="P12" s="1735"/>
      <c r="Q12" s="1735"/>
      <c r="R12" s="991" t="s">
        <v>303</v>
      </c>
      <c r="S12" s="1623">
        <f>D38</f>
        <v>73.8</v>
      </c>
      <c r="T12" s="992">
        <f>$H52/312</f>
        <v>0</v>
      </c>
      <c r="U12" s="992">
        <f>$H55/312</f>
        <v>9.2545673076923052</v>
      </c>
      <c r="V12" s="992">
        <f>$H58/312</f>
        <v>0</v>
      </c>
      <c r="W12" s="992">
        <f>$H61/312</f>
        <v>0</v>
      </c>
      <c r="X12" s="992">
        <f>$H64/312</f>
        <v>0</v>
      </c>
      <c r="Y12" s="992">
        <f>$H67/312</f>
        <v>0</v>
      </c>
      <c r="Z12" s="992">
        <f>$H70/312</f>
        <v>73.298486718749999</v>
      </c>
      <c r="AA12" s="992">
        <f>(D44+D46)/312</f>
        <v>14.612861249999996</v>
      </c>
      <c r="AB12" s="1622"/>
    </row>
    <row r="13" spans="1:28" s="2017" customFormat="1" ht="17.55" customHeight="1" thickBot="1" x14ac:dyDescent="0.35">
      <c r="A13" s="1735"/>
      <c r="B13" s="2065" t="s">
        <v>937</v>
      </c>
      <c r="C13" s="2026" t="s">
        <v>195</v>
      </c>
      <c r="D13" s="2027">
        <f>D16/((SUM('R-Entrada'!G28:G33))*312)</f>
        <v>0.11059619109618481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887.338997432121</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812.34742680767567</v>
      </c>
      <c r="E16" s="65"/>
      <c r="F16" s="2063" t="s">
        <v>565</v>
      </c>
      <c r="G16" s="2031" t="s">
        <v>304</v>
      </c>
      <c r="H16" s="2015">
        <f>K78</f>
        <v>53.417216505278532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0.39194030140701253</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3766.1809060017417</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0</v>
      </c>
      <c r="E19" s="65"/>
      <c r="F19" s="2064" t="str">
        <f>J77</f>
        <v>Reinvestimento Total Rota (cada 5 anos)</v>
      </c>
      <c r="G19" s="2033" t="s">
        <v>304</v>
      </c>
      <c r="H19" s="2034">
        <f>K77</f>
        <v>1.2799053665860642</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16755.827534542022</v>
      </c>
      <c r="E20" s="65"/>
      <c r="F20" s="2066" t="s">
        <v>571</v>
      </c>
      <c r="G20" s="2035" t="s">
        <v>304</v>
      </c>
      <c r="H20" s="2036">
        <f>K75</f>
        <v>13.909726284487277</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86.718575069233708</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-25.872697470980313</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263.71564350707087</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1109</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1110</v>
      </c>
      <c r="C29" s="2033" t="s">
        <v>304</v>
      </c>
      <c r="D29" s="2047">
        <v>0</v>
      </c>
      <c r="E29" s="1735"/>
      <c r="F29" s="2073" t="str">
        <f>'C-FCL Real'!O26</f>
        <v>Taxa de Lucratividade do Investimento</v>
      </c>
      <c r="G29" s="2049" t="s">
        <v>195</v>
      </c>
      <c r="H29" s="2050">
        <f>'C-FCL Real'!H14</f>
        <v>4.0410513929285345</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1111</v>
      </c>
      <c r="C30" s="2051" t="s">
        <v>304</v>
      </c>
      <c r="D30" s="2052">
        <v>0</v>
      </c>
      <c r="E30" s="1735"/>
      <c r="F30" s="2074" t="s">
        <v>955</v>
      </c>
      <c r="G30" s="2061" t="s">
        <v>311</v>
      </c>
      <c r="H30" s="2062">
        <f>D32*(D8*H33+D31*312*H31)/1000000000</f>
        <v>1.3108265086573185</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165.89021038381674</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18.894145553423446</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1396.7092707049733</v>
      </c>
      <c r="E33" s="1079"/>
      <c r="F33" s="2078" t="s">
        <v>1107</v>
      </c>
      <c r="G33" s="2055" t="s">
        <v>295</v>
      </c>
      <c r="H33" s="2056">
        <v>1491.675405776728</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812.34742680767567</v>
      </c>
      <c r="I36" s="151"/>
      <c r="J36" s="1520" t="s">
        <v>898</v>
      </c>
      <c r="K36" s="271" t="s">
        <v>298</v>
      </c>
      <c r="L36" s="1531">
        <f>('R-Resumo Bal. Massa'!F58+'R-Resumo Bal. Massa'!G58)*312*D48/D8</f>
        <v>102.19696166965241</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0.15326602384477622</v>
      </c>
      <c r="E37" s="151"/>
      <c r="F37" s="1520" t="s">
        <v>892</v>
      </c>
      <c r="G37" s="1483" t="s">
        <v>298</v>
      </c>
      <c r="H37" s="1531">
        <f>L48</f>
        <v>0</v>
      </c>
      <c r="I37" s="151"/>
      <c r="J37" s="1520" t="s">
        <v>899</v>
      </c>
      <c r="K37" s="1483" t="s">
        <v>298</v>
      </c>
      <c r="L37" s="1531">
        <f>('R-Resumo Bal. Massa'!F59+'R-Resumo Bal. Massa'!G59)*312*D48/D8</f>
        <v>69.431523577092108</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73.8</v>
      </c>
      <c r="E38" s="151"/>
      <c r="F38" s="1520" t="s">
        <v>893</v>
      </c>
      <c r="G38" s="1483" t="s">
        <v>298</v>
      </c>
      <c r="H38" s="1531">
        <f>L49</f>
        <v>0</v>
      </c>
      <c r="I38" s="151"/>
      <c r="J38" s="1520" t="s">
        <v>900</v>
      </c>
      <c r="K38" s="1483" t="s">
        <v>298</v>
      </c>
      <c r="L38" s="1531">
        <f>('R-Resumo Bal. Massa'!F60+'R-Resumo Bal. Massa'!G60)*312*D48/D8</f>
        <v>35.885956006137491</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1918.8</v>
      </c>
      <c r="E39" s="151"/>
      <c r="F39" s="1520" t="s">
        <v>894</v>
      </c>
      <c r="G39" s="1483" t="s">
        <v>298</v>
      </c>
      <c r="H39" s="1531">
        <f>L44+L45</f>
        <v>0</v>
      </c>
      <c r="I39" s="151"/>
      <c r="J39" s="1520" t="s">
        <v>901</v>
      </c>
      <c r="K39" s="1483" t="s">
        <v>298</v>
      </c>
      <c r="L39" s="1531">
        <f>('R-Resumo Bal. Massa'!F61+'R-Resumo Bal. Massa'!G61)*312*D48/D8</f>
        <v>18.723107481463035</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23025.599999999999</v>
      </c>
      <c r="E40" s="151"/>
      <c r="F40" s="1520" t="s">
        <v>895</v>
      </c>
      <c r="G40" s="1483" t="s">
        <v>298</v>
      </c>
      <c r="H40" s="1531">
        <f>L46+L47</f>
        <v>0</v>
      </c>
      <c r="I40" s="151"/>
      <c r="J40" s="1520" t="s">
        <v>902</v>
      </c>
      <c r="K40" s="1483" t="s">
        <v>298</v>
      </c>
      <c r="L40" s="1531">
        <f>('R-Resumo Bal. Massa'!F63+'R-Resumo Bal. Massa'!G63)*312*D48/D8</f>
        <v>4.6807768703657588</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16755.827534542022</v>
      </c>
      <c r="I41" s="151"/>
      <c r="J41" s="1520" t="s">
        <v>903</v>
      </c>
      <c r="K41" s="1483" t="s">
        <v>298</v>
      </c>
      <c r="L41" s="1531">
        <f>('R-Resumo Bal. Massa'!F62+'R-Resumo Bal. Massa'!G62)*312*D48/D8</f>
        <v>17.942978003068745</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116.58333583446125</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23025.599999999995</v>
      </c>
      <c r="E43" s="151"/>
      <c r="F43" s="1520"/>
      <c r="G43" s="271"/>
      <c r="H43" s="1531"/>
      <c r="I43" s="151"/>
      <c r="J43" s="1520" t="s">
        <v>905</v>
      </c>
      <c r="K43" s="1483" t="s">
        <v>298</v>
      </c>
      <c r="L43" s="1531">
        <f>('R-Resumo Bal. Massa'!J62)*312*D48/D8</f>
        <v>446.90278736543485</v>
      </c>
      <c r="M43" s="151"/>
      <c r="N43" s="1520" t="s">
        <v>921</v>
      </c>
      <c r="O43" s="1483" t="s">
        <v>306</v>
      </c>
      <c r="P43" s="1531">
        <f>'R-Resumo Bal. Massa'!J74*312/1000*D48/D8</f>
        <v>16755.827534542022</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4559.2127099999989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24964.143308617382</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2887.4249999999993</v>
      </c>
      <c r="I55" s="679"/>
      <c r="J55" s="1097" t="s">
        <v>326</v>
      </c>
      <c r="K55" s="1624">
        <f>IF('C-Triagem Mec'!$E$7="SIM",'C-Triagem Mec'!$E$19,IF('C-Triagem Mec'!$I$7="SIM",'C-Triagem Mec'!$I$19,IF('C-Triagem Mec'!$M$7="SIM",'C-Triagem Mec'!$M$19,IF('C-Triagem Mec'!$Q$7="SIM",'C-Triagem Mec'!$Q$19,IF('C-Triagem Mec'!$U$7="SIM",'C-Triagem Mec'!$U$19,0)))))</f>
        <v>12.384336198812903</v>
      </c>
      <c r="L55" s="1097">
        <f>IF('C-Triagem Mec'!$E$7="SIM",'C-Triagem Mec'!$E$20,IF('C-Triagem Mec'!$I$7="SIM",'C-Triagem Mec'!$I$20,IF('C-Triagem Mec'!$M$7="SIM",'C-Triagem Mec'!$M$20,IF('C-Triagem Mec'!$Q$7="SIM",'C-Triagem Mec'!$Q$20,IF('C-Triagem Mec'!$U$7="SIM",'C-Triagem Mec'!$U$20,0)))))</f>
        <v>4289.0590054504992</v>
      </c>
      <c r="M55" s="194"/>
      <c r="N55" s="1097" t="s">
        <v>326</v>
      </c>
      <c r="O55" s="1624">
        <f>IF('C-Triagem Mec'!$E$7="SIM",'C-Triagem Mec'!$E$43,IF('C-Triagem Mec'!$I$7="SIM",'C-Triagem Mec'!$I$43,IF('C-Triagem Mec'!$M$7="SIM",'C-Triagem Mec'!$M$43,IF('C-Triagem Mec'!$Q$7="SIM",'C-Triagem Mec'!$Q$43,IF('C-Triagem Mec'!$U$7="SIM",'C-Triagem Mec'!$U$43,0)))))</f>
        <v>1.6834415699121703</v>
      </c>
      <c r="P55" s="1097">
        <f>IF('C-Triagem Mec'!$E$7="SIM",'C-Triagem Mec'!$E$42,IF('C-Triagem Mec'!$I$7="SIM",'C-Triagem Mec'!$I$42,IF('C-Triagem Mec'!$M$7="SIM",'C-Triagem Mec'!$M$42,IF('C-Triagem Mec'!$Q$7="SIM",'C-Triagem Mec'!$Q$42,IF('C-Triagem Mec'!$U$7="SIM",'C-Triagem Mec'!$U$42,0)))))</f>
        <v>583.02521101402488</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537.85074868029085</v>
      </c>
      <c r="M56" s="194"/>
      <c r="N56" s="1520" t="s">
        <v>323</v>
      </c>
      <c r="O56" s="278">
        <f>IF(AND(H55&gt;0,D98="Não"),((L36*D101)+(L37*D102)+(L38*D103)+(L39*D104)+(L40*D106)+(L41*D105))/$D$40,((L36*D101)+(L37*D102)+(L38*D103)+(L39*D104)+(L40*D106)+(L41*D105))/$D$40*(1-D99))</f>
        <v>0</v>
      </c>
      <c r="P56" s="1506">
        <f>IF(O55&gt;0,O55*1000000/$D$40,0)</f>
        <v>73.111735195268324</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0.22393258512405298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-362.86948754957439</v>
      </c>
      <c r="Q57" s="194"/>
      <c r="R57" s="988"/>
      <c r="S57" s="989"/>
      <c r="T57" s="989"/>
      <c r="U57" s="989"/>
      <c r="V57" s="989"/>
      <c r="W57" s="989"/>
      <c r="X57" s="989"/>
      <c r="Y57" s="989"/>
      <c r="Z57" s="1597"/>
    </row>
    <row r="58" spans="1:26" ht="17.7" hidden="1"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9" t="s">
        <v>330</v>
      </c>
      <c r="D66" s="2280"/>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Sim</v>
      </c>
      <c r="H70" s="1097">
        <f>IF('C-Incineração'!D2&gt;0,'C-Incineração'!H2,0)</f>
        <v>22869.127856249997</v>
      </c>
      <c r="I70" s="679"/>
      <c r="J70" s="1097" t="s">
        <v>64</v>
      </c>
      <c r="K70" s="1624">
        <f>IF('C-Incineração'!$E$7="SIM",'C-Incineração'!$E$19,IF('C-Incineração'!$I$7="SIM",'C-Incineração'!$I$19,IF('C-Incineração'!$M$7="SIM",'C-Incineração'!$M$19,IF('C-Incineração'!$Q$7="SIM",'C-Incineração'!$Q$19,IF('C-Incineração'!$U$7="SIM",'C-Incineração'!$U$19,0)))))</f>
        <v>30.923472558355122</v>
      </c>
      <c r="L70" s="1097">
        <f>IF('C-Incineração'!$E$7="SIM",'C-Incineração'!$E$20,IF('C-Incineração'!$I$7="SIM",'C-Incineração'!$I$20,IF('C-Incineração'!$M$7="SIM",'C-Incineração'!$M$20,IF('C-Incineração'!$Q$7="SIM",'C-Incineração'!$Q$20,IF('C-Incineração'!$U$7="SIM",'C-Incineração'!$U$20,0)))))</f>
        <v>1352.1929105794002</v>
      </c>
      <c r="M70" s="280"/>
      <c r="N70" s="1097" t="s">
        <v>64</v>
      </c>
      <c r="O70" s="1624">
        <f>IF('C-Incineração'!$E$7="SIM",'C-Incineração'!$E$52,IF('C-Incineração'!$I$7="SIM",'C-Incineração'!$I$52,IF('C-Incineração'!$M$7="SIM",'C-Incineração'!$M$52,IF('C-Incineração'!$Q$7="SIM",'C-Incineração'!$Q$52,IF('C-Incineração'!$U$7="SIM",'C-Incineração'!$U$52,0)))))</f>
        <v>14.704753420538252</v>
      </c>
      <c r="P70" s="1097">
        <f>IF('C-Incineração'!$E$7="SIM",'C-Incineração'!$E$51,IF('C-Incineração'!$I$7="SIM",'C-Incineração'!$I$51,IF('C-Incineração'!$M$7="SIM",'C-Incineração'!$M$51,IF('C-Incineração'!$Q$7="SIM",'C-Incineração'!$Q$51,IF('C-Incineração'!$U$7="SIM",'C-Incineração'!$U$51,0)))))</f>
        <v>642.99581133871402</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1343.0039850581582</v>
      </c>
      <c r="M71" s="281"/>
      <c r="N71" s="1520" t="s">
        <v>323</v>
      </c>
      <c r="O71" s="278">
        <f>IF(H70&gt;0,((P43*D114))/$D$40,0)</f>
        <v>363.8521370679162</v>
      </c>
      <c r="P71" s="1506">
        <f>IF(O70&gt;0,O70*1000000/$D$40,0)</f>
        <v>638.62628641765048</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1.0559727814620112</v>
      </c>
      <c r="L72" s="1551"/>
      <c r="M72" s="281"/>
      <c r="N72" s="1520" t="s">
        <v>325</v>
      </c>
      <c r="O72" s="278">
        <f>IF('C-Incineração'!$E$7="SIM",'C-Incineração'!$E$53,IF('C-Incineração'!$I$7="SIM",'C-Incineração'!$I$53,IF('C-Incineração'!$M$7="SIM",'C-Incineração'!$M$53,IF('C-Incineração'!$Q$7="SIM",'C-Incineração'!$Q$53,IF('C-Incineração'!$U$7="SIM",'C-Incineração'!$U$53,0)))))</f>
        <v>10.653206407682474</v>
      </c>
      <c r="P72" s="1531">
        <f>IF('C-Incineração'!$E$7="SIM",'C-Incineração'!$E$54,IF('C-Incineração'!$I$7="SIM",'C-Incineração'!$I$54,IF('C-Incineração'!$M$7="SIM",'C-Incineração'!$M$54,IF('C-Incineração'!$Q$7="SIM",'C-Incineração'!$Q$54,IF('C-Incineração'!$U$7="SIM",'C-Incineração'!$U$54,0)))))</f>
        <v>177.16228788097462</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23353.825571249999</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10.109407748110504</v>
      </c>
      <c r="L73" s="1097">
        <f>IF('C-Aterro Sanitário'!$E$7="SIM",'C-Aterro Sanitário'!$E$19,IF('C-Aterro Sanitário'!$I$7="SIM",'C-Aterro Sanitário'!$I$19,IF('C-Aterro Sanitário'!$M$7="SIM",'C-Aterro Sanitário'!$M$19,IF('C-Aterro Sanitário'!$Q$7="SIM",'C-Aterro Sanitário'!$Q$19,IF('C-Aterro Sanitário'!$U$7="SIM",'C-Aterro Sanitário'!$U$19,0)))))</f>
        <v>432.88015992359766</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3.8741710372816218</v>
      </c>
      <c r="P73" s="1097">
        <f>IF('C-Aterro Sanitário'!$E$7="SIM",'C-Aterro Sanitário'!$E$45,IF('C-Aterro Sanitário'!$I$7="SIM",'C-Aterro Sanitário'!$I$45,IF('C-Aterro Sanitário'!$M$7="SIM",'C-Aterro Sanitário'!$M$45,IF('C-Aterro Sanitário'!$Q$7="SIM",'C-Aterro Sanitário'!$Q$45,IF('C-Aterro Sanitário'!$U$7="SIM",'C-Aterro Sanitário'!$U$45,0)))))</f>
        <v>165.89021038381674</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439.0507846966205</v>
      </c>
      <c r="M74" s="281"/>
      <c r="N74" s="1520" t="s">
        <v>323</v>
      </c>
      <c r="O74" s="278">
        <f>IF(H73&gt;0,((P44*D114+P46*D117))/$D$40,0)</f>
        <v>0</v>
      </c>
      <c r="P74" s="1506">
        <f>IF(O73&gt;0,O73*1000000/$D$40,0)</f>
        <v>168.25494394420218</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531">
        <f>IF(K73&gt;0,K75*1000000/(H73*20),0)</f>
        <v>29.78040202032469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1.0359658663212659</v>
      </c>
      <c r="P75" s="1531">
        <f>IF('C-Aterro Sanitário'!$E$7="SIM",'C-Aterro Sanitário'!$E$48,IF('C-Aterro Sanitário'!$I$7="SIM",'C-Aterro Sanitário'!$I$48,IF('C-Aterro Sanitário'!$M$7="SIM",'C-Aterro Sanitário'!$M$48,IF('C-Aterro Sanitário'!$Q$7="SIM",'C-Aterro Sanitário'!$Q$48,IF('C-Aterro Sanitário'!$U$7="SIM",'C-Aterro Sanitário'!$U$48,0)))))</f>
        <v>121.5306315576135</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0.39194030140701253</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1.2799053665860642</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1117</v>
      </c>
      <c r="C78" s="869" t="s">
        <v>1116</v>
      </c>
      <c r="D78" s="2087">
        <v>2.2000000000000002</v>
      </c>
      <c r="E78" s="194"/>
      <c r="F78" s="2277" t="s">
        <v>615</v>
      </c>
      <c r="G78" s="2278"/>
      <c r="H78" s="1541">
        <f>'R-Resumo Bal. Massa'!D16*312</f>
        <v>23025.599999999995</v>
      </c>
      <c r="I78" s="679"/>
      <c r="J78" s="1539" t="s">
        <v>339</v>
      </c>
      <c r="K78" s="1540">
        <f>K52+K55+K58+K61+K64+K67+K70+K73</f>
        <v>53.417216505278532</v>
      </c>
      <c r="L78" s="1541">
        <f>K78*1000000/H78</f>
        <v>2319.90551843507</v>
      </c>
      <c r="M78" s="280"/>
      <c r="N78" s="1539" t="s">
        <v>597</v>
      </c>
      <c r="O78" s="1540">
        <f>O52+O55+O58+O61+O64+O67+O70+O73</f>
        <v>20.262366027732043</v>
      </c>
      <c r="P78" s="1541">
        <f>O78*1000000/H78</f>
        <v>879.99296555712101</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0</v>
      </c>
      <c r="E82" s="504"/>
      <c r="F82" s="1520" t="s">
        <v>717</v>
      </c>
      <c r="G82" s="1482" t="s">
        <v>292</v>
      </c>
      <c r="H82" s="1543">
        <f>((L36)*D101+(L37)*D102+(L38)*D103+(L39)*D104+(L40+L42)*D105+(L41+L43)*D106)/1000000</f>
        <v>0.61600806463886448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f>'[1]Arranjos NOVO'!$E$18</f>
        <v>514.64999999999895</v>
      </c>
      <c r="E84" s="504"/>
      <c r="F84" s="1520" t="s">
        <v>718</v>
      </c>
      <c r="G84" s="1482" t="s">
        <v>292</v>
      </c>
      <c r="H84" s="1543">
        <f>(L48*D108+L49*D109)/1000000</f>
        <v>0</v>
      </c>
      <c r="I84" s="151"/>
      <c r="J84" s="1520" t="s">
        <v>627</v>
      </c>
      <c r="K84" s="1482" t="s">
        <v>292</v>
      </c>
      <c r="L84" s="1543">
        <f>D84*D43/1000000</f>
        <v>11.850125039999973</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8.3779137672710107</v>
      </c>
      <c r="I85" s="151"/>
      <c r="J85" s="1520" t="s">
        <v>628</v>
      </c>
      <c r="K85" s="1482" t="s">
        <v>292</v>
      </c>
      <c r="L85" s="1543">
        <f>IF('R-Definição'!O120="Sim",D85*D43/1000000,0)</f>
        <v>0</v>
      </c>
      <c r="M85" s="504"/>
      <c r="N85" s="1520" t="s">
        <v>720</v>
      </c>
      <c r="O85" s="516" t="s">
        <v>345</v>
      </c>
      <c r="P85" s="1581">
        <f>IF(O55&lt;&gt;0,O55*1000000/(SUM(L36:L41)),0)</f>
        <v>6764.5774795320376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877.59040191983979</v>
      </c>
      <c r="Q87" s="504"/>
      <c r="R87" s="1006"/>
      <c r="S87" s="989"/>
      <c r="T87" s="989"/>
      <c r="U87" s="989"/>
      <c r="V87" s="989"/>
      <c r="W87" s="989"/>
      <c r="X87" s="989"/>
      <c r="Y87" s="989"/>
      <c r="Z87" s="1597"/>
    </row>
    <row r="88" spans="1:26" ht="17.7" hidden="1" customHeight="1" outlineLevel="1" x14ac:dyDescent="0.3">
      <c r="A88" s="36"/>
      <c r="B88" s="1520" t="s">
        <v>940</v>
      </c>
      <c r="C88" s="1722" t="s">
        <v>342</v>
      </c>
      <c r="D88" s="1567">
        <f>'[1]Arranjos NOVO'!$E$20</f>
        <v>37.099999999999902</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8.9939218319098746</v>
      </c>
      <c r="I91" s="269"/>
      <c r="J91" s="1545" t="s">
        <v>561</v>
      </c>
      <c r="K91" s="266" t="s">
        <v>292</v>
      </c>
      <c r="L91" s="1546">
        <f>SUM(L82:L85)</f>
        <v>11.850125039999973</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390.60531894542925</v>
      </c>
      <c r="I92" s="151"/>
      <c r="J92" s="1520" t="s">
        <v>629</v>
      </c>
      <c r="K92" s="1482" t="s">
        <v>342</v>
      </c>
      <c r="L92" s="1531">
        <f>L91*1000000/D40</f>
        <v>514.64999999999884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2.1010847410092408</v>
      </c>
      <c r="I93" s="151"/>
      <c r="J93" s="1522" t="s">
        <v>823</v>
      </c>
      <c r="K93" s="1508" t="s">
        <v>299</v>
      </c>
      <c r="L93" s="1547">
        <f>L92*($D$7*30/$D$6)</f>
        <v>2.7683270286226516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70" t="s">
        <v>886</v>
      </c>
      <c r="C95" s="2271"/>
      <c r="D95" s="2271"/>
      <c r="E95" s="2271"/>
      <c r="F95" s="2271"/>
      <c r="G95" s="2271"/>
      <c r="H95" s="2271"/>
      <c r="I95" s="2271"/>
      <c r="J95" s="2271"/>
      <c r="K95" s="2271"/>
      <c r="L95" s="2272"/>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20.431512819273042</v>
      </c>
      <c r="I98" s="151"/>
      <c r="J98" s="1465" t="s">
        <v>632</v>
      </c>
      <c r="K98" s="226" t="s">
        <v>292</v>
      </c>
      <c r="L98" s="1573">
        <f>H98+L91</f>
        <v>32.281637859273019</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887.338997432121</v>
      </c>
      <c r="I99" s="151"/>
      <c r="J99" s="1520" t="s">
        <v>633</v>
      </c>
      <c r="K99" s="1482" t="s">
        <v>342</v>
      </c>
      <c r="L99" s="1579">
        <f>L98*1000000/D40</f>
        <v>1401.98899743212</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4.7730390170839829</v>
      </c>
      <c r="I100" s="151"/>
      <c r="J100" s="1522" t="s">
        <v>825</v>
      </c>
      <c r="K100" s="1508" t="s">
        <v>299</v>
      </c>
      <c r="L100" s="1580">
        <f>L99*($D$7*30/$D$6)</f>
        <v>7.5413660457066349</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9" t="s">
        <v>971</v>
      </c>
      <c r="C2" s="2339"/>
      <c r="D2" s="2339"/>
      <c r="E2" s="2339"/>
      <c r="F2" s="2339"/>
      <c r="G2" s="2339"/>
      <c r="H2" s="2339"/>
      <c r="I2" s="2339"/>
      <c r="J2" s="2339"/>
      <c r="K2" s="2339"/>
      <c r="L2" s="2339"/>
      <c r="M2" s="2339"/>
      <c r="N2" s="458"/>
      <c r="O2" s="2338" t="s">
        <v>644</v>
      </c>
      <c r="P2" s="2338"/>
      <c r="Q2" s="2338"/>
      <c r="R2" s="2338"/>
      <c r="S2" s="2338"/>
      <c r="T2" s="2338"/>
      <c r="U2" s="2338"/>
      <c r="V2" s="2338"/>
      <c r="W2" s="2338"/>
      <c r="X2" s="2338"/>
      <c r="Y2" s="2338"/>
      <c r="Z2" s="2338"/>
      <c r="AA2" s="2338"/>
      <c r="AB2" s="473"/>
    </row>
    <row r="3" spans="1:28" s="905" customFormat="1" ht="17.7" customHeight="1" x14ac:dyDescent="0.3">
      <c r="A3" s="903"/>
      <c r="B3" s="2339"/>
      <c r="C3" s="2339"/>
      <c r="D3" s="2339"/>
      <c r="E3" s="2339"/>
      <c r="F3" s="2339"/>
      <c r="G3" s="2339"/>
      <c r="H3" s="2339"/>
      <c r="I3" s="2339"/>
      <c r="J3" s="2339"/>
      <c r="K3" s="2339"/>
      <c r="L3" s="2339"/>
      <c r="M3" s="2339"/>
      <c r="N3" s="904"/>
      <c r="O3" s="2338"/>
      <c r="P3" s="2338"/>
      <c r="Q3" s="2338"/>
      <c r="R3" s="2338"/>
      <c r="S3" s="2338"/>
      <c r="T3" s="2338"/>
      <c r="U3" s="2338"/>
      <c r="V3" s="2338"/>
      <c r="W3" s="2338"/>
      <c r="X3" s="2338"/>
      <c r="Y3" s="2338"/>
      <c r="Z3" s="2338"/>
      <c r="AA3" s="2338"/>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20" t="s">
        <v>351</v>
      </c>
      <c r="K5" s="2318" t="s">
        <v>352</v>
      </c>
      <c r="L5" s="458"/>
      <c r="M5" s="459"/>
      <c r="N5" s="458"/>
      <c r="O5" s="2346" t="s">
        <v>877</v>
      </c>
      <c r="P5" s="458"/>
      <c r="Q5" s="2346" t="s">
        <v>878</v>
      </c>
      <c r="R5" s="458"/>
      <c r="S5" s="2346" t="s">
        <v>879</v>
      </c>
      <c r="T5" s="458"/>
      <c r="U5" s="2346" t="s">
        <v>880</v>
      </c>
      <c r="V5" s="458"/>
      <c r="W5" s="2346" t="s">
        <v>881</v>
      </c>
      <c r="X5" s="458"/>
      <c r="Y5" s="2346" t="s">
        <v>887</v>
      </c>
      <c r="Z5" s="458"/>
      <c r="AA5" s="458"/>
      <c r="AB5" s="473"/>
    </row>
    <row r="6" spans="1:28" s="262" customFormat="1" ht="19.95" hidden="1" customHeight="1" outlineLevel="1" x14ac:dyDescent="0.3">
      <c r="A6" s="458"/>
      <c r="B6" s="1685" t="s">
        <v>645</v>
      </c>
      <c r="C6" s="1646" t="s">
        <v>292</v>
      </c>
      <c r="D6" s="1661">
        <f>D7*D8/1000000</f>
        <v>34.346721223252622</v>
      </c>
      <c r="E6" s="463"/>
      <c r="F6" s="1681" t="s">
        <v>973</v>
      </c>
      <c r="G6" s="1633">
        <f>J7*(1-K7)</f>
        <v>109759.20000000001</v>
      </c>
      <c r="H6" s="1675">
        <f>G6/$G$11</f>
        <v>0.66654521075030615</v>
      </c>
      <c r="I6" s="458"/>
      <c r="J6" s="2321"/>
      <c r="K6" s="2319"/>
      <c r="L6" s="458"/>
      <c r="M6" s="468"/>
      <c r="N6" s="460"/>
      <c r="O6" s="2347"/>
      <c r="P6" s="458"/>
      <c r="Q6" s="2347"/>
      <c r="R6" s="458"/>
      <c r="S6" s="2347"/>
      <c r="T6" s="458"/>
      <c r="U6" s="2347"/>
      <c r="V6" s="458"/>
      <c r="W6" s="2347"/>
      <c r="X6" s="458"/>
      <c r="Y6" s="2347"/>
      <c r="Z6" s="458"/>
      <c r="AA6" s="458"/>
      <c r="AB6" s="473"/>
    </row>
    <row r="7" spans="1:28" s="262" customFormat="1" ht="19.95" hidden="1" customHeight="1" outlineLevel="1" x14ac:dyDescent="0.3">
      <c r="A7" s="458"/>
      <c r="B7" s="1681" t="s">
        <v>646</v>
      </c>
      <c r="C7" s="1644" t="s">
        <v>342</v>
      </c>
      <c r="D7" s="1662">
        <f>'R&amp;C-Painel de Controle'!H33</f>
        <v>1491.675405776728</v>
      </c>
      <c r="E7" s="463"/>
      <c r="F7" s="1681" t="s">
        <v>974</v>
      </c>
      <c r="G7" s="1633">
        <f>J7*K7</f>
        <v>27439.800000000003</v>
      </c>
      <c r="H7" s="1675">
        <f>G7/$G$11</f>
        <v>0.16663630268757654</v>
      </c>
      <c r="I7" s="458"/>
      <c r="J7" s="2350">
        <f>'R&amp;C-Painel de Controle'!D6/3</f>
        <v>137199</v>
      </c>
      <c r="K7" s="2348">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23025.599999999999</v>
      </c>
      <c r="E8" s="463"/>
      <c r="F8" s="1681" t="s">
        <v>975</v>
      </c>
      <c r="G8" s="1676">
        <f>J7/5</f>
        <v>27439.8</v>
      </c>
      <c r="H8" s="1675">
        <f>G8/$G$11</f>
        <v>0.16663630268757654</v>
      </c>
      <c r="I8" s="458"/>
      <c r="J8" s="2351"/>
      <c r="K8" s="2349"/>
      <c r="L8" s="458"/>
      <c r="M8" s="468"/>
      <c r="N8" s="460"/>
      <c r="O8" s="1500">
        <f>(O12-O10)/O10</f>
        <v>1.2145591636766743E-6</v>
      </c>
      <c r="P8" s="460"/>
      <c r="Q8" s="1500">
        <f>(Q12-Q10)/Q10</f>
        <v>-5.8327040398668539E-3</v>
      </c>
      <c r="R8" s="460"/>
      <c r="S8" s="1500">
        <f>(S12-S10)/S10</f>
        <v>-5.8327040398668444E-3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37.335315303690898</v>
      </c>
      <c r="R10" s="460"/>
      <c r="S10" s="265">
        <f>D8</f>
        <v>23025.599999999999</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997.45989681050673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1.4954740642170501</v>
      </c>
      <c r="E12" s="458"/>
      <c r="F12" s="458"/>
      <c r="G12" s="458"/>
      <c r="H12" s="459"/>
      <c r="I12" s="458"/>
      <c r="J12" s="459"/>
      <c r="K12" s="459"/>
      <c r="L12" s="459"/>
      <c r="M12" s="459"/>
      <c r="N12" s="458"/>
      <c r="O12" s="265">
        <f>O33</f>
        <v>164669</v>
      </c>
      <c r="P12" s="460"/>
      <c r="Q12" s="276">
        <f>Q33</f>
        <v>37.117549459289357</v>
      </c>
      <c r="R12" s="460"/>
      <c r="S12" s="265">
        <f>S33*(1+$D$17+$D$18+$D$19)</f>
        <v>22891.298489859641</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340" t="s">
        <v>978</v>
      </c>
      <c r="G15" s="2342" t="s">
        <v>195</v>
      </c>
      <c r="H15" s="2344">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341"/>
      <c r="G16" s="2343"/>
      <c r="H16" s="2345"/>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37.335315303690898</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1.6255990012297363</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15" t="s">
        <v>941</v>
      </c>
      <c r="G23" s="2316"/>
      <c r="H23" s="231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226.72974664108136</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37.335315303690898</v>
      </c>
      <c r="E25" s="458"/>
      <c r="F25" s="1684" t="s">
        <v>980</v>
      </c>
      <c r="G25" s="1666" t="s">
        <v>359</v>
      </c>
      <c r="H25" s="1680">
        <f>H24/12</f>
        <v>18.894145553423446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1.6255990012297363</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31" t="s">
        <v>964</v>
      </c>
      <c r="C29" s="2332"/>
      <c r="D29" s="2332"/>
      <c r="E29" s="2333"/>
      <c r="F29" s="458"/>
      <c r="G29" s="458"/>
      <c r="H29" s="459"/>
      <c r="I29" s="458"/>
      <c r="J29" s="459"/>
      <c r="K29" s="2328" t="s">
        <v>360</v>
      </c>
      <c r="L29" s="2329"/>
      <c r="M29" s="2330"/>
      <c r="N29" s="458"/>
      <c r="O29" s="2334" t="s">
        <v>763</v>
      </c>
      <c r="P29" s="2335"/>
      <c r="Q29" s="2335"/>
      <c r="R29" s="2335"/>
      <c r="S29" s="2335"/>
      <c r="T29" s="2335"/>
      <c r="U29" s="2335"/>
      <c r="V29" s="2335"/>
      <c r="W29" s="2335"/>
      <c r="X29" s="2335"/>
      <c r="Y29" s="2335"/>
      <c r="Z29" s="2335"/>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4" t="s">
        <v>965</v>
      </c>
      <c r="C31" s="2325"/>
      <c r="D31" s="2325"/>
      <c r="E31" s="2325"/>
      <c r="F31" s="2325"/>
      <c r="G31" s="2325"/>
      <c r="H31" s="2325"/>
      <c r="I31" s="2325"/>
      <c r="J31" s="2325"/>
      <c r="K31" s="2325"/>
      <c r="L31" s="1634" t="s">
        <v>361</v>
      </c>
      <c r="M31" s="1634" t="s">
        <v>362</v>
      </c>
      <c r="N31" s="458"/>
      <c r="O31" s="2285" t="s">
        <v>650</v>
      </c>
      <c r="P31" s="458"/>
      <c r="Q31" s="2285" t="s">
        <v>363</v>
      </c>
      <c r="R31" s="458"/>
      <c r="S31" s="2285" t="s">
        <v>651</v>
      </c>
      <c r="T31" s="458"/>
      <c r="U31" s="2285" t="s">
        <v>652</v>
      </c>
      <c r="V31" s="458"/>
      <c r="W31" s="2285" t="s">
        <v>652</v>
      </c>
      <c r="X31" s="458"/>
      <c r="Y31" s="2285" t="s">
        <v>463</v>
      </c>
      <c r="Z31" s="458"/>
      <c r="AA31" s="458"/>
      <c r="AB31" s="473"/>
    </row>
    <row r="32" spans="1:28" s="262" customFormat="1" ht="19.95" customHeight="1" x14ac:dyDescent="0.3">
      <c r="A32" s="458"/>
      <c r="B32" s="2326"/>
      <c r="C32" s="2325"/>
      <c r="D32" s="2325"/>
      <c r="E32" s="2325"/>
      <c r="F32" s="2325"/>
      <c r="G32" s="2325"/>
      <c r="H32" s="2325"/>
      <c r="I32" s="2325"/>
      <c r="J32" s="2325"/>
      <c r="K32" s="2325"/>
      <c r="L32" s="1635">
        <f>H24</f>
        <v>226.72974664108136</v>
      </c>
      <c r="M32" s="1636">
        <f>H25</f>
        <v>18.894145553423446</v>
      </c>
      <c r="N32" s="461"/>
      <c r="O32" s="2189"/>
      <c r="P32" s="461"/>
      <c r="Q32" s="2189"/>
      <c r="R32" s="461"/>
      <c r="S32" s="2189"/>
      <c r="T32" s="458"/>
      <c r="U32" s="2189"/>
      <c r="V32" s="458"/>
      <c r="W32" s="2189"/>
      <c r="X32" s="458"/>
      <c r="Y32" s="2327"/>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37.117549459289357</v>
      </c>
      <c r="R33" s="458"/>
      <c r="S33" s="265">
        <f>12*S34</f>
        <v>21097.970958395981</v>
      </c>
      <c r="T33" s="458" t="s">
        <v>364</v>
      </c>
      <c r="U33" s="265">
        <f>12*U34</f>
        <v>23493387.184143588</v>
      </c>
      <c r="V33" s="458" t="s">
        <v>365</v>
      </c>
      <c r="W33" s="265">
        <f>12*W34</f>
        <v>23493387.184143588</v>
      </c>
      <c r="X33" s="458" t="s">
        <v>365</v>
      </c>
      <c r="Y33" s="2336">
        <v>0.1</v>
      </c>
      <c r="Z33" s="458"/>
      <c r="AA33" s="458"/>
      <c r="AB33" s="473"/>
    </row>
    <row r="34" spans="1:28" s="262" customFormat="1" ht="34.950000000000003" hidden="1" customHeight="1" outlineLevel="1" x14ac:dyDescent="0.3">
      <c r="A34" s="458"/>
      <c r="B34" s="2295" t="s">
        <v>366</v>
      </c>
      <c r="C34" s="2296"/>
      <c r="D34" s="2296"/>
      <c r="E34" s="2296"/>
      <c r="F34" s="2296"/>
      <c r="G34" s="2296"/>
      <c r="H34" s="2296"/>
      <c r="I34" s="2296"/>
      <c r="J34" s="2296"/>
      <c r="K34" s="2296"/>
      <c r="L34" s="2296"/>
      <c r="M34" s="2296"/>
      <c r="N34" s="461"/>
      <c r="O34" s="883"/>
      <c r="P34" s="461"/>
      <c r="Q34" s="883"/>
      <c r="R34" s="461"/>
      <c r="S34" s="265">
        <f>S36+S49+S62+S75+S88</f>
        <v>1758.1642465329985</v>
      </c>
      <c r="T34" s="458" t="s">
        <v>367</v>
      </c>
      <c r="U34" s="265">
        <f>U36+U49+U62+U75+U88</f>
        <v>1957782.2653452989</v>
      </c>
      <c r="V34" s="458" t="s">
        <v>368</v>
      </c>
      <c r="W34" s="265">
        <f>W36+W49+W62+W75+W88</f>
        <v>1957782.2653452989</v>
      </c>
      <c r="X34" s="458" t="s">
        <v>368</v>
      </c>
      <c r="Y34" s="2337"/>
      <c r="Z34" s="458"/>
      <c r="AA34" s="458"/>
      <c r="AB34" s="473"/>
    </row>
    <row r="35" spans="1:28" s="262" customFormat="1" ht="25.2" hidden="1" customHeight="1" outlineLevel="1" x14ac:dyDescent="0.3">
      <c r="A35" s="458"/>
      <c r="B35" s="2297" t="s">
        <v>369</v>
      </c>
      <c r="C35" s="2289"/>
      <c r="D35" s="2289"/>
      <c r="E35" s="2298"/>
      <c r="F35" s="2289"/>
      <c r="G35" s="2289"/>
      <c r="H35" s="2289"/>
      <c r="I35" s="2298"/>
      <c r="J35" s="2289"/>
      <c r="K35" s="2289"/>
      <c r="L35" s="2289"/>
      <c r="M35" s="2289"/>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297" t="s">
        <v>370</v>
      </c>
      <c r="C36" s="2297" t="s">
        <v>371</v>
      </c>
      <c r="D36" s="2300"/>
      <c r="E36" s="1515"/>
      <c r="F36" s="2288" t="s">
        <v>372</v>
      </c>
      <c r="G36" s="2289"/>
      <c r="H36" s="2290"/>
      <c r="I36" s="881"/>
      <c r="J36" s="2286" t="s">
        <v>970</v>
      </c>
      <c r="K36" s="2287"/>
      <c r="L36" s="2287"/>
      <c r="M36" s="2287"/>
      <c r="N36" s="458"/>
      <c r="O36" s="265">
        <f>O39+O41+O42+O43+O44+O45</f>
        <v>25</v>
      </c>
      <c r="P36" s="467"/>
      <c r="Q36" s="889">
        <f>Q39+Q41+Q42+Q43+Q44+Q45</f>
        <v>441.06021026272856</v>
      </c>
      <c r="R36" s="458"/>
      <c r="S36" s="2283">
        <f>IF(AND(Q36&lt;&gt;0,O36&lt;&gt;0),Q36/(1+$D$17+$D$18+$D$19)/(($D$25*1000000/$D$8)),0)</f>
        <v>0.25070285195506636</v>
      </c>
      <c r="T36" s="2322" t="s">
        <v>373</v>
      </c>
      <c r="U36" s="2283">
        <f>U39+U41+U42+U43+U44+U45</f>
        <v>250.06604084120022</v>
      </c>
      <c r="V36" s="467" t="s">
        <v>374</v>
      </c>
      <c r="W36" s="2283">
        <f>W39*O39+W41*O41+W42*O42+W43*O43+W44*O44+W45*O45</f>
        <v>250.06604084120022</v>
      </c>
      <c r="X36" s="467" t="s">
        <v>374</v>
      </c>
      <c r="Y36" s="865" t="s">
        <v>375</v>
      </c>
      <c r="Z36" s="458"/>
      <c r="AA36" s="458"/>
      <c r="AB36" s="473"/>
    </row>
    <row r="37" spans="1:28" s="262" customFormat="1" ht="24" hidden="1" customHeight="1" outlineLevel="1" x14ac:dyDescent="0.3">
      <c r="A37" s="458"/>
      <c r="B37" s="2299"/>
      <c r="C37" s="1637" t="s">
        <v>376</v>
      </c>
      <c r="D37" s="1638" t="s">
        <v>377</v>
      </c>
      <c r="E37" s="1516"/>
      <c r="F37" s="2291"/>
      <c r="G37" s="2289"/>
      <c r="H37" s="2290"/>
      <c r="I37" s="882"/>
      <c r="J37" s="2292" t="s">
        <v>378</v>
      </c>
      <c r="K37" s="2293"/>
      <c r="L37" s="2294" t="s">
        <v>379</v>
      </c>
      <c r="M37" s="2293"/>
      <c r="N37" s="458"/>
      <c r="O37" s="886" t="s">
        <v>380</v>
      </c>
      <c r="P37" s="467"/>
      <c r="Q37" s="890">
        <v>0.5</v>
      </c>
      <c r="R37" s="458"/>
      <c r="S37" s="2304"/>
      <c r="T37" s="2323"/>
      <c r="U37" s="2304"/>
      <c r="V37" s="467"/>
      <c r="W37" s="2284"/>
      <c r="X37" s="467"/>
      <c r="Y37" s="893">
        <f>$Y$33</f>
        <v>0.1</v>
      </c>
      <c r="Z37" s="458"/>
      <c r="AA37" s="458"/>
      <c r="AB37" s="473"/>
    </row>
    <row r="38" spans="1:28" s="262" customFormat="1" ht="24" hidden="1" customHeight="1" outlineLevel="1" x14ac:dyDescent="0.3">
      <c r="A38" s="458"/>
      <c r="B38" s="2308">
        <v>1</v>
      </c>
      <c r="C38" s="2308">
        <v>1</v>
      </c>
      <c r="D38" s="2311">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9"/>
      <c r="C39" s="2310"/>
      <c r="D39" s="2312"/>
      <c r="E39" s="882"/>
      <c r="F39" s="1694" t="s">
        <v>338</v>
      </c>
      <c r="G39" s="1695">
        <v>5</v>
      </c>
      <c r="H39" s="1696">
        <v>0.35</v>
      </c>
      <c r="I39" s="1516"/>
      <c r="J39" s="1697">
        <f>$L$32*H39*$B$38*$C$38</f>
        <v>79.355411324378466</v>
      </c>
      <c r="K39" s="1698">
        <f>$M$32*H39*$B$38*$C$38</f>
        <v>6.6129509436982055</v>
      </c>
      <c r="L39" s="1697">
        <f>J39*$D$38</f>
        <v>99.194264155473078</v>
      </c>
      <c r="M39" s="1698">
        <f>K39*$D$38</f>
        <v>8.2661886796227577</v>
      </c>
      <c r="N39" s="458"/>
      <c r="O39" s="887">
        <v>5</v>
      </c>
      <c r="P39" s="467"/>
      <c r="Q39" s="286">
        <f>O39*$Q$37*M39+O39*(1-$Q$37)*K39</f>
        <v>37.19784905830241</v>
      </c>
      <c r="R39" s="458"/>
      <c r="S39" s="891">
        <f>IF(AND(Q39&lt;&gt;0,O39&lt;&gt;0),Q39/(1+$D$17+$D$18+$D$19)/O39/30/(($D$25*1000000/$D$8))*1000,0)</f>
        <v>0.14095742680204534</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9"/>
      <c r="C40" s="2310"/>
      <c r="D40" s="2312"/>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9"/>
      <c r="C41" s="2310"/>
      <c r="D41" s="2312"/>
      <c r="E41" s="882"/>
      <c r="F41" s="1694">
        <f>G39</f>
        <v>5</v>
      </c>
      <c r="G41" s="1695">
        <v>15</v>
      </c>
      <c r="H41" s="1696">
        <v>0.06</v>
      </c>
      <c r="I41" s="1516"/>
      <c r="J41" s="1697">
        <f>$L$32*(H39+(G41-F41)*H41)*$B$38*$C$38</f>
        <v>215.39325930902729</v>
      </c>
      <c r="K41" s="1698">
        <f>$M$32*(H39+(G41-F41)*H41)*$B$38*$C$38</f>
        <v>17.949438275752271</v>
      </c>
      <c r="L41" s="1697">
        <f t="shared" ref="L41:M45" si="0">J41*$D$38</f>
        <v>269.2415741362841</v>
      </c>
      <c r="M41" s="1698">
        <f t="shared" si="0"/>
        <v>22.436797844690339</v>
      </c>
      <c r="N41" s="458"/>
      <c r="O41" s="887">
        <v>20</v>
      </c>
      <c r="P41" s="467"/>
      <c r="Q41" s="286">
        <f>O41*$Q$37*M41+O41*(1-$Q$37)*K41</f>
        <v>403.86236120442612</v>
      </c>
      <c r="R41" s="458"/>
      <c r="S41" s="891">
        <f>IF(AND(Q41&lt;&gt;0,O41&lt;&gt;0),Q41/(1+$D$17+$D$18+$D$19)/O41/30/(($D$25*1000000/$D$8))*1000,0)</f>
        <v>0.38259872989126587</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9"/>
      <c r="C42" s="2310"/>
      <c r="D42" s="2312"/>
      <c r="E42" s="882"/>
      <c r="F42" s="1694">
        <f>G41</f>
        <v>15</v>
      </c>
      <c r="G42" s="1695">
        <v>25</v>
      </c>
      <c r="H42" s="1696">
        <v>0.05</v>
      </c>
      <c r="I42" s="1516"/>
      <c r="J42" s="1697">
        <f>$L$32*(H39+(G41-F41)*H41+(G42-F42)*H42)*$B$38*$C$38</f>
        <v>328.75813262956797</v>
      </c>
      <c r="K42" s="1698">
        <f>$M$32*(H39+(G41-F41)*H41+(G42-F42)*H42)*$B$38*$C$38</f>
        <v>27.396511052463996</v>
      </c>
      <c r="L42" s="1697">
        <f t="shared" si="0"/>
        <v>410.94766578695999</v>
      </c>
      <c r="M42" s="1698">
        <f t="shared" si="0"/>
        <v>34.245638815579994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9"/>
      <c r="C43" s="2310"/>
      <c r="D43" s="2312"/>
      <c r="E43" s="882"/>
      <c r="F43" s="1694">
        <f>G42</f>
        <v>25</v>
      </c>
      <c r="G43" s="1695">
        <v>35</v>
      </c>
      <c r="H43" s="1696">
        <v>3.5000000000000003E-2</v>
      </c>
      <c r="I43" s="1516"/>
      <c r="J43" s="1697">
        <f>$L$32*(H39+(G41-F41)*H41+(G42-F42)*H42+(G43-F43)*H43)*$B$38*$C$38</f>
        <v>408.11354395394648</v>
      </c>
      <c r="K43" s="1698">
        <f>$M$32*(H39+(G41-F41)*H41+(G42-F42)*H42+(G43-F43)*H43)*$B$38*$C$38</f>
        <v>34.009461996162202</v>
      </c>
      <c r="L43" s="1697">
        <f t="shared" si="0"/>
        <v>510.14192994243308</v>
      </c>
      <c r="M43" s="1698">
        <f t="shared" si="0"/>
        <v>42.511827495202752</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9"/>
      <c r="C44" s="2310"/>
      <c r="D44" s="2312"/>
      <c r="E44" s="882"/>
      <c r="F44" s="1694">
        <f>G43</f>
        <v>35</v>
      </c>
      <c r="G44" s="1695">
        <v>50</v>
      </c>
      <c r="H44" s="1696">
        <f>0.03</f>
        <v>0.03</v>
      </c>
      <c r="I44" s="1516"/>
      <c r="J44" s="1697">
        <f>$L$32*(H39+(G41-F41)*H41+(G42-F42)*H42+(G43-F43)*H43+(G44-F44)*H44)*$B$38*$C$38</f>
        <v>510.14192994243308</v>
      </c>
      <c r="K44" s="1698">
        <f>$M$32*(H39+(G41-F41)*H41+(G42-F42)*H42+(G43-F43)*H43+(G44-F44)*H44)*$B$38*$C$38</f>
        <v>42.511827495202752</v>
      </c>
      <c r="L44" s="1697">
        <f t="shared" si="0"/>
        <v>637.67741242804141</v>
      </c>
      <c r="M44" s="1698">
        <f t="shared" si="0"/>
        <v>53.139784369003436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9"/>
      <c r="C45" s="2310"/>
      <c r="D45" s="2312"/>
      <c r="E45" s="882"/>
      <c r="F45" s="1694">
        <f>G44</f>
        <v>50</v>
      </c>
      <c r="G45" s="1695">
        <v>100</v>
      </c>
      <c r="H45" s="1696">
        <v>2.5000000000000001E-2</v>
      </c>
      <c r="I45" s="1516"/>
      <c r="J45" s="1697">
        <f>$L$32*(H39+(G41-F41)*H41+(G42-F42)*H42+(G43-F43)*H43+(G44-F44)*H44+(G45-F45)*H45)*$B$38*$C$38</f>
        <v>793.55411324378474</v>
      </c>
      <c r="K45" s="1698">
        <f>$M$32*(H39+(G41-F41)*H41+(G42-F42)*H42+(G43-F43)*H43+(G44-F44)*H44+(G45-F45)*H45)*$B$38*$C$38</f>
        <v>66.129509436982062</v>
      </c>
      <c r="L45" s="1697">
        <f t="shared" si="0"/>
        <v>991.94264155473093</v>
      </c>
      <c r="M45" s="1698">
        <f t="shared" si="0"/>
        <v>82.661886796227577</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295" t="s">
        <v>385</v>
      </c>
      <c r="C47" s="2296"/>
      <c r="D47" s="2296"/>
      <c r="E47" s="2296"/>
      <c r="F47" s="2296"/>
      <c r="G47" s="2296"/>
      <c r="H47" s="2296"/>
      <c r="I47" s="2296"/>
      <c r="J47" s="2296"/>
      <c r="K47" s="2296"/>
      <c r="L47" s="2296"/>
      <c r="M47" s="2296"/>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297" t="s">
        <v>369</v>
      </c>
      <c r="C48" s="2289"/>
      <c r="D48" s="2289"/>
      <c r="E48" s="2298"/>
      <c r="F48" s="2289"/>
      <c r="G48" s="2289"/>
      <c r="H48" s="2289"/>
      <c r="I48" s="2298"/>
      <c r="J48" s="2289"/>
      <c r="K48" s="2289"/>
      <c r="L48" s="2289"/>
      <c r="M48" s="2289"/>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297" t="s">
        <v>370</v>
      </c>
      <c r="C49" s="2297" t="s">
        <v>371</v>
      </c>
      <c r="D49" s="2300"/>
      <c r="E49" s="1515"/>
      <c r="F49" s="2288" t="s">
        <v>372</v>
      </c>
      <c r="G49" s="2289"/>
      <c r="H49" s="2290"/>
      <c r="I49" s="881"/>
      <c r="J49" s="2286" t="s">
        <v>970</v>
      </c>
      <c r="K49" s="2287"/>
      <c r="L49" s="2287"/>
      <c r="M49" s="2287"/>
      <c r="N49" s="458"/>
      <c r="O49" s="265">
        <f>O52+O54+O55+O56+O57+O58</f>
        <v>109759</v>
      </c>
      <c r="P49" s="467"/>
      <c r="Q49" s="895">
        <f>Q52+Q54+Q55+Q56+Q57+Q58</f>
        <v>1700507.64066795</v>
      </c>
      <c r="R49" s="458"/>
      <c r="S49" s="2303">
        <f>IF(AND(Q49&lt;&gt;0,O49&lt;&gt;0),Q49/(1+$D$17+$D$18+$D$19)/(($D$25*1000000/$D$8)),0)</f>
        <v>966.58484571275835</v>
      </c>
      <c r="T49" s="2322" t="s">
        <v>373</v>
      </c>
      <c r="U49" s="2283">
        <f>U52+U54+U55+U56+U57+U58</f>
        <v>964129.62046324741</v>
      </c>
      <c r="V49" s="467" t="s">
        <v>374</v>
      </c>
      <c r="W49" s="2301">
        <f>W52*O52+W54*O54+W55*O55+W56*O56+W57*O57+W58*O58</f>
        <v>964129.62046324741</v>
      </c>
      <c r="X49" s="467" t="s">
        <v>374</v>
      </c>
      <c r="Y49" s="865" t="s">
        <v>375</v>
      </c>
      <c r="Z49" s="458"/>
      <c r="AA49" s="458"/>
      <c r="AB49" s="473"/>
    </row>
    <row r="50" spans="1:28" s="262" customFormat="1" ht="24" hidden="1" customHeight="1" outlineLevel="1" x14ac:dyDescent="0.3">
      <c r="A50" s="458"/>
      <c r="B50" s="2299"/>
      <c r="C50" s="1637" t="s">
        <v>376</v>
      </c>
      <c r="D50" s="1638" t="s">
        <v>377</v>
      </c>
      <c r="E50" s="1516"/>
      <c r="F50" s="2291"/>
      <c r="G50" s="2289"/>
      <c r="H50" s="2290"/>
      <c r="I50" s="882"/>
      <c r="J50" s="2292" t="s">
        <v>378</v>
      </c>
      <c r="K50" s="2293"/>
      <c r="L50" s="2294" t="s">
        <v>379</v>
      </c>
      <c r="M50" s="2293"/>
      <c r="N50" s="458"/>
      <c r="O50" s="894" t="s">
        <v>380</v>
      </c>
      <c r="P50" s="467"/>
      <c r="Q50" s="890">
        <v>0.5</v>
      </c>
      <c r="R50" s="458"/>
      <c r="S50" s="2304"/>
      <c r="T50" s="2323"/>
      <c r="U50" s="2304"/>
      <c r="V50" s="467"/>
      <c r="W50" s="2302"/>
      <c r="X50" s="467"/>
      <c r="Y50" s="893">
        <f>$Y$33</f>
        <v>0.1</v>
      </c>
      <c r="Z50" s="458"/>
      <c r="AA50" s="458"/>
      <c r="AB50" s="473"/>
    </row>
    <row r="51" spans="1:28" s="262" customFormat="1" ht="24" hidden="1" customHeight="1" outlineLevel="1" x14ac:dyDescent="0.3">
      <c r="A51" s="458"/>
      <c r="B51" s="2308">
        <v>1</v>
      </c>
      <c r="C51" s="2308">
        <v>1</v>
      </c>
      <c r="D51" s="2311">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9"/>
      <c r="C52" s="2310"/>
      <c r="D52" s="2312"/>
      <c r="E52" s="882"/>
      <c r="F52" s="1694" t="s">
        <v>338</v>
      </c>
      <c r="G52" s="1695">
        <v>5</v>
      </c>
      <c r="H52" s="1696">
        <f>0.35-0.05</f>
        <v>0.3</v>
      </c>
      <c r="I52" s="1516"/>
      <c r="J52" s="1697">
        <f>$L$32*H52*$B$51*$C$51</f>
        <v>68.018923992324403</v>
      </c>
      <c r="K52" s="1698">
        <f>$M$32*H52*$B$51*$C$51</f>
        <v>5.6682436660270339</v>
      </c>
      <c r="L52" s="1697">
        <f>J52*$D$51</f>
        <v>85.023654990405504</v>
      </c>
      <c r="M52" s="1698">
        <f>K52*$D$51</f>
        <v>7.0853045825337926</v>
      </c>
      <c r="N52" s="458"/>
      <c r="O52" s="887">
        <v>76400</v>
      </c>
      <c r="P52" s="467"/>
      <c r="Q52" s="286">
        <f>O52*$Q$50*M52+O52*(1-$Q$50)*K52</f>
        <v>487185.54309502355</v>
      </c>
      <c r="R52" s="458"/>
      <c r="S52" s="891">
        <f>IF(AND(Q52&lt;&gt;0,O52&lt;&gt;0),Q52/(1+$D$17+$D$18+$D$19)/O52/30/(($D$25*1000000/$D$8))*1000,0)</f>
        <v>0.12082065154461029</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9"/>
      <c r="C53" s="2310"/>
      <c r="D53" s="2312"/>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9"/>
      <c r="C54" s="2310"/>
      <c r="D54" s="2312"/>
      <c r="E54" s="882"/>
      <c r="F54" s="1694">
        <f>G52</f>
        <v>5</v>
      </c>
      <c r="G54" s="1695">
        <v>15</v>
      </c>
      <c r="H54" s="1696">
        <f>0.08</f>
        <v>0.08</v>
      </c>
      <c r="I54" s="1516"/>
      <c r="J54" s="1697">
        <f>$L$32*(H52+(G54-F54)*H54)*$B$51*$C$51</f>
        <v>249.40272130518952</v>
      </c>
      <c r="K54" s="1698">
        <f>$M$32*(H52+(G54-F54)*H54)*$B$51*$C$51</f>
        <v>20.783560108765791</v>
      </c>
      <c r="L54" s="1697">
        <f t="shared" ref="L54:M58" si="1">J54*$D$51</f>
        <v>311.75340163148689</v>
      </c>
      <c r="M54" s="1698">
        <f t="shared" si="1"/>
        <v>25.979450135957237</v>
      </c>
      <c r="N54" s="458"/>
      <c r="O54" s="887">
        <v>16500</v>
      </c>
      <c r="P54" s="467"/>
      <c r="Q54" s="286">
        <f>O54*$Q$50*M54+O54*(1-$Q$50)*K54</f>
        <v>385794.83451896498</v>
      </c>
      <c r="R54" s="458"/>
      <c r="S54" s="891">
        <f>IF(AND(Q54&lt;&gt;0,O54&lt;&gt;0),Q54/(1+$D$17+$D$18+$D$19)/O54/30/(($D$25*1000000/$D$8))*1000,0)</f>
        <v>0.44300905566357102</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9"/>
      <c r="C55" s="2310"/>
      <c r="D55" s="2312"/>
      <c r="E55" s="882"/>
      <c r="F55" s="1694">
        <f>G54</f>
        <v>15</v>
      </c>
      <c r="G55" s="1695">
        <v>25</v>
      </c>
      <c r="H55" s="1696">
        <f>0.0725</f>
        <v>7.2499999999999995E-2</v>
      </c>
      <c r="I55" s="1516"/>
      <c r="J55" s="1697">
        <f>$L$32*(H52+(G54-F54)*H54+(G55-F55)*H55)*$B$51*$C$51</f>
        <v>413.7817876199735</v>
      </c>
      <c r="K55" s="1698">
        <f>$M$32*(H52+(G54-F54)*H54+(G55-F55)*H55)*$B$51*$C$51</f>
        <v>34.481815634997794</v>
      </c>
      <c r="L55" s="1697">
        <f t="shared" si="1"/>
        <v>517.22723452496689</v>
      </c>
      <c r="M55" s="1698">
        <f t="shared" si="1"/>
        <v>43.102269543747241</v>
      </c>
      <c r="N55" s="458"/>
      <c r="O55" s="887">
        <v>10000</v>
      </c>
      <c r="P55" s="467"/>
      <c r="Q55" s="286">
        <f>O55*$Q$50*M55+O55*(1-$Q$50)*K55</f>
        <v>387920.42589372519</v>
      </c>
      <c r="R55" s="458"/>
      <c r="S55" s="891">
        <f>IF(AND(Q55&lt;&gt;0,O55&lt;&gt;0),Q55/(1+$D$17+$D$18+$D$19)/O55/30/(($D$25*1000000/$D$8))*1000,0)</f>
        <v>0.73499229689637935</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9"/>
      <c r="C56" s="2310"/>
      <c r="D56" s="2312"/>
      <c r="E56" s="882"/>
      <c r="F56" s="1694">
        <f>G55</f>
        <v>25</v>
      </c>
      <c r="G56" s="1695">
        <v>35</v>
      </c>
      <c r="H56" s="1696">
        <v>6.5000000000000002E-2</v>
      </c>
      <c r="I56" s="1516"/>
      <c r="J56" s="1697">
        <f>$L$32*(H52+(G54-F54)*H54+(G55-F55)*H55+(G56-F56)*H56)*$B$51*$C$51</f>
        <v>561.15612293667641</v>
      </c>
      <c r="K56" s="1698">
        <f>$M$32*(H52+(G54-F54)*H54+(G55-F55)*H55+(G56-F56)*H56)*$B$51*$C$51</f>
        <v>46.763010244723027</v>
      </c>
      <c r="L56" s="1697">
        <f t="shared" si="1"/>
        <v>701.44515367084546</v>
      </c>
      <c r="M56" s="1698">
        <f t="shared" si="1"/>
        <v>58.453762805903786</v>
      </c>
      <c r="N56" s="458"/>
      <c r="O56" s="887">
        <v>5500</v>
      </c>
      <c r="P56" s="467"/>
      <c r="Q56" s="286">
        <f>O56*$Q$50*M56+O56*(1-$Q$50)*K56</f>
        <v>289346.12588922377</v>
      </c>
      <c r="R56" s="458"/>
      <c r="S56" s="891">
        <f>IF(AND(Q56&lt;&gt;0,O56&lt;&gt;0),Q56/(1+$D$17+$D$18+$D$19)/O56/30/(($D$25*1000000/$D$8))*1000,0)</f>
        <v>0.99677037524303513</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3">
      <c r="A57" s="458"/>
      <c r="B57" s="2309"/>
      <c r="C57" s="2310"/>
      <c r="D57" s="2312"/>
      <c r="E57" s="882"/>
      <c r="F57" s="1694">
        <f>G56</f>
        <v>35</v>
      </c>
      <c r="G57" s="1695">
        <v>50</v>
      </c>
      <c r="H57" s="1696">
        <f>0.06</f>
        <v>0.06</v>
      </c>
      <c r="I57" s="1516"/>
      <c r="J57" s="1697">
        <f>$L$32*(H52+(G54-F54)*H54+(G55-F55)*H55+(G56-F56)*H56+(G57-F57)*H57)*$B$51*$C$51</f>
        <v>765.21289491364962</v>
      </c>
      <c r="K57" s="1698">
        <f>$M$32*(H52+(G54-F54)*H54+(G55-F55)*H55+(G56-F56)*H56+(G57-F57)*H57)*$B$51*$C$51</f>
        <v>63.767741242804128</v>
      </c>
      <c r="L57" s="1697">
        <f t="shared" si="1"/>
        <v>956.516118642062</v>
      </c>
      <c r="M57" s="1698">
        <f t="shared" si="1"/>
        <v>79.709676553505162</v>
      </c>
      <c r="N57" s="458"/>
      <c r="O57" s="887">
        <v>366</v>
      </c>
      <c r="P57" s="467"/>
      <c r="Q57" s="286">
        <f>O57*$Q$50*M57+O57*(1-$Q$50)*K57</f>
        <v>26256.367456724598</v>
      </c>
      <c r="R57" s="458"/>
      <c r="S57" s="891">
        <f>IF(AND(Q57&lt;&gt;0,O57&lt;&gt;0),Q57/(1+$D$17+$D$18+$D$19)/O57/30/(($D$25*1000000/$D$8))*1000,0)</f>
        <v>1.3592323298768658</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hidden="1" customHeight="1" outlineLevel="1" x14ac:dyDescent="0.3">
      <c r="A58" s="458"/>
      <c r="B58" s="2309"/>
      <c r="C58" s="2310"/>
      <c r="D58" s="2312"/>
      <c r="E58" s="882"/>
      <c r="F58" s="1694">
        <f>G57</f>
        <v>50</v>
      </c>
      <c r="G58" s="1695">
        <v>100</v>
      </c>
      <c r="H58" s="1696">
        <v>0.05</v>
      </c>
      <c r="I58" s="1516"/>
      <c r="J58" s="1697">
        <f>$L$32*(H52+(G54-F54)*H54+(G55-F55)*H55+(G56-F56)*H56+(G57-F57)*H57+(G58-F58)*H58)*$B$51*$C$51</f>
        <v>1332.0372615163531</v>
      </c>
      <c r="K58" s="1698">
        <f>$M$32*(H52+(G54-F54)*H54+(G55-F55)*H55+(G56-F56)*H56+(G57-F57)*H57+(G58-F58)*H58)*$B$51*$C$51</f>
        <v>111.00310512636274</v>
      </c>
      <c r="L58" s="1697">
        <f t="shared" si="1"/>
        <v>1665.0465768954414</v>
      </c>
      <c r="M58" s="1698">
        <f t="shared" si="1"/>
        <v>138.75388140795343</v>
      </c>
      <c r="N58" s="458"/>
      <c r="O58" s="887">
        <v>993</v>
      </c>
      <c r="P58" s="467"/>
      <c r="Q58" s="286">
        <f>O58*$Q$50*M58+O58*(1-$Q$50)*K58</f>
        <v>124004.34381428797</v>
      </c>
      <c r="R58" s="458"/>
      <c r="S58" s="891">
        <f>IF(AND(Q58&lt;&gt;0,O58&lt;&gt;0),Q58/(1+$D$17+$D$18+$D$19)/O58/30/(($D$25*1000000/$D$8))*1000,0)</f>
        <v>2.3660710927486184</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295" t="s">
        <v>386</v>
      </c>
      <c r="C60" s="2296"/>
      <c r="D60" s="2296"/>
      <c r="E60" s="2296"/>
      <c r="F60" s="2296"/>
      <c r="G60" s="2296"/>
      <c r="H60" s="2296"/>
      <c r="I60" s="2296"/>
      <c r="J60" s="2296"/>
      <c r="K60" s="2296"/>
      <c r="L60" s="2296"/>
      <c r="M60" s="2296"/>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297" t="s">
        <v>369</v>
      </c>
      <c r="C61" s="2289"/>
      <c r="D61" s="2289"/>
      <c r="E61" s="2298"/>
      <c r="F61" s="2289"/>
      <c r="G61" s="2289"/>
      <c r="H61" s="2289"/>
      <c r="I61" s="2298"/>
      <c r="J61" s="2289"/>
      <c r="K61" s="2289"/>
      <c r="L61" s="2289"/>
      <c r="M61" s="2289"/>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297" t="s">
        <v>370</v>
      </c>
      <c r="C62" s="2297" t="s">
        <v>371</v>
      </c>
      <c r="D62" s="2300"/>
      <c r="E62" s="1515"/>
      <c r="F62" s="2288" t="s">
        <v>372</v>
      </c>
      <c r="G62" s="2289"/>
      <c r="H62" s="2290"/>
      <c r="I62" s="881"/>
      <c r="J62" s="2286" t="s">
        <v>970</v>
      </c>
      <c r="K62" s="2287"/>
      <c r="L62" s="2287"/>
      <c r="M62" s="2287"/>
      <c r="N62" s="458"/>
      <c r="O62" s="265">
        <f>O65+O67+O68+O69+O70+O71</f>
        <v>27440</v>
      </c>
      <c r="P62" s="467"/>
      <c r="Q62" s="889">
        <f>Q65+Q67+Q68+Q69+Q70+Q71</f>
        <v>89989.532413165958</v>
      </c>
      <c r="R62" s="458"/>
      <c r="S62" s="2283">
        <f>IF(AND(Q62&lt;&gt;0,O62&lt;&gt;0),Q62/(1+$D$17+$D$18+$D$19)/(($D$25*1000000/$D$8)),0)</f>
        <v>51.150912952779812</v>
      </c>
      <c r="T62" s="2322" t="s">
        <v>373</v>
      </c>
      <c r="U62" s="2283">
        <f>U65+U67+U68+U69+U70+U71</f>
        <v>255104.92177821486</v>
      </c>
      <c r="V62" s="467" t="s">
        <v>374</v>
      </c>
      <c r="W62" s="2283">
        <f>W65*O65+W67*O67+W68*O68+W69*O69+W70*O70+W71*O71</f>
        <v>255104.92177821486</v>
      </c>
      <c r="X62" s="467" t="s">
        <v>374</v>
      </c>
      <c r="Y62" s="865" t="s">
        <v>375</v>
      </c>
      <c r="Z62" s="458"/>
      <c r="AA62" s="458"/>
      <c r="AB62" s="473"/>
    </row>
    <row r="63" spans="1:28" s="262" customFormat="1" ht="24" hidden="1" customHeight="1" outlineLevel="1" x14ac:dyDescent="0.3">
      <c r="A63" s="458"/>
      <c r="B63" s="2299"/>
      <c r="C63" s="1637" t="s">
        <v>376</v>
      </c>
      <c r="D63" s="1638" t="s">
        <v>377</v>
      </c>
      <c r="E63" s="1516"/>
      <c r="F63" s="2291"/>
      <c r="G63" s="2289"/>
      <c r="H63" s="2290"/>
      <c r="I63" s="882"/>
      <c r="J63" s="2292" t="s">
        <v>378</v>
      </c>
      <c r="K63" s="2293"/>
      <c r="L63" s="2294" t="s">
        <v>379</v>
      </c>
      <c r="M63" s="2293"/>
      <c r="N63" s="458"/>
      <c r="O63" s="894" t="s">
        <v>380</v>
      </c>
      <c r="P63" s="467"/>
      <c r="Q63" s="890">
        <v>0.25</v>
      </c>
      <c r="R63" s="458"/>
      <c r="S63" s="2304"/>
      <c r="T63" s="2323"/>
      <c r="U63" s="2304"/>
      <c r="V63" s="467"/>
      <c r="W63" s="2284"/>
      <c r="X63" s="467"/>
      <c r="Y63" s="893">
        <f>$Y$33</f>
        <v>0.1</v>
      </c>
      <c r="Z63" s="458"/>
      <c r="AA63" s="458"/>
      <c r="AB63" s="473"/>
    </row>
    <row r="64" spans="1:28" s="262" customFormat="1" ht="24" hidden="1" customHeight="1" outlineLevel="1" x14ac:dyDescent="0.3">
      <c r="A64" s="458"/>
      <c r="B64" s="2305">
        <f>B51*$H$15</f>
        <v>0.2</v>
      </c>
      <c r="C64" s="2305">
        <f>C51</f>
        <v>1</v>
      </c>
      <c r="D64" s="2305">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06"/>
      <c r="C65" s="2306"/>
      <c r="D65" s="2306"/>
      <c r="E65" s="882"/>
      <c r="F65" s="1694" t="s">
        <v>338</v>
      </c>
      <c r="G65" s="1699">
        <f>G52</f>
        <v>5</v>
      </c>
      <c r="H65" s="1700">
        <f>H52</f>
        <v>0.3</v>
      </c>
      <c r="I65" s="1516"/>
      <c r="J65" s="1701">
        <f>$L$32*H65*$B$64*$C$64</f>
        <v>13.603784798464881</v>
      </c>
      <c r="K65" s="1698">
        <f>$M$32*H65*$B$64*$C$64</f>
        <v>1.1336487332054068</v>
      </c>
      <c r="L65" s="1697">
        <f>J65*$D$51</f>
        <v>17.004730998081101</v>
      </c>
      <c r="M65" s="1698">
        <f>K65*$D$51</f>
        <v>1.4170609165067585</v>
      </c>
      <c r="N65" s="458"/>
      <c r="O65" s="887">
        <v>15000</v>
      </c>
      <c r="P65" s="467"/>
      <c r="Q65" s="286">
        <f>O65*$Q$63*M65+O65*(1-$Q$63)*K65</f>
        <v>18067.526685461169</v>
      </c>
      <c r="R65" s="458"/>
      <c r="S65" s="891">
        <f>IF(AND(Q65&lt;&gt;0,O65&lt;&gt;0),Q65/(1+$D$17+$D$18+$D$19)/$H$15/O65/30/(($D$25*1000000/$D$8))*1000,0)</f>
        <v>0.11410839312546527</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06"/>
      <c r="C66" s="2306"/>
      <c r="D66" s="2306"/>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06"/>
      <c r="C67" s="2306"/>
      <c r="D67" s="2306"/>
      <c r="E67" s="882"/>
      <c r="F67" s="1694">
        <f>G65</f>
        <v>5</v>
      </c>
      <c r="G67" s="1699">
        <f t="shared" ref="G67:H71" si="2">G54</f>
        <v>15</v>
      </c>
      <c r="H67" s="1700">
        <f t="shared" si="2"/>
        <v>0.08</v>
      </c>
      <c r="I67" s="1516"/>
      <c r="J67" s="1701">
        <f>$L$32*(H65+(G67-F67)*H67)*$B$64*$C$64</f>
        <v>49.880544261037905</v>
      </c>
      <c r="K67" s="1698">
        <f>$M$32*(H65+(G67-F67)*H67)*$B$64*$C$64</f>
        <v>4.1567120217531581</v>
      </c>
      <c r="L67" s="1697">
        <f t="shared" ref="L67:M71" si="3">J67*$D$51</f>
        <v>62.350680326297379</v>
      </c>
      <c r="M67" s="1698">
        <f t="shared" si="3"/>
        <v>5.1958900271914477</v>
      </c>
      <c r="N67" s="458"/>
      <c r="O67" s="887">
        <v>8400</v>
      </c>
      <c r="P67" s="467"/>
      <c r="Q67" s="286">
        <f>O67*$Q$63*M67+O67*(1-$Q$63)*K67</f>
        <v>37098.654794146933</v>
      </c>
      <c r="R67" s="458"/>
      <c r="S67" s="891">
        <f>IF(AND(Q67&lt;&gt;0,O67&lt;&gt;0),Q67/(1+$D$17+$D$18+$D$19)/$H$15/O67/30/(($D$25*1000000/$D$8))*1000,0)</f>
        <v>0.41839744146003938</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3">
      <c r="A68" s="458"/>
      <c r="B68" s="2306"/>
      <c r="C68" s="2306"/>
      <c r="D68" s="2306"/>
      <c r="E68" s="882"/>
      <c r="F68" s="1694">
        <f>G67</f>
        <v>15</v>
      </c>
      <c r="G68" s="1699">
        <f t="shared" si="2"/>
        <v>25</v>
      </c>
      <c r="H68" s="1700">
        <f t="shared" si="2"/>
        <v>7.2499999999999995E-2</v>
      </c>
      <c r="I68" s="1516"/>
      <c r="J68" s="1701">
        <f>$L$32*(H65+(G67-F67)*H67+(G68-F68)*H68)*$B$64*$C$64</f>
        <v>82.756357523994708</v>
      </c>
      <c r="K68" s="1698">
        <f>$M$32*(H65+(G67-F67)*H67+(G68-F68)*H68)*$B$64*$C$64</f>
        <v>6.8963631269995593</v>
      </c>
      <c r="L68" s="1697">
        <f t="shared" si="3"/>
        <v>103.44544690499339</v>
      </c>
      <c r="M68" s="1698">
        <f t="shared" si="3"/>
        <v>8.6204539087494485</v>
      </c>
      <c r="N68" s="458"/>
      <c r="O68" s="887">
        <v>2960</v>
      </c>
      <c r="P68" s="467"/>
      <c r="Q68" s="286">
        <f>O68*$Q$63*M68+O68*(1-$Q$63)*K68</f>
        <v>21689.062034413615</v>
      </c>
      <c r="R68" s="458"/>
      <c r="S68" s="891">
        <f>IF(AND(Q68&lt;&gt;0,O68&lt;&gt;0),Q68/(1+$D$17+$D$18+$D$19)/$H$15/O68/30/(($D$25*1000000/$D$8))*1000,0)</f>
        <v>0.69415939151324735</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06"/>
      <c r="C69" s="2306"/>
      <c r="D69" s="2306"/>
      <c r="E69" s="882"/>
      <c r="F69" s="1694">
        <f>G68</f>
        <v>25</v>
      </c>
      <c r="G69" s="1699">
        <f t="shared" si="2"/>
        <v>35</v>
      </c>
      <c r="H69" s="1700">
        <f t="shared" si="2"/>
        <v>6.5000000000000002E-2</v>
      </c>
      <c r="I69" s="1516"/>
      <c r="J69" s="1701">
        <f>$L$32*(H65+(G67-F67)*H67+(G68-F68)*H68+(G69-F69)*H69)*$B$64*$C$64</f>
        <v>112.23122458733529</v>
      </c>
      <c r="K69" s="1698">
        <f>$M$32*(H65+(G67-F67)*H67+(G68-F68)*H68+(G69-F69)*H69)*$B$64*$C$64</f>
        <v>9.3526020489446058</v>
      </c>
      <c r="L69" s="1697">
        <f t="shared" si="3"/>
        <v>140.2890307341691</v>
      </c>
      <c r="M69" s="1698">
        <f t="shared" si="3"/>
        <v>11.690752561180757</v>
      </c>
      <c r="N69" s="458"/>
      <c r="O69" s="887">
        <v>693</v>
      </c>
      <c r="P69" s="467"/>
      <c r="Q69" s="286">
        <f>O69*$Q$63*M69+O69*(1-$Q$63)*K69</f>
        <v>6886.4377961635255</v>
      </c>
      <c r="R69" s="458"/>
      <c r="S69" s="891">
        <f>IF(AND(Q69&lt;&gt;0,O69&lt;&gt;0),Q69/(1+$D$17+$D$18+$D$19)/$H$15/O69/30/(($D$25*1000000/$D$8))*1000,0)</f>
        <v>0.94139424328508836</v>
      </c>
      <c r="T69" s="467" t="s">
        <v>382</v>
      </c>
      <c r="U69" s="870">
        <f>S69*O69*30*$D$11*(1+$D$24)/1000</f>
        <v>19521.872469067453</v>
      </c>
      <c r="V69" s="467" t="s">
        <v>383</v>
      </c>
      <c r="W69" s="870">
        <f>IF(O69&lt;&gt;0,U69/O69,0)</f>
        <v>28.170090142954479</v>
      </c>
      <c r="X69" s="467" t="s">
        <v>384</v>
      </c>
      <c r="Y69" s="287" t="str">
        <f>IF(O69=0,"-",IF(AND(((F69*(1-$Y$63))&lt;W69),(W69&lt;(G69*(1+$Y$63)))),"OK", "NOK"))</f>
        <v>OK</v>
      </c>
      <c r="Z69" s="284">
        <f>W69/$H$15</f>
        <v>140.85045071477239</v>
      </c>
      <c r="AA69" s="249">
        <f>IF(OR(Y69="OK",Y69="-"),1,0)</f>
        <v>1</v>
      </c>
      <c r="AB69" s="459"/>
    </row>
    <row r="70" spans="1:28" s="262" customFormat="1" ht="24" hidden="1" customHeight="1" outlineLevel="1" x14ac:dyDescent="0.3">
      <c r="A70" s="458"/>
      <c r="B70" s="2306"/>
      <c r="C70" s="2306"/>
      <c r="D70" s="2306"/>
      <c r="E70" s="882"/>
      <c r="F70" s="1694">
        <f>G69</f>
        <v>35</v>
      </c>
      <c r="G70" s="1699">
        <f t="shared" si="2"/>
        <v>50</v>
      </c>
      <c r="H70" s="1700">
        <f t="shared" si="2"/>
        <v>0.06</v>
      </c>
      <c r="I70" s="1516"/>
      <c r="J70" s="1701">
        <f>$L$32*(H65+(G67-F67)*H67+(G68-F68)*H68+(G69-F69)*H69+(G70-F70)*H70)*$B$64*$C$64</f>
        <v>153.04257898272994</v>
      </c>
      <c r="K70" s="1698">
        <f>$M$32*(H65+(G67-F67)*H67+(G68-F68)*H68+(G69-F69)*H69+(G70-F70)*H70)*$B$64*$C$64</f>
        <v>12.753548248560826</v>
      </c>
      <c r="L70" s="1697">
        <f t="shared" si="3"/>
        <v>191.30322372841243</v>
      </c>
      <c r="M70" s="1698">
        <f t="shared" si="3"/>
        <v>15.941935310701032</v>
      </c>
      <c r="N70" s="458"/>
      <c r="O70" s="887">
        <v>287</v>
      </c>
      <c r="P70" s="467"/>
      <c r="Q70" s="286">
        <f>O70*$Q$63*M70+O70*(1-$Q$63)*K70</f>
        <v>3889.0351190455167</v>
      </c>
      <c r="R70" s="458"/>
      <c r="S70" s="891">
        <f>IF(AND(Q70&lt;&gt;0,O70&lt;&gt;0),Q70/(1+$D$17+$D$18+$D$19)/$H$15/O70/30/(($D$25*1000000/$D$8))*1000,0)</f>
        <v>1.2837194226614841</v>
      </c>
      <c r="T70" s="467" t="s">
        <v>382</v>
      </c>
      <c r="U70" s="870">
        <f>S70*O70*30*$D$11*(1+$D$24)/1000</f>
        <v>11024.748915038093</v>
      </c>
      <c r="V70" s="467" t="s">
        <v>383</v>
      </c>
      <c r="W70" s="870">
        <f>IF(O70&lt;&gt;0,U70/O70,0)</f>
        <v>38.413759285847014</v>
      </c>
      <c r="X70" s="467" t="s">
        <v>384</v>
      </c>
      <c r="Y70" s="287" t="str">
        <f>IF(O70=0,"-",IF(AND(((F70*(1-$Y$63))&lt;W70),(W70&lt;(G70*(1+$Y$63)))),"OK", "NOK"))</f>
        <v>OK</v>
      </c>
      <c r="Z70" s="284">
        <f>W70/$H$15</f>
        <v>192.06879642923505</v>
      </c>
      <c r="AA70" s="249">
        <f>IF(OR(Y70="OK",Y70="-"),1,0)</f>
        <v>1</v>
      </c>
      <c r="AB70" s="459"/>
    </row>
    <row r="71" spans="1:28" s="262" customFormat="1" ht="24" hidden="1" customHeight="1" outlineLevel="1" x14ac:dyDescent="0.3">
      <c r="A71" s="458"/>
      <c r="B71" s="2307"/>
      <c r="C71" s="2307"/>
      <c r="D71" s="2307"/>
      <c r="E71" s="882"/>
      <c r="F71" s="1694">
        <f>G70</f>
        <v>50</v>
      </c>
      <c r="G71" s="1699">
        <f t="shared" si="2"/>
        <v>100</v>
      </c>
      <c r="H71" s="1700">
        <f t="shared" si="2"/>
        <v>0.05</v>
      </c>
      <c r="I71" s="1516"/>
      <c r="J71" s="1701">
        <f>$L$32*(H65+(G67-F67)*H67+(G68-F68)*H68+(G69-F69)*H69+(G70-F70)*H70+(G71-F71)*H71)*$B$64*$C$64</f>
        <v>266.40745230327065</v>
      </c>
      <c r="K71" s="1698">
        <f>$M$32*(H65+(G67-F67)*H67+(G68-F68)*H68+(G69-F69)*H69+(G70-F70)*H70+(G71-F71)*H71)*$B$64*$C$64</f>
        <v>22.20062102527255</v>
      </c>
      <c r="L71" s="1697">
        <f t="shared" si="3"/>
        <v>333.00931537908832</v>
      </c>
      <c r="M71" s="1698">
        <f t="shared" si="3"/>
        <v>27.750776281590689</v>
      </c>
      <c r="N71" s="458"/>
      <c r="O71" s="887">
        <v>100</v>
      </c>
      <c r="P71" s="467"/>
      <c r="Q71" s="286">
        <f>O71*$Q$63*M71+O71*(1-$Q$63)*K71</f>
        <v>2358.8159839352084</v>
      </c>
      <c r="R71" s="458"/>
      <c r="S71" s="891">
        <f>IF(AND(Q71&lt;&gt;0,O71&lt;&gt;0),Q71/(1+$D$17+$D$18+$D$19)/$H$15/O71/30/(($D$25*1000000/$D$8))*1000,0)</f>
        <v>2.2346226987070281</v>
      </c>
      <c r="T71" s="467" t="s">
        <v>382</v>
      </c>
      <c r="U71" s="870">
        <f>S71*O71*30*$D$11*(1+$D$24)/1000</f>
        <v>6686.8395793881855</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295" t="s">
        <v>762</v>
      </c>
      <c r="C73" s="2296"/>
      <c r="D73" s="2296"/>
      <c r="E73" s="2296"/>
      <c r="F73" s="2296"/>
      <c r="G73" s="2296"/>
      <c r="H73" s="2296"/>
      <c r="I73" s="2296"/>
      <c r="J73" s="2296"/>
      <c r="K73" s="2296"/>
      <c r="L73" s="2296"/>
      <c r="M73" s="2296"/>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297" t="s">
        <v>369</v>
      </c>
      <c r="C74" s="2289"/>
      <c r="D74" s="2289"/>
      <c r="E74" s="2298"/>
      <c r="F74" s="2289"/>
      <c r="G74" s="2289"/>
      <c r="H74" s="2289"/>
      <c r="I74" s="2298"/>
      <c r="J74" s="2289"/>
      <c r="K74" s="2289"/>
      <c r="L74" s="2289"/>
      <c r="M74" s="2289"/>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297" t="s">
        <v>370</v>
      </c>
      <c r="C75" s="2297" t="s">
        <v>371</v>
      </c>
      <c r="D75" s="2300"/>
      <c r="E75" s="1515"/>
      <c r="F75" s="2288" t="s">
        <v>372</v>
      </c>
      <c r="G75" s="2289"/>
      <c r="H75" s="2290"/>
      <c r="I75" s="881"/>
      <c r="J75" s="2286" t="s">
        <v>970</v>
      </c>
      <c r="K75" s="2287"/>
      <c r="L75" s="2287"/>
      <c r="M75" s="2287"/>
      <c r="N75" s="458"/>
      <c r="O75" s="265">
        <f>O78+O80+O81+O82+O83+O84</f>
        <v>27440</v>
      </c>
      <c r="P75" s="467"/>
      <c r="Q75" s="889">
        <f>Q78+Q80+Q81+Q82+Q83+Q84</f>
        <v>1301089.3596303035</v>
      </c>
      <c r="R75" s="458"/>
      <c r="S75" s="2283">
        <f>IF(AND(Q75&lt;&gt;0,O75&lt;&gt;0),Q75/(1+$D$17+$D$18+$D$19)/(($D$25*1000000/$D$8)),0)</f>
        <v>739.55166555016763</v>
      </c>
      <c r="T75" s="2322" t="s">
        <v>373</v>
      </c>
      <c r="U75" s="2283">
        <f>U78+U80+U81+U82+U83+U84</f>
        <v>737673.12800570857</v>
      </c>
      <c r="V75" s="467" t="s">
        <v>374</v>
      </c>
      <c r="W75" s="2283">
        <f>W78*O78+W80*O80+W81*O81+W82*O82+W83*O83+W84*O84</f>
        <v>737673.12800570868</v>
      </c>
      <c r="X75" s="467" t="s">
        <v>374</v>
      </c>
      <c r="Y75" s="865" t="s">
        <v>375</v>
      </c>
      <c r="Z75" s="151"/>
      <c r="AA75" s="151"/>
      <c r="AB75" s="473"/>
    </row>
    <row r="76" spans="1:28" s="262" customFormat="1" ht="24" hidden="1" customHeight="1" outlineLevel="1" x14ac:dyDescent="0.3">
      <c r="A76" s="459"/>
      <c r="B76" s="2299"/>
      <c r="C76" s="1637" t="s">
        <v>376</v>
      </c>
      <c r="D76" s="1638" t="s">
        <v>377</v>
      </c>
      <c r="E76" s="1516"/>
      <c r="F76" s="2291"/>
      <c r="G76" s="2289"/>
      <c r="H76" s="2290"/>
      <c r="I76" s="882"/>
      <c r="J76" s="2292" t="s">
        <v>378</v>
      </c>
      <c r="K76" s="2293"/>
      <c r="L76" s="2294" t="s">
        <v>379</v>
      </c>
      <c r="M76" s="2293"/>
      <c r="N76" s="458"/>
      <c r="O76" s="894" t="s">
        <v>380</v>
      </c>
      <c r="P76" s="467"/>
      <c r="Q76" s="890">
        <v>0.5</v>
      </c>
      <c r="R76" s="458"/>
      <c r="S76" s="2304"/>
      <c r="T76" s="2323"/>
      <c r="U76" s="2304"/>
      <c r="V76" s="467"/>
      <c r="W76" s="2284"/>
      <c r="X76" s="467"/>
      <c r="Y76" s="893">
        <f>$Y$33</f>
        <v>0.1</v>
      </c>
      <c r="Z76" s="151"/>
      <c r="AA76" s="151"/>
      <c r="AB76" s="473"/>
    </row>
    <row r="77" spans="1:28" s="262" customFormat="1" ht="24" hidden="1" customHeight="1" outlineLevel="1" x14ac:dyDescent="0.3">
      <c r="A77" s="459"/>
      <c r="B77" s="2308">
        <v>2</v>
      </c>
      <c r="C77" s="2308">
        <v>1</v>
      </c>
      <c r="D77" s="2311">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9"/>
      <c r="C78" s="2313"/>
      <c r="D78" s="2314"/>
      <c r="E78" s="882"/>
      <c r="F78" s="1694" t="s">
        <v>338</v>
      </c>
      <c r="G78" s="1695">
        <v>5</v>
      </c>
      <c r="H78" s="1696">
        <f>0.35-0.25</f>
        <v>9.9999999999999978E-2</v>
      </c>
      <c r="I78" s="1516"/>
      <c r="J78" s="1697">
        <f>$L$32*H78*$B$77*$C$77</f>
        <v>45.345949328216264</v>
      </c>
      <c r="K78" s="1698">
        <f>$M$32*H78*$B$77*$C$77</f>
        <v>3.7788291106846885</v>
      </c>
      <c r="L78" s="1697">
        <f>J78*$D$77</f>
        <v>56.682436660270326</v>
      </c>
      <c r="M78" s="1698">
        <f>K78*$D$77</f>
        <v>4.7235363883558605</v>
      </c>
      <c r="N78" s="458"/>
      <c r="O78" s="887">
        <v>7692</v>
      </c>
      <c r="P78" s="467"/>
      <c r="Q78" s="286">
        <f>O78*$Q$76*M78+O78*(1-$Q$76)*K78</f>
        <v>32700.09770930995</v>
      </c>
      <c r="R78" s="458"/>
      <c r="S78" s="891">
        <f>IF(AND(Q78&lt;&gt;0,O78&lt;&gt;0),Q78/(1+$D$17+$D$18+$D$19)/O78/30/(($D$25*1000000/$D$8))*1000,0)</f>
        <v>8.0547101029740165E-2</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hidden="1" customHeight="1" outlineLevel="1" x14ac:dyDescent="0.3">
      <c r="A79" s="458"/>
      <c r="B79" s="2309"/>
      <c r="C79" s="2313"/>
      <c r="D79" s="2314"/>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9"/>
      <c r="C80" s="2313"/>
      <c r="D80" s="2314"/>
      <c r="E80" s="882"/>
      <c r="F80" s="1694">
        <f>G78</f>
        <v>5</v>
      </c>
      <c r="G80" s="1695">
        <v>20</v>
      </c>
      <c r="H80" s="1696">
        <f>0.05</f>
        <v>0.05</v>
      </c>
      <c r="I80" s="1516"/>
      <c r="J80" s="1697">
        <f>$L$32*(H78+(G80-F80)*H80)*$B$77*$C$77</f>
        <v>385.44056928983832</v>
      </c>
      <c r="K80" s="1698">
        <f>$M$32*(H78+(G80-F80)*H80)*$B$77*$C$77</f>
        <v>32.12004744081986</v>
      </c>
      <c r="L80" s="1697">
        <f t="shared" ref="L80:M84" si="4">J80*$D$77</f>
        <v>481.8007116122979</v>
      </c>
      <c r="M80" s="1698">
        <f t="shared" si="4"/>
        <v>40.150059301024825</v>
      </c>
      <c r="N80" s="458"/>
      <c r="O80" s="887">
        <v>8500</v>
      </c>
      <c r="P80" s="467"/>
      <c r="Q80" s="286">
        <f>O80*$Q$76*M80+O80*(1-$Q$76)*K80</f>
        <v>307147.95365283987</v>
      </c>
      <c r="R80" s="458"/>
      <c r="S80" s="891">
        <f>IF(AND(Q80&lt;&gt;0,O80&lt;&gt;0),Q80/(1+$D$17+$D$18+$D$19)/O80/30/(($D$25*1000000/$D$8))*1000,0)</f>
        <v>0.68465035875279168</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3">
      <c r="A81" s="458"/>
      <c r="B81" s="2309"/>
      <c r="C81" s="2313"/>
      <c r="D81" s="2314"/>
      <c r="E81" s="882"/>
      <c r="F81" s="1694">
        <f>G80</f>
        <v>20</v>
      </c>
      <c r="G81" s="1695">
        <v>30</v>
      </c>
      <c r="H81" s="1696">
        <f>0.045</f>
        <v>4.4999999999999998E-2</v>
      </c>
      <c r="I81" s="1516"/>
      <c r="J81" s="1697">
        <f>$L$32*(H78+(G80-F80)*H80+(G81-F81)*H81)*$B$77*$C$77</f>
        <v>589.49734126681142</v>
      </c>
      <c r="K81" s="1698">
        <f>$M$32*(H78+(G80-F80)*H80+(G81-F81)*H81)*$B$77*$C$77</f>
        <v>49.124778438900954</v>
      </c>
      <c r="L81" s="1697">
        <f t="shared" si="4"/>
        <v>736.87167658351427</v>
      </c>
      <c r="M81" s="1698">
        <f t="shared" si="4"/>
        <v>61.405973048626194</v>
      </c>
      <c r="N81" s="458"/>
      <c r="O81" s="887">
        <v>2573</v>
      </c>
      <c r="P81" s="467"/>
      <c r="Q81" s="286">
        <f>O81*$Q$76*M81+O81*(1-$Q$76)*K81</f>
        <v>142197.81178870366</v>
      </c>
      <c r="R81" s="458"/>
      <c r="S81" s="891">
        <f>IF(AND(Q81&lt;&gt;0,O81&lt;&gt;0),Q81/(1+$D$17+$D$18+$D$19)/O81/30/(($D$25*1000000/$D$8))*1000,0)</f>
        <v>1.0471123133866225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3">
      <c r="A82" s="458"/>
      <c r="B82" s="2309"/>
      <c r="C82" s="2313"/>
      <c r="D82" s="2314"/>
      <c r="E82" s="882"/>
      <c r="F82" s="1694">
        <f>G81</f>
        <v>30</v>
      </c>
      <c r="G82" s="1695">
        <v>40</v>
      </c>
      <c r="H82" s="1696">
        <f>0.04</f>
        <v>0.04</v>
      </c>
      <c r="I82" s="1516"/>
      <c r="J82" s="1697">
        <f>$L$32*(H78+(G80-F80)*H80+(G81-F81)*H81+(G82-F82)*H82)*$B$77*$C$77</f>
        <v>770.88113857967653</v>
      </c>
      <c r="K82" s="1698">
        <f>$M$32*(H78+(G80-F80)*H80+(G81-F81)*H81+(G82-F82)*H82)*$B$77*$C$77</f>
        <v>64.240094881639706</v>
      </c>
      <c r="L82" s="1697">
        <f t="shared" si="4"/>
        <v>963.60142322459569</v>
      </c>
      <c r="M82" s="1698">
        <f t="shared" si="4"/>
        <v>80.300118602049636</v>
      </c>
      <c r="N82" s="458"/>
      <c r="O82" s="887">
        <v>4825</v>
      </c>
      <c r="P82" s="467"/>
      <c r="Q82" s="286">
        <f>O82*$Q$76*M82+O82*(1-$Q$76)*K82</f>
        <v>348703.26502940053</v>
      </c>
      <c r="R82" s="458"/>
      <c r="S82" s="891">
        <f>IF(AND(Q82&lt;&gt;0,O82&lt;&gt;0),Q82/(1+$D$17+$D$18+$D$19)/O82/30/(($D$25*1000000/$D$8))*1000,0)</f>
        <v>1.3693007175055834</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3">
      <c r="A83" s="458"/>
      <c r="B83" s="2309"/>
      <c r="C83" s="2313"/>
      <c r="D83" s="2314"/>
      <c r="E83" s="882"/>
      <c r="F83" s="1694">
        <f>G82</f>
        <v>40</v>
      </c>
      <c r="G83" s="1695">
        <v>55</v>
      </c>
      <c r="H83" s="1696">
        <f>0.035</f>
        <v>3.5000000000000003E-2</v>
      </c>
      <c r="I83" s="1516"/>
      <c r="J83" s="1697">
        <f>$L$32*(H78+(G80-F80)*H80+(G81-F81)*H81+(G82-F82)*H82+(G83-F83)*H83)*$B$77*$C$77</f>
        <v>1008.9473725528119</v>
      </c>
      <c r="K83" s="1698">
        <f>$M$32*(H78+(G80-F80)*H80+(G81-F81)*H81+(G82-F82)*H82+(G83-F83)*H83)*$B$77*$C$77</f>
        <v>84.078947712734319</v>
      </c>
      <c r="L83" s="1697">
        <f t="shared" si="4"/>
        <v>1261.1842156910147</v>
      </c>
      <c r="M83" s="1698">
        <f t="shared" si="4"/>
        <v>105.0986846409179</v>
      </c>
      <c r="N83" s="458"/>
      <c r="O83" s="887">
        <v>2000</v>
      </c>
      <c r="P83" s="467"/>
      <c r="Q83" s="286">
        <f>O83*$Q$76*M83+O83*(1-$Q$76)*K83</f>
        <v>189177.63235365221</v>
      </c>
      <c r="R83" s="458"/>
      <c r="S83" s="891">
        <f>IF(AND(Q83&lt;&gt;0,O83&lt;&gt;0),Q83/(1+$D$17+$D$18+$D$19)/O83/30/(($D$25*1000000/$D$8))*1000,0)</f>
        <v>1.7921729979117187</v>
      </c>
      <c r="T83" s="467" t="s">
        <v>382</v>
      </c>
      <c r="U83" s="870">
        <f>S83*O83*30*$D$11*(1+$D$24)/1000</f>
        <v>107257.24161381596</v>
      </c>
      <c r="V83" s="1620" t="s">
        <v>383</v>
      </c>
      <c r="W83" s="870">
        <f>IF(O83&lt;&gt;0,U83/O83,0)</f>
        <v>53.628620806907982</v>
      </c>
      <c r="X83" s="467" t="s">
        <v>383</v>
      </c>
      <c r="Y83" s="287" t="str">
        <f>IF(O83=0,"-",IF(AND(((F83*(1-$Y$76))&lt;W83),(W83&lt;(G83*(1+$Y$76)))),"OK", "NOK"))</f>
        <v>OK</v>
      </c>
      <c r="Z83" s="151"/>
      <c r="AA83" s="249">
        <f>IF(OR(Y83="OK",Y83="-"),1,0)</f>
        <v>1</v>
      </c>
      <c r="AB83" s="473"/>
    </row>
    <row r="84" spans="1:28" s="262" customFormat="1" ht="24" hidden="1" customHeight="1" outlineLevel="1" x14ac:dyDescent="0.3">
      <c r="A84" s="458"/>
      <c r="B84" s="2309"/>
      <c r="C84" s="2313"/>
      <c r="D84" s="2314"/>
      <c r="E84" s="882"/>
      <c r="F84" s="1694">
        <f>G83</f>
        <v>55</v>
      </c>
      <c r="G84" s="1695">
        <v>100</v>
      </c>
      <c r="H84" s="1696">
        <f>0.03</f>
        <v>0.03</v>
      </c>
      <c r="I84" s="1516"/>
      <c r="J84" s="1697">
        <f>$L$32*(H78+(G80-F80)*H80+(G81-F81)*H81+(G82-F82)*H82+(G83-F83)*H83+(G84-F84)*H84)*$B$77*$C$77</f>
        <v>1621.1176884837314</v>
      </c>
      <c r="K84" s="1698">
        <f>$M$32*(H78+(G80-F80)*H80+(G81-F81)*H81+(G82-F82)*H82+(G83-F83)*H83+(G84-F84)*H84)*$B$77*$C$77</f>
        <v>135.09314070697761</v>
      </c>
      <c r="L84" s="1697">
        <f t="shared" si="4"/>
        <v>2026.3971106046642</v>
      </c>
      <c r="M84" s="1698">
        <f t="shared" si="4"/>
        <v>168.866425883722</v>
      </c>
      <c r="N84" s="458"/>
      <c r="O84" s="887">
        <v>1850</v>
      </c>
      <c r="P84" s="467"/>
      <c r="Q84" s="286">
        <f>O84*$Q$76*M84+O84*(1-$Q$76)*K84</f>
        <v>281162.59909639717</v>
      </c>
      <c r="R84" s="458"/>
      <c r="S84" s="891">
        <f>IF(AND(Q84&lt;&gt;0,O84&lt;&gt;0),Q84/(1+$D$17+$D$18+$D$19)/O84/30/(($D$25*1000000/$D$8))*1000,0)</f>
        <v>2.8795588618132113</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295" t="s">
        <v>387</v>
      </c>
      <c r="C86" s="2296"/>
      <c r="D86" s="2296"/>
      <c r="E86" s="2296"/>
      <c r="F86" s="2296"/>
      <c r="G86" s="2296"/>
      <c r="H86" s="2296"/>
      <c r="I86" s="2296"/>
      <c r="J86" s="2296"/>
      <c r="K86" s="2296"/>
      <c r="L86" s="2296"/>
      <c r="M86" s="2296"/>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297" t="s">
        <v>369</v>
      </c>
      <c r="C87" s="2289"/>
      <c r="D87" s="2289"/>
      <c r="E87" s="2298"/>
      <c r="F87" s="2289"/>
      <c r="G87" s="2289"/>
      <c r="H87" s="2289"/>
      <c r="I87" s="2298"/>
      <c r="J87" s="2289"/>
      <c r="K87" s="2289"/>
      <c r="L87" s="2289"/>
      <c r="M87" s="2289"/>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297" t="s">
        <v>370</v>
      </c>
      <c r="C88" s="2297" t="s">
        <v>371</v>
      </c>
      <c r="D88" s="2300"/>
      <c r="E88" s="1515"/>
      <c r="F88" s="2288" t="s">
        <v>372</v>
      </c>
      <c r="G88" s="2289"/>
      <c r="H88" s="2290"/>
      <c r="I88" s="881"/>
      <c r="J88" s="2286" t="s">
        <v>970</v>
      </c>
      <c r="K88" s="2287"/>
      <c r="L88" s="2287"/>
      <c r="M88" s="2287"/>
      <c r="N88" s="458"/>
      <c r="O88" s="287">
        <f>O91+O93+O94+O95+O96</f>
        <v>5</v>
      </c>
      <c r="P88" s="467"/>
      <c r="Q88" s="889">
        <f>Q91+Q93+Q94+Q95+Q96</f>
        <v>1101.528685764587</v>
      </c>
      <c r="R88" s="458"/>
      <c r="S88" s="2283">
        <f>IF(AND(Q88&lt;&gt;0,O88&lt;&gt;0),Q88/(1+$D$17+$D$18+$D$19)/(($D$25*1000000/$D$8)),0)</f>
        <v>0.62611946533784713</v>
      </c>
      <c r="T88" s="2322" t="s">
        <v>373</v>
      </c>
      <c r="U88" s="2283">
        <f>U91+U93+U94+U95+U96+Z97</f>
        <v>624.52905728693872</v>
      </c>
      <c r="V88" s="458" t="s">
        <v>374</v>
      </c>
      <c r="W88" s="2283">
        <f>W91*O91+W93*O93+W94*O94+W95*O95+W96*O96</f>
        <v>624.52905728693872</v>
      </c>
      <c r="X88" s="467" t="s">
        <v>374</v>
      </c>
      <c r="Y88" s="865" t="s">
        <v>375</v>
      </c>
      <c r="Z88" s="151"/>
      <c r="AA88" s="151"/>
      <c r="AB88" s="473"/>
    </row>
    <row r="89" spans="1:28" s="262" customFormat="1" ht="24" hidden="1" customHeight="1" outlineLevel="1" x14ac:dyDescent="0.3">
      <c r="A89" s="458"/>
      <c r="B89" s="2299"/>
      <c r="C89" s="1637" t="s">
        <v>376</v>
      </c>
      <c r="D89" s="1638" t="s">
        <v>377</v>
      </c>
      <c r="E89" s="1516"/>
      <c r="F89" s="2291"/>
      <c r="G89" s="2289"/>
      <c r="H89" s="2290"/>
      <c r="I89" s="882"/>
      <c r="J89" s="2292" t="s">
        <v>378</v>
      </c>
      <c r="K89" s="2293"/>
      <c r="L89" s="2294" t="s">
        <v>379</v>
      </c>
      <c r="M89" s="2293"/>
      <c r="N89" s="458"/>
      <c r="O89" s="894" t="s">
        <v>380</v>
      </c>
      <c r="P89" s="467"/>
      <c r="Q89" s="890">
        <v>0.25</v>
      </c>
      <c r="R89" s="458"/>
      <c r="S89" s="2304"/>
      <c r="T89" s="2323"/>
      <c r="U89" s="2304"/>
      <c r="V89" s="458"/>
      <c r="W89" s="2284"/>
      <c r="X89" s="467"/>
      <c r="Y89" s="893">
        <f>$Y$33</f>
        <v>0.1</v>
      </c>
      <c r="Z89" s="151"/>
      <c r="AA89" s="151"/>
      <c r="AB89" s="473"/>
    </row>
    <row r="90" spans="1:28" s="262" customFormat="1" ht="24" hidden="1" customHeight="1" outlineLevel="1" x14ac:dyDescent="0.3">
      <c r="A90" s="458"/>
      <c r="B90" s="2308">
        <v>2</v>
      </c>
      <c r="C90" s="2308">
        <v>1</v>
      </c>
      <c r="D90" s="2311">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9"/>
      <c r="C91" s="2310"/>
      <c r="D91" s="2312"/>
      <c r="E91" s="882"/>
      <c r="F91" s="1694" t="s">
        <v>338</v>
      </c>
      <c r="G91" s="1695">
        <v>5</v>
      </c>
      <c r="H91" s="1696">
        <v>0.35</v>
      </c>
      <c r="I91" s="1516"/>
      <c r="J91" s="1697">
        <f>$L$32*H91*$B$90*$C$90</f>
        <v>158.71082264875693</v>
      </c>
      <c r="K91" s="1698">
        <f>$M$32*H91*$B$90*$C$90</f>
        <v>13.225901887396411</v>
      </c>
      <c r="L91" s="1697">
        <f>J91*$D$90</f>
        <v>190.45298717850832</v>
      </c>
      <c r="M91" s="1698">
        <f>K91*$D$90</f>
        <v>15.871082264875692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9"/>
      <c r="C92" s="2310"/>
      <c r="D92" s="2312"/>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9"/>
      <c r="C93" s="2310"/>
      <c r="D93" s="2312"/>
      <c r="E93" s="882"/>
      <c r="F93" s="1694">
        <f>G91</f>
        <v>5</v>
      </c>
      <c r="G93" s="1695">
        <v>30</v>
      </c>
      <c r="H93" s="1696">
        <v>0.05</v>
      </c>
      <c r="I93" s="1516"/>
      <c r="J93" s="1697">
        <f>$L$32*(H91+(G93-F93)*H93)*$B$90*$C$90</f>
        <v>725.53518925146045</v>
      </c>
      <c r="K93" s="1698">
        <f>$M$32*(H91+(G93-F93)*H93)*$B$90*$C$90</f>
        <v>60.461265770955031</v>
      </c>
      <c r="L93" s="1697">
        <f t="shared" ref="L93:M96" si="5">J93*$D$90</f>
        <v>870.6422271017525</v>
      </c>
      <c r="M93" s="1698">
        <f t="shared" si="5"/>
        <v>72.553518925146037</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9"/>
      <c r="C94" s="2310"/>
      <c r="D94" s="2312"/>
      <c r="E94" s="882"/>
      <c r="F94" s="1694">
        <f>G93</f>
        <v>30</v>
      </c>
      <c r="G94" s="1695">
        <v>100</v>
      </c>
      <c r="H94" s="1696">
        <v>0.03</v>
      </c>
      <c r="I94" s="1516"/>
      <c r="J94" s="1697">
        <f>$L$32*(H91+(G93-F93)*H93+(G94-F94)*H94)*$B$90*$C$90</f>
        <v>1677.8001251440021</v>
      </c>
      <c r="K94" s="1698">
        <f>$M$32*(H91+(G93-F93)*H93+(G94-F94)*H94)*$B$90*$C$90</f>
        <v>139.81667709533352</v>
      </c>
      <c r="L94" s="1697">
        <f t="shared" si="5"/>
        <v>2013.3601501728024</v>
      </c>
      <c r="M94" s="1698">
        <f t="shared" si="5"/>
        <v>167.78001251440023</v>
      </c>
      <c r="N94" s="458"/>
      <c r="O94" s="887">
        <v>4</v>
      </c>
      <c r="P94" s="467"/>
      <c r="Q94" s="286">
        <f>O94*$Q$76*M94+O94*(1-$Q$76)*K94</f>
        <v>615.19337921946749</v>
      </c>
      <c r="R94" s="458"/>
      <c r="S94" s="891">
        <f>IF(AND(Q94&lt;&gt;0,O94&lt;&gt;0),Q94/(1+$D$17+$D$18+$D$19)/O94/30/(($D$25*1000000/$D$8))*1000,0)</f>
        <v>2.9140151216981574</v>
      </c>
      <c r="T94" s="467" t="s">
        <v>382</v>
      </c>
      <c r="U94" s="870">
        <f>S94*O94*30*$D$11*(1+$D$24)/1000</f>
        <v>348.79358671119604</v>
      </c>
      <c r="V94" s="458" t="s">
        <v>383</v>
      </c>
      <c r="W94" s="870">
        <f>IF(O94&lt;&gt;0,U94/O94,0)</f>
        <v>87.19839667779901</v>
      </c>
      <c r="X94" s="467" t="s">
        <v>383</v>
      </c>
      <c r="Y94" s="265" t="str">
        <f>IF(O94=0,"-",IF(AND(((F94*(1-$Y$89))&lt;W94),(W94&lt;(G94*(1+$Y$89)))),"OK", "NOK"))</f>
        <v>OK</v>
      </c>
      <c r="Z94" s="151"/>
      <c r="AA94" s="249">
        <f>IF(OR(Y94="OK",Y94="-"),1,0)</f>
        <v>1</v>
      </c>
      <c r="AB94" s="473"/>
    </row>
    <row r="95" spans="1:28" s="262" customFormat="1" ht="24" hidden="1" customHeight="1" outlineLevel="1" x14ac:dyDescent="0.3">
      <c r="A95" s="458"/>
      <c r="B95" s="2309"/>
      <c r="C95" s="2310"/>
      <c r="D95" s="2312"/>
      <c r="E95" s="882"/>
      <c r="F95" s="1694">
        <f>G94</f>
        <v>100</v>
      </c>
      <c r="G95" s="1695">
        <v>500</v>
      </c>
      <c r="H95" s="1696">
        <v>0.02</v>
      </c>
      <c r="I95" s="1516"/>
      <c r="J95" s="1697">
        <f>$L$32*(H91+(G93-F93)*H93+(G94-F94)*H94+(G95-F95)*H95)*$B$90*$C$90</f>
        <v>5305.4760714013037</v>
      </c>
      <c r="K95" s="1698">
        <f>$M$32*(H91+(G93-F93)*H93+(G94-F94)*H94+(G95-F95)*H95)*$B$90*$C$90</f>
        <v>442.12300595010862</v>
      </c>
      <c r="L95" s="1697">
        <f t="shared" si="5"/>
        <v>6366.5712856815644</v>
      </c>
      <c r="M95" s="1698">
        <f t="shared" si="5"/>
        <v>530.54760714013037</v>
      </c>
      <c r="N95" s="458"/>
      <c r="O95" s="887">
        <v>1</v>
      </c>
      <c r="P95" s="467"/>
      <c r="Q95" s="286">
        <f>O95*$Q$76*M95+O95*(1-$Q$76)*K95</f>
        <v>486.33530654511947</v>
      </c>
      <c r="R95" s="458"/>
      <c r="S95" s="891">
        <f>IF(AND(Q95&lt;&gt;0,O95&lt;&gt;0),Q95/(1+$D$17+$D$18+$D$19)/O95/30/(($D$25*1000000/$D$8))*1000,0)</f>
        <v>9.2145883578022758</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3">
      <c r="A96" s="458"/>
      <c r="B96" s="2309"/>
      <c r="C96" s="2310"/>
      <c r="D96" s="2312"/>
      <c r="E96" s="882"/>
      <c r="F96" s="1694">
        <f>G95</f>
        <v>500</v>
      </c>
      <c r="G96" s="1695">
        <v>1000</v>
      </c>
      <c r="H96" s="1696">
        <v>0.01</v>
      </c>
      <c r="I96" s="1516"/>
      <c r="J96" s="1697">
        <f>$L$32*(H91+(G93-F93)*H93+(G94-F94)*H94+(G95-F95)*H95+(G96-F96)*H96)*$B$90*$C$90</f>
        <v>7572.773537812117</v>
      </c>
      <c r="K96" s="1698">
        <f>$M$32*(H91+(G93-F93)*H93+(G94-F94)*H94+(G95-F95)*H95+(G96-F96)*H96)*$B$90*$C$90</f>
        <v>631.06446148434304</v>
      </c>
      <c r="L96" s="1697">
        <f t="shared" si="5"/>
        <v>9087.3282453745396</v>
      </c>
      <c r="M96" s="1698">
        <f t="shared" si="5"/>
        <v>757.27735378121167</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7" t="s">
        <v>869</v>
      </c>
      <c r="C2" s="2357"/>
      <c r="D2" s="2357"/>
      <c r="F2" s="293"/>
      <c r="G2" s="293"/>
      <c r="H2" s="293"/>
      <c r="I2" s="1591" t="s">
        <v>473</v>
      </c>
      <c r="J2" s="1592"/>
      <c r="K2" s="1592"/>
      <c r="L2" s="293"/>
      <c r="M2" s="1729"/>
      <c r="N2" s="1730"/>
      <c r="O2" s="293"/>
      <c r="P2" s="293"/>
      <c r="Q2" s="293"/>
      <c r="R2" s="293"/>
      <c r="S2" s="293"/>
      <c r="T2" s="293"/>
    </row>
    <row r="3" spans="1:20" s="206" customFormat="1" ht="19.95" customHeight="1" x14ac:dyDescent="0.3">
      <c r="B3" s="2357"/>
      <c r="C3" s="2357"/>
      <c r="D3" s="2357"/>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7"/>
      <c r="C4" s="2357"/>
      <c r="D4" s="2357"/>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4" t="s">
        <v>389</v>
      </c>
      <c r="G6" s="2355"/>
      <c r="H6" s="2356"/>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221.29945526694513</v>
      </c>
      <c r="H8" s="1965">
        <f>SUMIF(C33:BC33,1,C178:BC178)</f>
        <v>263.71564350707087</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t="e">
        <f>G9-C28</f>
        <v>#NUM!</v>
      </c>
      <c r="H10" s="1968" t="e">
        <f>H9-C28</f>
        <v>#NUM!</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86.718575069233708</v>
      </c>
      <c r="H11" s="1970">
        <f>SUMIF(C33:BC33,1,C63:BC63)</f>
        <v>86.718575069233708</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2.5519267941183972</v>
      </c>
      <c r="H12" s="1968">
        <f>H8/H11</f>
        <v>3.0410513929285345</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3.1992511500441383</v>
      </c>
      <c r="H13" s="1973">
        <f>IF(H8&lt;0,SUM(C183:BC183),SUM(C183:BC183))</f>
        <v>-25.872697470980313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3.5519267941183976</v>
      </c>
      <c r="H14" s="1976">
        <f>(SUMIF(C33:BC33,1,C178:BC178)+SUMIF(C33:BC33,1,C63:BC63))/SUMIF(C33:BC33,1,C63:BC63)</f>
        <v>4.0410513929285345</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8"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9"/>
      <c r="G17" s="2372" t="s">
        <v>873</v>
      </c>
      <c r="H17" s="2374"/>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9"/>
      <c r="G18" s="2373"/>
      <c r="H18" s="2375"/>
      <c r="I18" s="1941"/>
      <c r="J18" s="1469"/>
      <c r="K18" s="293"/>
      <c r="L18" s="293"/>
      <c r="M18" s="293"/>
      <c r="N18" s="293"/>
      <c r="O18" s="293"/>
      <c r="P18" s="293"/>
      <c r="Q18" s="293"/>
      <c r="R18" s="293"/>
      <c r="S18" s="295"/>
    </row>
    <row r="19" spans="1:58" s="206" customFormat="1" ht="2.7" customHeight="1" outlineLevel="1" x14ac:dyDescent="0.3">
      <c r="B19" s="1918"/>
      <c r="C19" s="1954"/>
      <c r="D19" s="1932"/>
      <c r="F19" s="2369"/>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69"/>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9"/>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9"/>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70"/>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1" t="s">
        <v>1101</v>
      </c>
      <c r="G26" s="2363"/>
      <c r="H26" s="1470">
        <f>'R&amp;C-Painel de Controle'!D33</f>
        <v>1396.7092707049733</v>
      </c>
      <c r="I26" s="1608" t="s">
        <v>295</v>
      </c>
      <c r="J26" s="1606"/>
      <c r="K26" s="2362" t="s">
        <v>653</v>
      </c>
      <c r="L26" s="2363"/>
      <c r="M26" s="1471">
        <f>G8</f>
        <v>221.29945526694513</v>
      </c>
      <c r="N26" s="1608" t="s">
        <v>304</v>
      </c>
      <c r="O26" s="2352" t="s">
        <v>654</v>
      </c>
      <c r="P26" s="2352"/>
      <c r="Q26" s="2353"/>
      <c r="R26" s="1472">
        <f>G14</f>
        <v>3.5519267941183976</v>
      </c>
      <c r="S26" s="1610" t="s">
        <v>195</v>
      </c>
      <c r="T26" s="293"/>
    </row>
    <row r="27" spans="1:58" s="206" customFormat="1" ht="19.95" customHeight="1" outlineLevel="1" thickTop="1" x14ac:dyDescent="0.3">
      <c r="B27" s="1924" t="s">
        <v>401</v>
      </c>
      <c r="C27" s="1961" t="s">
        <v>289</v>
      </c>
      <c r="D27" s="1981" t="s">
        <v>289</v>
      </c>
      <c r="F27" s="2367" t="s">
        <v>655</v>
      </c>
      <c r="G27" s="2365"/>
      <c r="H27" s="911">
        <f>'R&amp;C-Painel de Controle'!D32</f>
        <v>35</v>
      </c>
      <c r="I27" s="1609" t="s">
        <v>388</v>
      </c>
      <c r="J27" s="1607"/>
      <c r="K27" s="2364" t="s">
        <v>656</v>
      </c>
      <c r="L27" s="2365"/>
      <c r="M27" s="912" t="e">
        <f>G9</f>
        <v>#NUM!</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8" t="s">
        <v>657</v>
      </c>
      <c r="G28" s="2359"/>
      <c r="H28" s="1988">
        <f>H26*('R&amp;C-Painel de Controle'!D7*30/'R&amp;C-Painel de Controle'!D6)</f>
        <v>7.5129661424665652</v>
      </c>
      <c r="I28" s="1989" t="s">
        <v>299</v>
      </c>
      <c r="J28" s="1607"/>
      <c r="K28" s="2366" t="s">
        <v>658</v>
      </c>
      <c r="L28" s="2359"/>
      <c r="M28" s="1990">
        <f>G13</f>
        <v>3.1992511500441383</v>
      </c>
      <c r="N28" s="1609" t="s">
        <v>388</v>
      </c>
      <c r="O28" s="1607"/>
      <c r="P28" s="1607"/>
      <c r="Q28" s="1607"/>
      <c r="R28" s="1607"/>
      <c r="S28" s="1613"/>
      <c r="T28" s="293"/>
    </row>
    <row r="29" spans="1:58" s="206" customFormat="1" ht="18" customHeight="1" outlineLevel="1" thickTop="1" thickBot="1" x14ac:dyDescent="0.35">
      <c r="B29" s="324"/>
      <c r="F29" s="2360" t="s">
        <v>1102</v>
      </c>
      <c r="G29" s="2361"/>
      <c r="H29" s="1991">
        <f>'R&amp;C-Painel de Controle'!H33</f>
        <v>1491.675405776728</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79.057269915667192</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23025.599999999999</v>
      </c>
      <c r="D35" s="304">
        <f>C35*(1+$C$8)</f>
        <v>23133.820319999995</v>
      </c>
      <c r="E35" s="304">
        <f t="shared" ref="E35:AI35" si="4">D35*(1+$C$8)</f>
        <v>23242.549275503992</v>
      </c>
      <c r="F35" s="304">
        <f t="shared" si="4"/>
        <v>23351.789257098859</v>
      </c>
      <c r="G35" s="304">
        <f t="shared" si="4"/>
        <v>23461.542666607224</v>
      </c>
      <c r="H35" s="304">
        <f t="shared" si="4"/>
        <v>23571.811917140276</v>
      </c>
      <c r="I35" s="304">
        <f t="shared" si="4"/>
        <v>23682.599433150834</v>
      </c>
      <c r="J35" s="304">
        <f t="shared" si="4"/>
        <v>23793.907650486643</v>
      </c>
      <c r="K35" s="304">
        <f t="shared" si="4"/>
        <v>23905.739016443928</v>
      </c>
      <c r="L35" s="304">
        <f t="shared" si="4"/>
        <v>24018.095989821213</v>
      </c>
      <c r="M35" s="304">
        <f t="shared" si="4"/>
        <v>24130.981040973373</v>
      </c>
      <c r="N35" s="304">
        <f t="shared" si="4"/>
        <v>24244.396651865947</v>
      </c>
      <c r="O35" s="304">
        <f t="shared" si="4"/>
        <v>24358.345316129715</v>
      </c>
      <c r="P35" s="304">
        <f t="shared" si="4"/>
        <v>24472.829539115522</v>
      </c>
      <c r="Q35" s="304">
        <f t="shared" si="4"/>
        <v>24587.851837949365</v>
      </c>
      <c r="R35" s="304">
        <f t="shared" si="4"/>
        <v>24703.414741587727</v>
      </c>
      <c r="S35" s="304">
        <f t="shared" si="4"/>
        <v>24819.520790873186</v>
      </c>
      <c r="T35" s="304">
        <f t="shared" si="4"/>
        <v>24936.17253859029</v>
      </c>
      <c r="U35" s="304">
        <f t="shared" si="4"/>
        <v>25053.372549521664</v>
      </c>
      <c r="V35" s="304">
        <f t="shared" si="4"/>
        <v>25171.123400504413</v>
      </c>
      <c r="W35" s="304">
        <f t="shared" si="4"/>
        <v>25289.427680486784</v>
      </c>
      <c r="X35" s="304">
        <f t="shared" si="4"/>
        <v>25408.287990585071</v>
      </c>
      <c r="Y35" s="304">
        <f t="shared" si="4"/>
        <v>25527.70694414082</v>
      </c>
      <c r="Z35" s="304">
        <f t="shared" si="4"/>
        <v>25647.68716677828</v>
      </c>
      <c r="AA35" s="304">
        <f t="shared" si="4"/>
        <v>25768.231296462134</v>
      </c>
      <c r="AB35" s="304">
        <f t="shared" si="4"/>
        <v>25889.341983555503</v>
      </c>
      <c r="AC35" s="304">
        <f t="shared" si="4"/>
        <v>26011.021890878212</v>
      </c>
      <c r="AD35" s="304">
        <f t="shared" si="4"/>
        <v>26133.273693765339</v>
      </c>
      <c r="AE35" s="304">
        <f t="shared" si="4"/>
        <v>26256.100080126034</v>
      </c>
      <c r="AF35" s="304">
        <f t="shared" si="4"/>
        <v>26379.503750502623</v>
      </c>
      <c r="AG35" s="304">
        <f t="shared" si="4"/>
        <v>26503.487418129982</v>
      </c>
      <c r="AH35" s="304">
        <f t="shared" si="4"/>
        <v>26628.053808995192</v>
      </c>
      <c r="AI35" s="304">
        <f t="shared" si="4"/>
        <v>26753.205661897468</v>
      </c>
      <c r="AJ35" s="304">
        <f t="shared" ref="AJ35:BC35" si="5">AI35*(1+$C$8)</f>
        <v>26878.945728508384</v>
      </c>
      <c r="AK35" s="304">
        <f t="shared" si="5"/>
        <v>27005.276773432372</v>
      </c>
      <c r="AL35" s="304">
        <f t="shared" si="5"/>
        <v>27132.201574267503</v>
      </c>
      <c r="AM35" s="304">
        <f t="shared" si="5"/>
        <v>27259.722921666558</v>
      </c>
      <c r="AN35" s="304">
        <f t="shared" si="5"/>
        <v>27387.843619398391</v>
      </c>
      <c r="AO35" s="304">
        <f t="shared" si="5"/>
        <v>27516.566484409563</v>
      </c>
      <c r="AP35" s="304">
        <f t="shared" si="5"/>
        <v>27645.894346886285</v>
      </c>
      <c r="AQ35" s="304">
        <f t="shared" si="5"/>
        <v>27775.83005031665</v>
      </c>
      <c r="AR35" s="304">
        <f t="shared" si="5"/>
        <v>27906.376451553137</v>
      </c>
      <c r="AS35" s="304">
        <f t="shared" si="5"/>
        <v>28037.536420875433</v>
      </c>
      <c r="AT35" s="304">
        <f t="shared" si="5"/>
        <v>28169.312842053547</v>
      </c>
      <c r="AU35" s="304">
        <f t="shared" si="5"/>
        <v>28301.708612411196</v>
      </c>
      <c r="AV35" s="304">
        <f t="shared" si="5"/>
        <v>28434.726642889527</v>
      </c>
      <c r="AW35" s="304">
        <f t="shared" si="5"/>
        <v>28568.369858111106</v>
      </c>
      <c r="AX35" s="304">
        <f t="shared" si="5"/>
        <v>28702.641196444227</v>
      </c>
      <c r="AY35" s="304">
        <f t="shared" si="5"/>
        <v>28837.543610067514</v>
      </c>
      <c r="AZ35" s="304">
        <f t="shared" si="5"/>
        <v>28973.080065034828</v>
      </c>
      <c r="BA35" s="304">
        <f t="shared" si="5"/>
        <v>29109.253541340491</v>
      </c>
      <c r="BB35" s="304">
        <f t="shared" si="5"/>
        <v>29246.067032984789</v>
      </c>
      <c r="BC35" s="304">
        <f t="shared" si="5"/>
        <v>29383.523548039815</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2887.4249999999993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2900.995897499999</v>
      </c>
      <c r="G42" s="333">
        <f t="shared" si="10"/>
        <v>2900.995897499999</v>
      </c>
      <c r="H42" s="333">
        <f t="shared" si="10"/>
        <v>2900.995897499999</v>
      </c>
      <c r="I42" s="333">
        <f t="shared" si="10"/>
        <v>2900.995897499999</v>
      </c>
      <c r="J42" s="333">
        <f t="shared" si="10"/>
        <v>2900.995897499999</v>
      </c>
      <c r="K42" s="333">
        <f t="shared" si="10"/>
        <v>2900.995897499999</v>
      </c>
      <c r="L42" s="333">
        <f t="shared" si="10"/>
        <v>2900.995897499999</v>
      </c>
      <c r="M42" s="333">
        <f t="shared" si="10"/>
        <v>2900.995897499999</v>
      </c>
      <c r="N42" s="333">
        <f t="shared" si="10"/>
        <v>2900.995897499999</v>
      </c>
      <c r="O42" s="333">
        <f t="shared" si="10"/>
        <v>2900.995897499999</v>
      </c>
      <c r="P42" s="333">
        <f t="shared" si="10"/>
        <v>2900.995897499999</v>
      </c>
      <c r="Q42" s="333">
        <f t="shared" si="10"/>
        <v>2900.995897499999</v>
      </c>
      <c r="R42" s="333">
        <f t="shared" ref="R42:BC42" si="11">Q42*(1+$C$8)</f>
        <v>2914.630578218249</v>
      </c>
      <c r="S42" s="333">
        <f t="shared" si="11"/>
        <v>2928.3293419358747</v>
      </c>
      <c r="T42" s="333">
        <f t="shared" si="11"/>
        <v>2942.092489842973</v>
      </c>
      <c r="U42" s="333">
        <f t="shared" si="11"/>
        <v>2955.920324545235</v>
      </c>
      <c r="V42" s="333">
        <f t="shared" si="11"/>
        <v>2969.8131500705972</v>
      </c>
      <c r="W42" s="333">
        <f t="shared" si="11"/>
        <v>2983.771271875929</v>
      </c>
      <c r="X42" s="333">
        <f t="shared" si="11"/>
        <v>2997.7949968537455</v>
      </c>
      <c r="Y42" s="333">
        <f t="shared" si="11"/>
        <v>3011.8846333389579</v>
      </c>
      <c r="Z42" s="333">
        <f t="shared" si="11"/>
        <v>3026.0404911156506</v>
      </c>
      <c r="AA42" s="333">
        <f t="shared" si="11"/>
        <v>3040.2628814238938</v>
      </c>
      <c r="AB42" s="333">
        <f t="shared" si="11"/>
        <v>3054.5521169665858</v>
      </c>
      <c r="AC42" s="333">
        <f t="shared" si="11"/>
        <v>3068.9085119163287</v>
      </c>
      <c r="AD42" s="333">
        <f t="shared" si="11"/>
        <v>3083.3323819223351</v>
      </c>
      <c r="AE42" s="333">
        <f t="shared" si="11"/>
        <v>3097.8240441173698</v>
      </c>
      <c r="AF42" s="333">
        <f t="shared" si="11"/>
        <v>3112.3838171247212</v>
      </c>
      <c r="AG42" s="333">
        <f t="shared" si="11"/>
        <v>3127.0120210652071</v>
      </c>
      <c r="AH42" s="333">
        <f t="shared" si="11"/>
        <v>3141.7089775642135</v>
      </c>
      <c r="AI42" s="333">
        <f t="shared" si="11"/>
        <v>3156.4750097587648</v>
      </c>
      <c r="AJ42" s="333">
        <f t="shared" si="11"/>
        <v>3171.3104423046307</v>
      </c>
      <c r="AK42" s="333">
        <f t="shared" si="11"/>
        <v>3186.2156013834624</v>
      </c>
      <c r="AL42" s="333">
        <f t="shared" si="11"/>
        <v>3201.1908147099643</v>
      </c>
      <c r="AM42" s="333">
        <f t="shared" si="11"/>
        <v>3216.236411539101</v>
      </c>
      <c r="AN42" s="333">
        <f t="shared" si="11"/>
        <v>3231.3527226733345</v>
      </c>
      <c r="AO42" s="333">
        <f t="shared" si="11"/>
        <v>3246.5400804698988</v>
      </c>
      <c r="AP42" s="333">
        <f t="shared" si="11"/>
        <v>3261.7988188481072</v>
      </c>
      <c r="AQ42" s="333">
        <f t="shared" si="11"/>
        <v>3277.1292732966931</v>
      </c>
      <c r="AR42" s="333">
        <f t="shared" si="11"/>
        <v>3292.5317808811874</v>
      </c>
      <c r="AS42" s="333">
        <f t="shared" si="11"/>
        <v>3308.0066802513288</v>
      </c>
      <c r="AT42" s="333">
        <f t="shared" si="11"/>
        <v>3323.5543116485096</v>
      </c>
      <c r="AU42" s="333">
        <f t="shared" si="11"/>
        <v>3339.1750169132574</v>
      </c>
      <c r="AV42" s="333">
        <f t="shared" si="11"/>
        <v>3354.8691394927496</v>
      </c>
      <c r="AW42" s="333">
        <f t="shared" si="11"/>
        <v>3370.6370244483651</v>
      </c>
      <c r="AX42" s="333">
        <f t="shared" si="11"/>
        <v>3386.479018463272</v>
      </c>
      <c r="AY42" s="333">
        <f t="shared" si="11"/>
        <v>3402.3954698500493</v>
      </c>
      <c r="AZ42" s="333">
        <f t="shared" si="11"/>
        <v>3418.3867285583442</v>
      </c>
      <c r="BA42" s="333">
        <f t="shared" si="11"/>
        <v>3434.4531461825682</v>
      </c>
      <c r="BB42" s="333">
        <f t="shared" si="11"/>
        <v>3450.5950759696261</v>
      </c>
      <c r="BC42" s="333">
        <f t="shared" si="11"/>
        <v>3466.8128728266829</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22869.127856249997</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22976.612757174371</v>
      </c>
      <c r="G57" s="333">
        <f t="shared" si="25"/>
        <v>22976.612757174371</v>
      </c>
      <c r="H57" s="333">
        <f t="shared" si="25"/>
        <v>22976.612757174371</v>
      </c>
      <c r="I57" s="333">
        <f t="shared" si="25"/>
        <v>22976.612757174371</v>
      </c>
      <c r="J57" s="333">
        <f t="shared" si="25"/>
        <v>22976.612757174371</v>
      </c>
      <c r="K57" s="333">
        <f t="shared" si="25"/>
        <v>22976.612757174371</v>
      </c>
      <c r="L57" s="333">
        <f t="shared" si="25"/>
        <v>22976.612757174371</v>
      </c>
      <c r="M57" s="333">
        <f t="shared" si="25"/>
        <v>22976.612757174371</v>
      </c>
      <c r="N57" s="333">
        <f t="shared" si="25"/>
        <v>22976.612757174371</v>
      </c>
      <c r="O57" s="333">
        <f t="shared" si="25"/>
        <v>22976.612757174371</v>
      </c>
      <c r="P57" s="333">
        <f t="shared" si="25"/>
        <v>22976.612757174371</v>
      </c>
      <c r="Q57" s="333">
        <f t="shared" si="25"/>
        <v>22976.612757174371</v>
      </c>
      <c r="R57" s="333">
        <f t="shared" ref="R57:BC57" si="26">Q57*(1+$C$8)</f>
        <v>23084.60283713309</v>
      </c>
      <c r="S57" s="333">
        <f t="shared" si="26"/>
        <v>23193.100470467612</v>
      </c>
      <c r="T57" s="333">
        <f t="shared" si="26"/>
        <v>23302.10804267881</v>
      </c>
      <c r="U57" s="333">
        <f t="shared" si="26"/>
        <v>23411.6279504794</v>
      </c>
      <c r="V57" s="333">
        <f t="shared" si="26"/>
        <v>23521.662601846652</v>
      </c>
      <c r="W57" s="333">
        <f t="shared" si="26"/>
        <v>23632.214416075331</v>
      </c>
      <c r="X57" s="333">
        <f t="shared" si="26"/>
        <v>23743.285823830884</v>
      </c>
      <c r="Y57" s="333">
        <f t="shared" si="26"/>
        <v>23854.879267202887</v>
      </c>
      <c r="Z57" s="333">
        <f t="shared" si="26"/>
        <v>23966.997199758738</v>
      </c>
      <c r="AA57" s="333">
        <f t="shared" si="26"/>
        <v>24079.642086597603</v>
      </c>
      <c r="AB57" s="333">
        <f t="shared" si="26"/>
        <v>24192.81640440461</v>
      </c>
      <c r="AC57" s="333">
        <f t="shared" si="26"/>
        <v>24306.522641505311</v>
      </c>
      <c r="AD57" s="333">
        <f t="shared" si="26"/>
        <v>24420.763297920385</v>
      </c>
      <c r="AE57" s="333">
        <f t="shared" si="26"/>
        <v>24535.540885420607</v>
      </c>
      <c r="AF57" s="333">
        <f t="shared" si="26"/>
        <v>24650.857927582081</v>
      </c>
      <c r="AG57" s="333">
        <f t="shared" si="26"/>
        <v>24766.716959841717</v>
      </c>
      <c r="AH57" s="333">
        <f t="shared" si="26"/>
        <v>24883.120529552973</v>
      </c>
      <c r="AI57" s="333">
        <f t="shared" si="26"/>
        <v>25000.07119604187</v>
      </c>
      <c r="AJ57" s="333">
        <f t="shared" si="26"/>
        <v>25117.571530663266</v>
      </c>
      <c r="AK57" s="333">
        <f t="shared" si="26"/>
        <v>25235.624116857383</v>
      </c>
      <c r="AL57" s="333">
        <f t="shared" si="26"/>
        <v>25354.231550206612</v>
      </c>
      <c r="AM57" s="333">
        <f t="shared" si="26"/>
        <v>25473.396438492582</v>
      </c>
      <c r="AN57" s="333">
        <f t="shared" si="26"/>
        <v>25593.121401753495</v>
      </c>
      <c r="AO57" s="333">
        <f t="shared" si="26"/>
        <v>25713.409072341736</v>
      </c>
      <c r="AP57" s="333">
        <f t="shared" si="26"/>
        <v>25834.262094981739</v>
      </c>
      <c r="AQ57" s="333">
        <f t="shared" si="26"/>
        <v>25955.683126828153</v>
      </c>
      <c r="AR57" s="333">
        <f t="shared" si="26"/>
        <v>26077.674837524242</v>
      </c>
      <c r="AS57" s="333">
        <f t="shared" si="26"/>
        <v>26200.239909260603</v>
      </c>
      <c r="AT57" s="333">
        <f t="shared" si="26"/>
        <v>26323.381036834126</v>
      </c>
      <c r="AU57" s="333">
        <f t="shared" si="26"/>
        <v>26447.100927707244</v>
      </c>
      <c r="AV57" s="333">
        <f t="shared" si="26"/>
        <v>26571.402302067465</v>
      </c>
      <c r="AW57" s="333">
        <f t="shared" si="26"/>
        <v>26696.28789288718</v>
      </c>
      <c r="AX57" s="333">
        <f t="shared" si="26"/>
        <v>26821.760445983746</v>
      </c>
      <c r="AY57" s="333">
        <f t="shared" si="26"/>
        <v>26947.822720079868</v>
      </c>
      <c r="AZ57" s="333">
        <f t="shared" si="26"/>
        <v>27074.477486864242</v>
      </c>
      <c r="BA57" s="333">
        <f t="shared" si="26"/>
        <v>27201.7275310525</v>
      </c>
      <c r="BB57" s="333">
        <f t="shared" si="26"/>
        <v>27329.575650448445</v>
      </c>
      <c r="BC57" s="333">
        <f t="shared" si="26"/>
        <v>27458.024656005549</v>
      </c>
      <c r="BD57" s="305"/>
      <c r="BE57" s="305"/>
      <c r="BF57" s="305"/>
    </row>
    <row r="58" spans="1:58" s="206" customFormat="1" ht="18" hidden="1" customHeight="1" outlineLevel="1" x14ac:dyDescent="0.3">
      <c r="B58" s="906" t="str">
        <f>B86</f>
        <v>Aterro Sanitário</v>
      </c>
      <c r="C58" s="325" t="str">
        <f>C86</f>
        <v>Sim</v>
      </c>
      <c r="D58" s="325">
        <f>'R&amp;C-Painel de Controle'!H73</f>
        <v>23353.825571249999</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23463.588551434874</v>
      </c>
      <c r="G60" s="333">
        <f t="shared" si="28"/>
        <v>23463.588551434874</v>
      </c>
      <c r="H60" s="333">
        <f t="shared" si="28"/>
        <v>23463.588551434874</v>
      </c>
      <c r="I60" s="333">
        <f t="shared" si="28"/>
        <v>23463.588551434874</v>
      </c>
      <c r="J60" s="333">
        <f t="shared" si="28"/>
        <v>23463.588551434874</v>
      </c>
      <c r="K60" s="333">
        <f t="shared" si="28"/>
        <v>23463.588551434874</v>
      </c>
      <c r="L60" s="333">
        <f t="shared" si="28"/>
        <v>23463.588551434874</v>
      </c>
      <c r="M60" s="333">
        <f t="shared" si="28"/>
        <v>23463.588551434874</v>
      </c>
      <c r="N60" s="333">
        <f t="shared" si="28"/>
        <v>23463.588551434874</v>
      </c>
      <c r="O60" s="333">
        <f t="shared" si="28"/>
        <v>23463.588551434874</v>
      </c>
      <c r="P60" s="333">
        <f t="shared" si="28"/>
        <v>23463.588551434874</v>
      </c>
      <c r="Q60" s="333">
        <f t="shared" si="28"/>
        <v>23463.588551434874</v>
      </c>
      <c r="R60" s="333">
        <f t="shared" ref="R60:BC60" si="29">Q60*(1+$C$8)</f>
        <v>23573.867417626618</v>
      </c>
      <c r="S60" s="333">
        <f t="shared" si="29"/>
        <v>23684.664594489463</v>
      </c>
      <c r="T60" s="333">
        <f t="shared" si="29"/>
        <v>23795.982518083561</v>
      </c>
      <c r="U60" s="333">
        <f t="shared" si="29"/>
        <v>23907.823635918554</v>
      </c>
      <c r="V60" s="333">
        <f t="shared" si="29"/>
        <v>24020.190407007369</v>
      </c>
      <c r="W60" s="333">
        <f t="shared" si="29"/>
        <v>24133.085301920302</v>
      </c>
      <c r="X60" s="333">
        <f t="shared" si="29"/>
        <v>24246.510802839326</v>
      </c>
      <c r="Y60" s="333">
        <f t="shared" si="29"/>
        <v>24360.469403612668</v>
      </c>
      <c r="Z60" s="333">
        <f t="shared" si="29"/>
        <v>24474.963609809645</v>
      </c>
      <c r="AA60" s="333">
        <f t="shared" si="29"/>
        <v>24589.995938775748</v>
      </c>
      <c r="AB60" s="333">
        <f t="shared" si="29"/>
        <v>24705.568919687994</v>
      </c>
      <c r="AC60" s="333">
        <f t="shared" si="29"/>
        <v>24821.685093610526</v>
      </c>
      <c r="AD60" s="333">
        <f t="shared" si="29"/>
        <v>24938.347013550494</v>
      </c>
      <c r="AE60" s="333">
        <f t="shared" si="29"/>
        <v>25055.557244514181</v>
      </c>
      <c r="AF60" s="333">
        <f t="shared" si="29"/>
        <v>25173.318363563394</v>
      </c>
      <c r="AG60" s="333">
        <f t="shared" si="29"/>
        <v>25291.632959872139</v>
      </c>
      <c r="AH60" s="333">
        <f t="shared" si="29"/>
        <v>25410.503634783538</v>
      </c>
      <c r="AI60" s="333">
        <f t="shared" si="29"/>
        <v>25529.933001867019</v>
      </c>
      <c r="AJ60" s="333">
        <f t="shared" si="29"/>
        <v>25649.923686975791</v>
      </c>
      <c r="AK60" s="333">
        <f t="shared" si="29"/>
        <v>25770.478328304576</v>
      </c>
      <c r="AL60" s="333">
        <f t="shared" si="29"/>
        <v>25891.599576447607</v>
      </c>
      <c r="AM60" s="333">
        <f t="shared" si="29"/>
        <v>26013.290094456908</v>
      </c>
      <c r="AN60" s="333">
        <f t="shared" si="29"/>
        <v>26135.552557900854</v>
      </c>
      <c r="AO60" s="333">
        <f t="shared" si="29"/>
        <v>26258.389654922987</v>
      </c>
      <c r="AP60" s="333">
        <f t="shared" si="29"/>
        <v>26381.804086301123</v>
      </c>
      <c r="AQ60" s="333">
        <f t="shared" si="29"/>
        <v>26505.798565506735</v>
      </c>
      <c r="AR60" s="333">
        <f t="shared" si="29"/>
        <v>26630.375818764616</v>
      </c>
      <c r="AS60" s="333">
        <f t="shared" si="29"/>
        <v>26755.538585112809</v>
      </c>
      <c r="AT60" s="333">
        <f t="shared" si="29"/>
        <v>26881.289616462836</v>
      </c>
      <c r="AU60" s="333">
        <f t="shared" si="29"/>
        <v>27007.631677660211</v>
      </c>
      <c r="AV60" s="333">
        <f t="shared" si="29"/>
        <v>27134.567546545211</v>
      </c>
      <c r="AW60" s="333">
        <f t="shared" si="29"/>
        <v>27262.100014013973</v>
      </c>
      <c r="AX60" s="333">
        <f t="shared" si="29"/>
        <v>27390.231884079836</v>
      </c>
      <c r="AY60" s="333">
        <f t="shared" si="29"/>
        <v>27518.96597393501</v>
      </c>
      <c r="AZ60" s="333">
        <f t="shared" si="29"/>
        <v>27648.305114012503</v>
      </c>
      <c r="BA60" s="333">
        <f t="shared" si="29"/>
        <v>27778.252148048359</v>
      </c>
      <c r="BB60" s="333">
        <f t="shared" si="29"/>
        <v>27908.809933144184</v>
      </c>
      <c r="BC60" s="333">
        <f t="shared" si="29"/>
        <v>28039.981339829959</v>
      </c>
      <c r="BD60" s="305"/>
      <c r="BE60" s="305"/>
      <c r="BF60" s="305"/>
    </row>
    <row r="61" spans="1:58" s="206" customFormat="1" ht="18" hidden="1" customHeight="1" outlineLevel="1" x14ac:dyDescent="0.3">
      <c r="B61" s="906" t="s">
        <v>671</v>
      </c>
      <c r="C61" s="328">
        <f>C35</f>
        <v>23025.599999999999</v>
      </c>
      <c r="D61" s="330">
        <f>D35</f>
        <v>23133.820319999995</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23.022329775588723</v>
      </c>
      <c r="D63" s="306">
        <f>((D67+D70+D73+D76+D79+D82+D85+D88+'R&amp;C-Painel de Controle'!I21)+('R&amp;C-Painel de Controle'!$K$77*$H$27/5+'R&amp;C-Painel de Controle'!$K$75*$H$27/20+'R&amp;C-Painel de Controle'!$D$29+'R&amp;C-Painel de Controle'!$D$30)/3*(1+$C$62))</f>
        <v>34.093760247647126</v>
      </c>
      <c r="E63" s="306">
        <f>((E67+E70+E73+E76+E79+E82+E85+E88+'R&amp;C-Painel de Controle'!J21)+('R&amp;C-Painel de Controle'!$K$77*$H$27/5+'R&amp;C-Painel de Controle'!$K$75*$H$27/20+'R&amp;C-Painel de Controle'!$D$29+'R&amp;C-Painel de Controle'!$D$30)/3*(1+$C$62))</f>
        <v>29.602485045997867</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12.384336198812903</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3.7153008596438708</v>
      </c>
      <c r="D70" s="333">
        <f>D69*$D$68</f>
        <v>2.4768672397625808</v>
      </c>
      <c r="E70" s="333">
        <f>E69*$D$68</f>
        <v>6.1921680994064516</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30.923472558355122</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6.184694511671025</v>
      </c>
      <c r="D85" s="334">
        <f t="shared" si="39"/>
        <v>15.461736279177561</v>
      </c>
      <c r="E85" s="332">
        <f t="shared" si="39"/>
        <v>9.2770417675065371</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10.109407748110504</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2.0218815496221008</v>
      </c>
      <c r="D88" s="334">
        <f t="shared" si="40"/>
        <v>5.0547038740552521</v>
      </c>
      <c r="E88" s="332">
        <f t="shared" si="40"/>
        <v>3.0328223244331514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20.289823398374565</v>
      </c>
      <c r="G90" s="306">
        <f>IF('R&amp;C-Painel de Controle'!$D$24="Não",G94+G97+G100+G103+G106+G109+G112+G115,G94+G97+G100+G103+G106+G109+G112+G115+'R&amp;C-Painel de Controle'!$L$91)</f>
        <v>20.289823398374565</v>
      </c>
      <c r="H90" s="306">
        <f>IF('R&amp;C-Painel de Controle'!$D$24="Não",H94+H97+H100+H103+H106+H109+H112+H115,H94+H97+H100+H103+H106+H109+H112+H115+'R&amp;C-Painel de Controle'!$L$91)</f>
        <v>20.289823398374565</v>
      </c>
      <c r="I90" s="306">
        <f>IF('R&amp;C-Painel de Controle'!$D$24="Não",I94+I97+I100+I103+I106+I109+I112+I115,I94+I97+I100+I103+I106+I109+I112+I115+'R&amp;C-Painel de Controle'!$L$91)</f>
        <v>20.289823398374565</v>
      </c>
      <c r="J90" s="306">
        <f>IF('R&amp;C-Painel de Controle'!$D$24="Não",J94+J97+J100+J103+J106+J109+J112+J115,J94+J97+J100+J103+J106+J109+J112+J115+'R&amp;C-Painel de Controle'!$L$91)</f>
        <v>20.289823398374565</v>
      </c>
      <c r="K90" s="306">
        <f>IF('R&amp;C-Painel de Controle'!$D$24="Não",K94+K97+K100+K103+K106+K109+K112+K115,K94+K97+K100+K103+K106+K109+K112+K115+'R&amp;C-Painel de Controle'!$L$91)</f>
        <v>20.289823398374565</v>
      </c>
      <c r="L90" s="306">
        <f>IF('R&amp;C-Painel de Controle'!$D$24="Não",L94+L97+L100+L103+L106+L109+L112+L115,L94+L97+L100+L103+L106+L109+L112+L115+'R&amp;C-Painel de Controle'!$L$91)</f>
        <v>20.289823398374565</v>
      </c>
      <c r="M90" s="306">
        <f>IF('R&amp;C-Painel de Controle'!$D$24="Não",M94+M97+M100+M103+M106+M109+M112+M115,M94+M97+M100+M103+M106+M109+M112+M115+'R&amp;C-Painel de Controle'!$L$91)</f>
        <v>20.289823398374565</v>
      </c>
      <c r="N90" s="306">
        <f>IF('R&amp;C-Painel de Controle'!$D$24="Não",N94+N97+N100+N103+N106+N109+N112+N115,N94+N97+N100+N103+N106+N109+N112+N115+'R&amp;C-Painel de Controle'!$L$91)</f>
        <v>20.289823398374565</v>
      </c>
      <c r="O90" s="306">
        <f>IF('R&amp;C-Painel de Controle'!$D$24="Não",O94+O97+O100+O103+O106+O109+O112+O115,O94+O97+O100+O103+O106+O109+O112+O115+'R&amp;C-Painel de Controle'!$L$91)</f>
        <v>20.289823398374565</v>
      </c>
      <c r="P90" s="306">
        <f>IF('R&amp;C-Painel de Controle'!$D$24="Não",P94+P97+P100+P103+P106+P109+P112+P115,P94+P97+P100+P103+P106+P109+P112+P115+'R&amp;C-Painel de Controle'!$L$91)</f>
        <v>20.289823398374565</v>
      </c>
      <c r="Q90" s="306">
        <f>IF('R&amp;C-Painel de Controle'!$D$24="Não",Q94+Q97+Q100+Q103+Q106+Q109+Q112+Q115,Q94+Q97+Q100+Q103+Q106+Q109+Q112+Q115+'R&amp;C-Painel de Controle'!$L$91)</f>
        <v>20.289823398374565</v>
      </c>
      <c r="R90" s="306">
        <f>IF('R&amp;C-Painel de Controle'!$D$24="Não",R94+R97+R100+R103+R106+R109+R112+R115,R94+R97+R100+R103+R106+R109+R112+R115+'R&amp;C-Painel de Controle'!$L$91)</f>
        <v>20.289823398374565</v>
      </c>
      <c r="S90" s="306">
        <f>IF('R&amp;C-Painel de Controle'!$D$24="Não",S94+S97+S100+S103+S106+S109+S112+S115,S94+S97+S100+S103+S106+S109+S112+S115+'R&amp;C-Painel de Controle'!$L$91)</f>
        <v>20.289823398374565</v>
      </c>
      <c r="T90" s="306">
        <f>IF('R&amp;C-Painel de Controle'!$D$24="Não",T94+T97+T100+T103+T106+T109+T112+T115,T94+T97+T100+T103+T106+T109+T112+T115+'R&amp;C-Painel de Controle'!$L$91)</f>
        <v>20.289823398374565</v>
      </c>
      <c r="U90" s="306">
        <f>IF('R&amp;C-Painel de Controle'!$D$24="Não",U94+U97+U100+U103+U106+U109+U112+U115,U94+U97+U100+U103+U106+U109+U112+U115+'R&amp;C-Painel de Controle'!$L$91)</f>
        <v>20.289823398374565</v>
      </c>
      <c r="V90" s="306">
        <f>IF('R&amp;C-Painel de Controle'!$D$24="Não",V94+V97+V100+V103+V106+V109+V112+V115,V94+V97+V100+V103+V106+V109+V112+V115+'R&amp;C-Painel de Controle'!$L$91)</f>
        <v>20.289823398374565</v>
      </c>
      <c r="W90" s="306">
        <f>IF('R&amp;C-Painel de Controle'!$D$24="Não",W94+W97+W100+W103+W106+W109+W112+W115,W94+W97+W100+W103+W106+W109+W112+W115+'R&amp;C-Painel de Controle'!$L$91)</f>
        <v>20.289823398374565</v>
      </c>
      <c r="X90" s="306">
        <f>IF('R&amp;C-Painel de Controle'!$D$24="Não",X94+X97+X100+X103+X106+X109+X112+X115,X94+X97+X100+X103+X106+X109+X112+X115+'R&amp;C-Painel de Controle'!$L$91)</f>
        <v>20.289823398374565</v>
      </c>
      <c r="Y90" s="306">
        <f>IF('R&amp;C-Painel de Controle'!$D$24="Não",Y94+Y97+Y100+Y103+Y106+Y109+Y112+Y115,Y94+Y97+Y100+Y103+Y106+Y109+Y112+Y115+'R&amp;C-Painel de Controle'!$L$91)</f>
        <v>20.289823398374565</v>
      </c>
      <c r="Z90" s="306">
        <f>IF('R&amp;C-Painel de Controle'!$D$24="Não",Z94+Z97+Z100+Z103+Z106+Z109+Z112+Z115,Z94+Z97+Z100+Z103+Z106+Z109+Z112+Z115+'R&amp;C-Painel de Controle'!$L$91)</f>
        <v>20.289823398374565</v>
      </c>
      <c r="AA90" s="306">
        <f>IF('R&amp;C-Painel de Controle'!$D$24="Não",AA94+AA97+AA100+AA103+AA106+AA109+AA112+AA115,AA94+AA97+AA100+AA103+AA106+AA109+AA112+AA115+'R&amp;C-Painel de Controle'!$L$91)</f>
        <v>20.289823398374565</v>
      </c>
      <c r="AB90" s="306">
        <f>IF('R&amp;C-Painel de Controle'!$D$24="Não",AB94+AB97+AB100+AB103+AB106+AB109+AB112+AB115,AB94+AB97+AB100+AB103+AB106+AB109+AB112+AB115+'R&amp;C-Painel de Controle'!$L$91)</f>
        <v>20.289823398374565</v>
      </c>
      <c r="AC90" s="306">
        <f>IF('R&amp;C-Painel de Controle'!$D$24="Não",AC94+AC97+AC100+AC103+AC106+AC109+AC112+AC115,AC94+AC97+AC100+AC103+AC106+AC109+AC112+AC115+'R&amp;C-Painel de Controle'!$L$91)</f>
        <v>20.289823398374565</v>
      </c>
      <c r="AD90" s="306">
        <f>IF('R&amp;C-Painel de Controle'!$D$24="Não",AD94+AD97+AD100+AD103+AD106+AD109+AD112+AD115,AD94+AD97+AD100+AD103+AD106+AD109+AD112+AD115+'R&amp;C-Painel de Controle'!$L$91)</f>
        <v>20.289823398374565</v>
      </c>
      <c r="AE90" s="306">
        <f>IF('R&amp;C-Painel de Controle'!$D$24="Não",AE94+AE97+AE100+AE103+AE106+AE109+AE112+AE115,AE94+AE97+AE100+AE103+AE106+AE109+AE112+AE115+'R&amp;C-Painel de Controle'!$L$91)</f>
        <v>20.289823398374565</v>
      </c>
      <c r="AF90" s="306">
        <f>IF('R&amp;C-Painel de Controle'!$D$24="Não",AF94+AF97+AF100+AF103+AF106+AF109+AF112+AF115,AF94+AF97+AF100+AF103+AF106+AF109+AF112+AF115+'R&amp;C-Painel de Controle'!$L$91)</f>
        <v>20.289823398374565</v>
      </c>
      <c r="AG90" s="306">
        <f>IF('R&amp;C-Painel de Controle'!$D$24="Não",AG94+AG97+AG100+AG103+AG106+AG109+AG112+AG115,AG94+AG97+AG100+AG103+AG106+AG109+AG112+AG115+'R&amp;C-Painel de Controle'!$L$91)</f>
        <v>20.289823398374565</v>
      </c>
      <c r="AH90" s="306">
        <f>IF('R&amp;C-Painel de Controle'!$D$24="Não",AH94+AH97+AH100+AH103+AH106+AH109+AH112+AH115,AH94+AH97+AH100+AH103+AH106+AH109+AH112+AH115+'R&amp;C-Painel de Controle'!$L$91)</f>
        <v>20.289823398374565</v>
      </c>
      <c r="AI90" s="306">
        <f>IF('R&amp;C-Painel de Controle'!$D$24="Não",AI94+AI97+AI100+AI103+AI106+AI109+AI112+AI115,AI94+AI97+AI100+AI103+AI106+AI109+AI112+AI115+'R&amp;C-Painel de Controle'!$L$91)</f>
        <v>20.289823398374565</v>
      </c>
      <c r="AJ90" s="306">
        <f>IF('R&amp;C-Painel de Controle'!$D$24="Não",AJ94+AJ97+AJ100+AJ103+AJ106+AJ109+AJ112+AJ115,AJ94+AJ97+AJ100+AJ103+AJ106+AJ109+AJ112+AJ115+'R&amp;C-Painel de Controle'!$L$91)</f>
        <v>20.289823398374565</v>
      </c>
      <c r="AK90" s="306">
        <f>IF('R&amp;C-Painel de Controle'!$D$24="Não",AK94+AK97+AK100+AK103+AK106+AK109+AK112+AK115,AK94+AK97+AK100+AK103+AK106+AK109+AK112+AK115+'R&amp;C-Painel de Controle'!$L$91)</f>
        <v>20.289823398374565</v>
      </c>
      <c r="AL90" s="306">
        <f>IF('R&amp;C-Painel de Controle'!$D$24="Não",AL94+AL97+AL100+AL103+AL106+AL109+AL112+AL115,AL94+AL97+AL100+AL103+AL106+AL109+AL112+AL115+'R&amp;C-Painel de Controle'!$L$91)</f>
        <v>20.289823398374565</v>
      </c>
      <c r="AM90" s="306">
        <f>IF('R&amp;C-Painel de Controle'!$D$24="Não",AM94+AM97+AM100+AM103+AM106+AM109+AM112+AM115,AM94+AM97+AM100+AM103+AM106+AM109+AM112+AM115+'R&amp;C-Painel de Controle'!$L$91)</f>
        <v>20.289823398374565</v>
      </c>
      <c r="AN90" s="306">
        <f>IF('R&amp;C-Painel de Controle'!$D$24="Não",AN94+AN97+AN100+AN103+AN106+AN109+AN112+AN115,AN94+AN97+AN100+AN103+AN106+AN109+AN112+AN115+'R&amp;C-Painel de Controle'!$L$91)</f>
        <v>20.289823398374565</v>
      </c>
      <c r="AO90" s="306">
        <f>IF('R&amp;C-Painel de Controle'!$D$24="Não",AO94+AO97+AO100+AO103+AO106+AO109+AO112+AO115,AO94+AO97+AO100+AO103+AO106+AO109+AO112+AO115+'R&amp;C-Painel de Controle'!$L$91)</f>
        <v>20.289823398374565</v>
      </c>
      <c r="AP90" s="306">
        <f>IF('R&amp;C-Painel de Controle'!$D$24="Não",AP94+AP97+AP100+AP103+AP106+AP109+AP112+AP115,AP94+AP97+AP100+AP103+AP106+AP109+AP112+AP115+'R&amp;C-Painel de Controle'!$L$91)</f>
        <v>20.289823398374565</v>
      </c>
      <c r="AQ90" s="306">
        <f>IF('R&amp;C-Painel de Controle'!$D$24="Não",AQ94+AQ97+AQ100+AQ103+AQ106+AQ109+AQ112+AQ115,AQ94+AQ97+AQ100+AQ103+AQ106+AQ109+AQ112+AQ115+'R&amp;C-Painel de Controle'!$L$91)</f>
        <v>20.289823398374565</v>
      </c>
      <c r="AR90" s="306">
        <f>IF('R&amp;C-Painel de Controle'!$D$24="Não",AR94+AR97+AR100+AR103+AR106+AR109+AR112+AR115,AR94+AR97+AR100+AR103+AR106+AR109+AR112+AR115+'R&amp;C-Painel de Controle'!$L$91)</f>
        <v>20.289823398374565</v>
      </c>
      <c r="AS90" s="306">
        <f>IF('R&amp;C-Painel de Controle'!$D$24="Não",AS94+AS97+AS100+AS103+AS106+AS109+AS112+AS115,AS94+AS97+AS100+AS103+AS106+AS109+AS112+AS115+'R&amp;C-Painel de Controle'!$L$91)</f>
        <v>20.289823398374565</v>
      </c>
      <c r="AT90" s="306">
        <f>IF('R&amp;C-Painel de Controle'!$D$24="Não",AT94+AT97+AT100+AT103+AT106+AT109+AT112+AT115,AT94+AT97+AT100+AT103+AT106+AT109+AT112+AT115+'R&amp;C-Painel de Controle'!$L$91)</f>
        <v>20.289823398374565</v>
      </c>
      <c r="AU90" s="306">
        <f>IF('R&amp;C-Painel de Controle'!$D$24="Não",AU94+AU97+AU100+AU103+AU106+AU109+AU112+AU115,AU94+AU97+AU100+AU103+AU106+AU109+AU112+AU115+'R&amp;C-Painel de Controle'!$L$91)</f>
        <v>20.289823398374565</v>
      </c>
      <c r="AV90" s="306">
        <f>IF('R&amp;C-Painel de Controle'!$D$24="Não",AV94+AV97+AV100+AV103+AV106+AV109+AV112+AV115,AV94+AV97+AV100+AV103+AV106+AV109+AV112+AV115+'R&amp;C-Painel de Controle'!$L$91)</f>
        <v>20.289823398374565</v>
      </c>
      <c r="AW90" s="306">
        <f>IF('R&amp;C-Painel de Controle'!$D$24="Não",AW94+AW97+AW100+AW103+AW106+AW109+AW112+AW115,AW94+AW97+AW100+AW103+AW106+AW109+AW112+AW115+'R&amp;C-Painel de Controle'!$L$91)</f>
        <v>20.289823398374565</v>
      </c>
      <c r="AX90" s="306">
        <f>IF('R&amp;C-Painel de Controle'!$D$24="Não",AX94+AX97+AX100+AX103+AX106+AX109+AX112+AX115,AX94+AX97+AX100+AX103+AX106+AX109+AX112+AX115+'R&amp;C-Painel de Controle'!$L$91)</f>
        <v>20.289823398374565</v>
      </c>
      <c r="AY90" s="306">
        <f>IF('R&amp;C-Painel de Controle'!$D$24="Não",AY94+AY97+AY100+AY103+AY106+AY109+AY112+AY115,AY94+AY97+AY100+AY103+AY106+AY109+AY112+AY115+'R&amp;C-Painel de Controle'!$L$91)</f>
        <v>20.289823398374565</v>
      </c>
      <c r="AZ90" s="306">
        <f>IF('R&amp;C-Painel de Controle'!$D$24="Não",AZ94+AZ97+AZ100+AZ103+AZ106+AZ109+AZ112+AZ115,AZ94+AZ97+AZ100+AZ103+AZ106+AZ109+AZ112+AZ115+'R&amp;C-Painel de Controle'!$L$91)</f>
        <v>20.289823398374565</v>
      </c>
      <c r="BA90" s="306">
        <f>IF('R&amp;C-Painel de Controle'!$D$24="Não",BA94+BA97+BA100+BA103+BA106+BA109+BA112+BA115,BA94+BA97+BA100+BA103+BA106+BA109+BA112+BA115+'R&amp;C-Painel de Controle'!$L$91)</f>
        <v>20.289823398374565</v>
      </c>
      <c r="BB90" s="306">
        <f>IF('R&amp;C-Painel de Controle'!$D$24="Não",BB94+BB97+BB100+BB103+BB106+BB109+BB112+BB115,BB94+BB97+BB100+BB103+BB106+BB109+BB112+BB115+'R&amp;C-Painel de Controle'!$L$91)</f>
        <v>20.289823398374565</v>
      </c>
      <c r="BC90" s="306">
        <f>IF('R&amp;C-Painel de Controle'!$D$24="Não",BC94+BC97+BC100+BC103+BC106+BC109+BC112+BC115,BC94+BC97+BC100+BC103+BC106+BC109+BC112+BC115+'R&amp;C-Painel de Controle'!$L$91)</f>
        <v>20.289823398374565</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2887.4249999999993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1.6785171052907575</v>
      </c>
      <c r="G97" s="327">
        <f>IF(G42&gt;0,'R&amp;C-Painel de Controle'!$O57+'R&amp;C-Painel de Controle'!$P57*G42/1000000,0)</f>
        <v>1.6785171052907575</v>
      </c>
      <c r="H97" s="327">
        <f>IF(H42&gt;0,'R&amp;C-Painel de Controle'!$O57+'R&amp;C-Painel de Controle'!$P57*H42/1000000,0)</f>
        <v>1.6785171052907575</v>
      </c>
      <c r="I97" s="327">
        <f>IF(I42&gt;0,'R&amp;C-Painel de Controle'!$O57+'R&amp;C-Painel de Controle'!$P57*I42/1000000,0)</f>
        <v>1.6785171052907575</v>
      </c>
      <c r="J97" s="327">
        <f>IF(J42&gt;0,'R&amp;C-Painel de Controle'!$O57+'R&amp;C-Painel de Controle'!$P57*J42/1000000,0)</f>
        <v>1.6785171052907575</v>
      </c>
      <c r="K97" s="327">
        <f>IF(K42&gt;0,'R&amp;C-Painel de Controle'!$O57+'R&amp;C-Painel de Controle'!$P57*K42/1000000,0)</f>
        <v>1.6785171052907575</v>
      </c>
      <c r="L97" s="327">
        <f>IF(L42&gt;0,'R&amp;C-Painel de Controle'!$O57+'R&amp;C-Painel de Controle'!$P57*L42/1000000,0)</f>
        <v>1.6785171052907575</v>
      </c>
      <c r="M97" s="327">
        <f>IF(M42&gt;0,'R&amp;C-Painel de Controle'!$O57+'R&amp;C-Painel de Controle'!$P57*M42/1000000,0)</f>
        <v>1.6785171052907575</v>
      </c>
      <c r="N97" s="327">
        <f>IF(N42&gt;0,'R&amp;C-Painel de Controle'!$O57+'R&amp;C-Painel de Controle'!$P57*N42/1000000,0)</f>
        <v>1.6785171052907575</v>
      </c>
      <c r="O97" s="327">
        <f>IF(O42&gt;0,'R&amp;C-Painel de Controle'!$O57+'R&amp;C-Painel de Controle'!$P57*O42/1000000,0)</f>
        <v>1.6785171052907575</v>
      </c>
      <c r="P97" s="327">
        <f>IF(P42&gt;0,'R&amp;C-Painel de Controle'!$O57+'R&amp;C-Painel de Controle'!$P57*P42/1000000,0)</f>
        <v>1.6785171052907575</v>
      </c>
      <c r="Q97" s="327">
        <f>IF(Q42&gt;0,'R&amp;C-Painel de Controle'!$O57+'R&amp;C-Painel de Controle'!$P57*Q42/1000000,0)</f>
        <v>1.6785171052907575</v>
      </c>
      <c r="R97" s="305">
        <f t="shared" ref="R97:BC97" si="42">Q97</f>
        <v>1.6785171052907575</v>
      </c>
      <c r="S97" s="305">
        <f t="shared" si="42"/>
        <v>1.6785171052907575</v>
      </c>
      <c r="T97" s="305">
        <f t="shared" si="42"/>
        <v>1.6785171052907575</v>
      </c>
      <c r="U97" s="305">
        <f t="shared" si="42"/>
        <v>1.6785171052907575</v>
      </c>
      <c r="V97" s="305">
        <f t="shared" si="42"/>
        <v>1.6785171052907575</v>
      </c>
      <c r="W97" s="305">
        <f t="shared" si="42"/>
        <v>1.6785171052907575</v>
      </c>
      <c r="X97" s="305">
        <f t="shared" si="42"/>
        <v>1.6785171052907575</v>
      </c>
      <c r="Y97" s="305">
        <f t="shared" si="42"/>
        <v>1.6785171052907575</v>
      </c>
      <c r="Z97" s="305">
        <f t="shared" si="42"/>
        <v>1.6785171052907575</v>
      </c>
      <c r="AA97" s="305">
        <f t="shared" si="42"/>
        <v>1.6785171052907575</v>
      </c>
      <c r="AB97" s="305">
        <f t="shared" si="42"/>
        <v>1.6785171052907575</v>
      </c>
      <c r="AC97" s="305">
        <f t="shared" si="42"/>
        <v>1.6785171052907575</v>
      </c>
      <c r="AD97" s="305">
        <f t="shared" si="42"/>
        <v>1.6785171052907575</v>
      </c>
      <c r="AE97" s="305">
        <f t="shared" si="42"/>
        <v>1.6785171052907575</v>
      </c>
      <c r="AF97" s="305">
        <f t="shared" si="42"/>
        <v>1.6785171052907575</v>
      </c>
      <c r="AG97" s="305">
        <f t="shared" si="42"/>
        <v>1.6785171052907575</v>
      </c>
      <c r="AH97" s="305">
        <f t="shared" si="42"/>
        <v>1.6785171052907575</v>
      </c>
      <c r="AI97" s="305">
        <f t="shared" si="42"/>
        <v>1.6785171052907575</v>
      </c>
      <c r="AJ97" s="305">
        <f t="shared" si="42"/>
        <v>1.6785171052907575</v>
      </c>
      <c r="AK97" s="305">
        <f t="shared" si="42"/>
        <v>1.6785171052907575</v>
      </c>
      <c r="AL97" s="305">
        <f t="shared" si="42"/>
        <v>1.6785171052907575</v>
      </c>
      <c r="AM97" s="305">
        <f t="shared" si="42"/>
        <v>1.6785171052907575</v>
      </c>
      <c r="AN97" s="305">
        <f t="shared" si="42"/>
        <v>1.6785171052907575</v>
      </c>
      <c r="AO97" s="305">
        <f t="shared" si="42"/>
        <v>1.6785171052907575</v>
      </c>
      <c r="AP97" s="305">
        <f t="shared" si="42"/>
        <v>1.6785171052907575</v>
      </c>
      <c r="AQ97" s="305">
        <f t="shared" si="42"/>
        <v>1.6785171052907575</v>
      </c>
      <c r="AR97" s="305">
        <f t="shared" si="42"/>
        <v>1.6785171052907575</v>
      </c>
      <c r="AS97" s="305">
        <f t="shared" si="42"/>
        <v>1.6785171052907575</v>
      </c>
      <c r="AT97" s="305">
        <f t="shared" si="42"/>
        <v>1.6785171052907575</v>
      </c>
      <c r="AU97" s="305">
        <f t="shared" si="42"/>
        <v>1.6785171052907575</v>
      </c>
      <c r="AV97" s="305">
        <f t="shared" si="42"/>
        <v>1.6785171052907575</v>
      </c>
      <c r="AW97" s="305">
        <f t="shared" si="42"/>
        <v>1.6785171052907575</v>
      </c>
      <c r="AX97" s="305">
        <f t="shared" si="42"/>
        <v>1.6785171052907575</v>
      </c>
      <c r="AY97" s="305">
        <f t="shared" si="42"/>
        <v>1.6785171052907575</v>
      </c>
      <c r="AZ97" s="305">
        <f t="shared" si="42"/>
        <v>1.6785171052907575</v>
      </c>
      <c r="BA97" s="305">
        <f t="shared" si="42"/>
        <v>1.6785171052907575</v>
      </c>
      <c r="BB97" s="305">
        <f t="shared" si="42"/>
        <v>1.6785171052907575</v>
      </c>
      <c r="BC97" s="305">
        <f t="shared" si="42"/>
        <v>1.6785171052907575</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22869.127856249997</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14.723795691498673</v>
      </c>
      <c r="G112" s="327">
        <f>IF(G57&gt;0,'R&amp;C-Painel de Controle'!$O72+'R&amp;C-Painel de Controle'!$P72*G57/1000000,0)</f>
        <v>14.723795691498673</v>
      </c>
      <c r="H112" s="327">
        <f>IF(H57&gt;0,'R&amp;C-Painel de Controle'!$O72+'R&amp;C-Painel de Controle'!$P72*H57/1000000,0)</f>
        <v>14.723795691498673</v>
      </c>
      <c r="I112" s="327">
        <f>IF(I57&gt;0,'R&amp;C-Painel de Controle'!$O72+'R&amp;C-Painel de Controle'!$P72*I57/1000000,0)</f>
        <v>14.723795691498673</v>
      </c>
      <c r="J112" s="327">
        <f>IF(J57&gt;0,'R&amp;C-Painel de Controle'!$O72+'R&amp;C-Painel de Controle'!$P72*J57/1000000,0)</f>
        <v>14.723795691498673</v>
      </c>
      <c r="K112" s="327">
        <f>IF(K57&gt;0,'R&amp;C-Painel de Controle'!$O72+'R&amp;C-Painel de Controle'!$P72*K57/1000000,0)</f>
        <v>14.723795691498673</v>
      </c>
      <c r="L112" s="327">
        <f>IF(L57&gt;0,'R&amp;C-Painel de Controle'!$O72+'R&amp;C-Painel de Controle'!$P72*L57/1000000,0)</f>
        <v>14.723795691498673</v>
      </c>
      <c r="M112" s="327">
        <f>IF(M57&gt;0,'R&amp;C-Painel de Controle'!$O72+'R&amp;C-Painel de Controle'!$P72*M57/1000000,0)</f>
        <v>14.723795691498673</v>
      </c>
      <c r="N112" s="327">
        <f>IF(N57&gt;0,'R&amp;C-Painel de Controle'!$O72+'R&amp;C-Painel de Controle'!$P72*N57/1000000,0)</f>
        <v>14.723795691498673</v>
      </c>
      <c r="O112" s="327">
        <f>IF(O57&gt;0,'R&amp;C-Painel de Controle'!$O72+'R&amp;C-Painel de Controle'!$P72*O57/1000000,0)</f>
        <v>14.723795691498673</v>
      </c>
      <c r="P112" s="327">
        <f>IF(P57&gt;0,'R&amp;C-Painel de Controle'!$O72+'R&amp;C-Painel de Controle'!$P72*P57/1000000,0)</f>
        <v>14.723795691498673</v>
      </c>
      <c r="Q112" s="327">
        <f>IF(Q57&gt;0,'R&amp;C-Painel de Controle'!$O72+'R&amp;C-Painel de Controle'!$P72*Q57/1000000,0)</f>
        <v>14.723795691498673</v>
      </c>
      <c r="R112" s="305">
        <f t="shared" ref="R112:BC112" si="47">Q112</f>
        <v>14.723795691498673</v>
      </c>
      <c r="S112" s="305">
        <f t="shared" si="47"/>
        <v>14.723795691498673</v>
      </c>
      <c r="T112" s="305">
        <f t="shared" si="47"/>
        <v>14.723795691498673</v>
      </c>
      <c r="U112" s="305">
        <f t="shared" si="47"/>
        <v>14.723795691498673</v>
      </c>
      <c r="V112" s="305">
        <f t="shared" si="47"/>
        <v>14.723795691498673</v>
      </c>
      <c r="W112" s="305">
        <f t="shared" si="47"/>
        <v>14.723795691498673</v>
      </c>
      <c r="X112" s="305">
        <f t="shared" si="47"/>
        <v>14.723795691498673</v>
      </c>
      <c r="Y112" s="305">
        <f t="shared" si="47"/>
        <v>14.723795691498673</v>
      </c>
      <c r="Z112" s="305">
        <f t="shared" si="47"/>
        <v>14.723795691498673</v>
      </c>
      <c r="AA112" s="305">
        <f t="shared" si="47"/>
        <v>14.723795691498673</v>
      </c>
      <c r="AB112" s="305">
        <f t="shared" si="47"/>
        <v>14.723795691498673</v>
      </c>
      <c r="AC112" s="305">
        <f t="shared" si="47"/>
        <v>14.723795691498673</v>
      </c>
      <c r="AD112" s="305">
        <f t="shared" si="47"/>
        <v>14.723795691498673</v>
      </c>
      <c r="AE112" s="305">
        <f t="shared" si="47"/>
        <v>14.723795691498673</v>
      </c>
      <c r="AF112" s="305">
        <f t="shared" si="47"/>
        <v>14.723795691498673</v>
      </c>
      <c r="AG112" s="305">
        <f t="shared" si="47"/>
        <v>14.723795691498673</v>
      </c>
      <c r="AH112" s="305">
        <f t="shared" si="47"/>
        <v>14.723795691498673</v>
      </c>
      <c r="AI112" s="305">
        <f t="shared" si="47"/>
        <v>14.723795691498673</v>
      </c>
      <c r="AJ112" s="305">
        <f t="shared" si="47"/>
        <v>14.723795691498673</v>
      </c>
      <c r="AK112" s="305">
        <f t="shared" si="47"/>
        <v>14.723795691498673</v>
      </c>
      <c r="AL112" s="305">
        <f t="shared" si="47"/>
        <v>14.723795691498673</v>
      </c>
      <c r="AM112" s="305">
        <f t="shared" si="47"/>
        <v>14.723795691498673</v>
      </c>
      <c r="AN112" s="305">
        <f t="shared" si="47"/>
        <v>14.723795691498673</v>
      </c>
      <c r="AO112" s="305">
        <f t="shared" si="47"/>
        <v>14.723795691498673</v>
      </c>
      <c r="AP112" s="305">
        <f t="shared" si="47"/>
        <v>14.723795691498673</v>
      </c>
      <c r="AQ112" s="305">
        <f t="shared" si="47"/>
        <v>14.723795691498673</v>
      </c>
      <c r="AR112" s="305">
        <f t="shared" si="47"/>
        <v>14.723795691498673</v>
      </c>
      <c r="AS112" s="305">
        <f t="shared" si="47"/>
        <v>14.723795691498673</v>
      </c>
      <c r="AT112" s="305">
        <f t="shared" si="47"/>
        <v>14.723795691498673</v>
      </c>
      <c r="AU112" s="305">
        <f t="shared" si="47"/>
        <v>14.723795691498673</v>
      </c>
      <c r="AV112" s="305">
        <f t="shared" si="47"/>
        <v>14.723795691498673</v>
      </c>
      <c r="AW112" s="305">
        <f t="shared" si="47"/>
        <v>14.723795691498673</v>
      </c>
      <c r="AX112" s="305">
        <f t="shared" si="47"/>
        <v>14.723795691498673</v>
      </c>
      <c r="AY112" s="305">
        <f t="shared" si="47"/>
        <v>14.723795691498673</v>
      </c>
      <c r="AZ112" s="305">
        <f t="shared" si="47"/>
        <v>14.723795691498673</v>
      </c>
      <c r="BA112" s="305">
        <f t="shared" si="47"/>
        <v>14.723795691498673</v>
      </c>
      <c r="BB112" s="305">
        <f t="shared" si="47"/>
        <v>14.723795691498673</v>
      </c>
      <c r="BC112" s="305">
        <f t="shared" si="47"/>
        <v>14.723795691498673</v>
      </c>
      <c r="BD112" s="305"/>
      <c r="BE112" s="305"/>
      <c r="BF112" s="305"/>
    </row>
    <row r="113" spans="1:58" s="206" customFormat="1" ht="18" hidden="1" customHeight="1" outlineLevel="1" x14ac:dyDescent="0.3">
      <c r="B113" s="906" t="str">
        <f>B86</f>
        <v>Aterro Sanitário</v>
      </c>
      <c r="C113" s="325" t="str">
        <f>C58</f>
        <v>Sim</v>
      </c>
      <c r="D113" s="325">
        <f>D58</f>
        <v>23353.825571249999</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3.8875106015851362</v>
      </c>
      <c r="G115" s="327">
        <f>IF(G60&gt;0,'R&amp;C-Painel de Controle'!$O75+'R&amp;C-Painel de Controle'!$P75*G60/1000000,0)</f>
        <v>3.8875106015851362</v>
      </c>
      <c r="H115" s="327">
        <f>IF(H60&gt;0,'R&amp;C-Painel de Controle'!$O75+'R&amp;C-Painel de Controle'!$P75*H60/1000000,0)</f>
        <v>3.8875106015851362</v>
      </c>
      <c r="I115" s="327">
        <f>IF(I60&gt;0,'R&amp;C-Painel de Controle'!$O75+'R&amp;C-Painel de Controle'!$P75*I60/1000000,0)</f>
        <v>3.8875106015851362</v>
      </c>
      <c r="J115" s="327">
        <f>IF(J60&gt;0,'R&amp;C-Painel de Controle'!$O75+'R&amp;C-Painel de Controle'!$P75*J60/1000000,0)</f>
        <v>3.8875106015851362</v>
      </c>
      <c r="K115" s="327">
        <f>IF(K60&gt;0,'R&amp;C-Painel de Controle'!$O75+'R&amp;C-Painel de Controle'!$P75*K60/1000000,0)</f>
        <v>3.8875106015851362</v>
      </c>
      <c r="L115" s="327">
        <f>IF(L60&gt;0,'R&amp;C-Painel de Controle'!$O75+'R&amp;C-Painel de Controle'!$P75*L60/1000000,0)</f>
        <v>3.8875106015851362</v>
      </c>
      <c r="M115" s="327">
        <f>IF(M60&gt;0,'R&amp;C-Painel de Controle'!$O75+'R&amp;C-Painel de Controle'!$P75*M60/1000000,0)</f>
        <v>3.8875106015851362</v>
      </c>
      <c r="N115" s="327">
        <f>IF(N60&gt;0,'R&amp;C-Painel de Controle'!$O75+'R&amp;C-Painel de Controle'!$P75*N60/1000000,0)</f>
        <v>3.8875106015851362</v>
      </c>
      <c r="O115" s="327">
        <f>IF(O60&gt;0,'R&amp;C-Painel de Controle'!$O75+'R&amp;C-Painel de Controle'!$P75*O60/1000000,0)</f>
        <v>3.8875106015851362</v>
      </c>
      <c r="P115" s="327">
        <f>IF(P60&gt;0,'R&amp;C-Painel de Controle'!$O75+'R&amp;C-Painel de Controle'!$P75*P60/1000000,0)</f>
        <v>3.8875106015851362</v>
      </c>
      <c r="Q115" s="327">
        <f>IF(Q60&gt;0,'R&amp;C-Painel de Controle'!$O75+'R&amp;C-Painel de Controle'!$P75*Q60/1000000,0)</f>
        <v>3.8875106015851362</v>
      </c>
      <c r="R115" s="305">
        <f t="shared" ref="R115:BC115" si="48">Q115</f>
        <v>3.8875106015851362</v>
      </c>
      <c r="S115" s="305">
        <f t="shared" si="48"/>
        <v>3.8875106015851362</v>
      </c>
      <c r="T115" s="305">
        <f t="shared" si="48"/>
        <v>3.8875106015851362</v>
      </c>
      <c r="U115" s="305">
        <f t="shared" si="48"/>
        <v>3.8875106015851362</v>
      </c>
      <c r="V115" s="305">
        <f t="shared" si="48"/>
        <v>3.8875106015851362</v>
      </c>
      <c r="W115" s="305">
        <f t="shared" si="48"/>
        <v>3.8875106015851362</v>
      </c>
      <c r="X115" s="305">
        <f t="shared" si="48"/>
        <v>3.8875106015851362</v>
      </c>
      <c r="Y115" s="305">
        <f t="shared" si="48"/>
        <v>3.8875106015851362</v>
      </c>
      <c r="Z115" s="305">
        <f t="shared" si="48"/>
        <v>3.8875106015851362</v>
      </c>
      <c r="AA115" s="305">
        <f t="shared" si="48"/>
        <v>3.8875106015851362</v>
      </c>
      <c r="AB115" s="305">
        <f t="shared" si="48"/>
        <v>3.8875106015851362</v>
      </c>
      <c r="AC115" s="305">
        <f t="shared" si="48"/>
        <v>3.8875106015851362</v>
      </c>
      <c r="AD115" s="305">
        <f t="shared" si="48"/>
        <v>3.8875106015851362</v>
      </c>
      <c r="AE115" s="305">
        <f t="shared" si="48"/>
        <v>3.8875106015851362</v>
      </c>
      <c r="AF115" s="305">
        <f t="shared" si="48"/>
        <v>3.8875106015851362</v>
      </c>
      <c r="AG115" s="305">
        <f t="shared" si="48"/>
        <v>3.8875106015851362</v>
      </c>
      <c r="AH115" s="305">
        <f t="shared" si="48"/>
        <v>3.8875106015851362</v>
      </c>
      <c r="AI115" s="305">
        <f t="shared" si="48"/>
        <v>3.8875106015851362</v>
      </c>
      <c r="AJ115" s="305">
        <f t="shared" si="48"/>
        <v>3.8875106015851362</v>
      </c>
      <c r="AK115" s="305">
        <f t="shared" si="48"/>
        <v>3.8875106015851362</v>
      </c>
      <c r="AL115" s="305">
        <f t="shared" si="48"/>
        <v>3.8875106015851362</v>
      </c>
      <c r="AM115" s="305">
        <f t="shared" si="48"/>
        <v>3.8875106015851362</v>
      </c>
      <c r="AN115" s="305">
        <f t="shared" si="48"/>
        <v>3.8875106015851362</v>
      </c>
      <c r="AO115" s="305">
        <f t="shared" si="48"/>
        <v>3.8875106015851362</v>
      </c>
      <c r="AP115" s="305">
        <f t="shared" si="48"/>
        <v>3.8875106015851362</v>
      </c>
      <c r="AQ115" s="305">
        <f t="shared" si="48"/>
        <v>3.8875106015851362</v>
      </c>
      <c r="AR115" s="305">
        <f t="shared" si="48"/>
        <v>3.8875106015851362</v>
      </c>
      <c r="AS115" s="305">
        <f t="shared" si="48"/>
        <v>3.8875106015851362</v>
      </c>
      <c r="AT115" s="305">
        <f t="shared" si="48"/>
        <v>3.8875106015851362</v>
      </c>
      <c r="AU115" s="305">
        <f t="shared" si="48"/>
        <v>3.8875106015851362</v>
      </c>
      <c r="AV115" s="305">
        <f t="shared" si="48"/>
        <v>3.8875106015851362</v>
      </c>
      <c r="AW115" s="305">
        <f t="shared" si="48"/>
        <v>3.8875106015851362</v>
      </c>
      <c r="AX115" s="305">
        <f t="shared" si="48"/>
        <v>3.8875106015851362</v>
      </c>
      <c r="AY115" s="305">
        <f t="shared" si="48"/>
        <v>3.8875106015851362</v>
      </c>
      <c r="AZ115" s="305">
        <f t="shared" si="48"/>
        <v>3.8875106015851362</v>
      </c>
      <c r="BA115" s="305">
        <f t="shared" si="48"/>
        <v>3.8875106015851362</v>
      </c>
      <c r="BB115" s="305">
        <f t="shared" si="48"/>
        <v>3.8875106015851362</v>
      </c>
      <c r="BC115" s="305">
        <f t="shared" si="48"/>
        <v>3.8875106015851362</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0.16914679154099951</v>
      </c>
      <c r="D117" s="306">
        <f>IF('R-Definição'!$E$121="Existente",D90+((('R&amp;C-Painel de Controle'!$D$88+'R&amp;C-Painel de Controle'!$D$89)*('R&amp;C-Painel de Controle'!$D$44+'R&amp;C-Painel de Controle'!$D$46))/1000000),D90+((('R&amp;C-Painel de Controle'!$D$88)*('R&amp;C-Painel de Controle'!$D$44+'R&amp;C-Painel de Controle'!$D$46))/1000000))</f>
        <v>0.16914679154099951</v>
      </c>
      <c r="E117" s="306">
        <f>IF('R-Definição'!$E$121="Existente",E90+((('R&amp;C-Painel de Controle'!$D$88+'R&amp;C-Painel de Controle'!$D$89)*('R&amp;C-Painel de Controle'!$D$44+'R&amp;C-Painel de Controle'!$D$46))/1000000),E90+((('R&amp;C-Painel de Controle'!$D$88)*('R&amp;C-Painel de Controle'!$D$44+'R&amp;C-Painel de Controle'!$D$46))/1000000))</f>
        <v>0.16914679154099951</v>
      </c>
      <c r="F117" s="306">
        <f>IF('R-Definição'!$E$121="Existente",F90+((('R&amp;C-Painel de Controle'!$D$88+'R&amp;C-Painel de Controle'!$D$89)*('R&amp;C-Painel de Controle'!$D$44+'R&amp;C-Painel de Controle'!$D$46))/1000000),F90+((('R&amp;C-Painel de Controle'!$D$88)*('R&amp;C-Painel de Controle'!$D$44+'R&amp;C-Painel de Controle'!$D$46))/1000000))</f>
        <v>20.458970189915565</v>
      </c>
      <c r="G117" s="306">
        <f>IF('R-Definição'!$E$121="Existente",G90+((('R&amp;C-Painel de Controle'!$D$88+'R&amp;C-Painel de Controle'!$D$89)*('R&amp;C-Painel de Controle'!$D$44+'R&amp;C-Painel de Controle'!$D$46))/1000000),G90+((('R&amp;C-Painel de Controle'!$D$88)*('R&amp;C-Painel de Controle'!$D$44+'R&amp;C-Painel de Controle'!$D$46))/1000000))</f>
        <v>20.458970189915565</v>
      </c>
      <c r="H117" s="306">
        <f>IF('R-Definição'!$E$121="Existente",H90+((('R&amp;C-Painel de Controle'!$D$88+'R&amp;C-Painel de Controle'!$D$89)*('R&amp;C-Painel de Controle'!$D$44+'R&amp;C-Painel de Controle'!$D$46))/1000000),H90+((('R&amp;C-Painel de Controle'!$D$88)*('R&amp;C-Painel de Controle'!$D$44+'R&amp;C-Painel de Controle'!$D$46))/1000000))</f>
        <v>20.458970189915565</v>
      </c>
      <c r="I117" s="306">
        <f>IF('R-Definição'!$E$121="Existente",I90+((('R&amp;C-Painel de Controle'!$D$88+'R&amp;C-Painel de Controle'!$D$89)*('R&amp;C-Painel de Controle'!$D$44+'R&amp;C-Painel de Controle'!$D$46))/1000000),I90+((('R&amp;C-Painel de Controle'!$D$88)*('R&amp;C-Painel de Controle'!$D$44+'R&amp;C-Painel de Controle'!$D$46))/1000000))</f>
        <v>20.458970189915565</v>
      </c>
      <c r="J117" s="306">
        <f>IF('R-Definição'!$E$121="Existente",J90+((('R&amp;C-Painel de Controle'!$D$88+'R&amp;C-Painel de Controle'!$D$89)*('R&amp;C-Painel de Controle'!$D$44+'R&amp;C-Painel de Controle'!$D$46))/1000000),J90+((('R&amp;C-Painel de Controle'!$D$88)*('R&amp;C-Painel de Controle'!$D$44+'R&amp;C-Painel de Controle'!$D$46))/1000000))</f>
        <v>20.458970189915565</v>
      </c>
      <c r="K117" s="306">
        <f>IF('R-Definição'!$E$121="Existente",K90+((('R&amp;C-Painel de Controle'!$D$88+'R&amp;C-Painel de Controle'!$D$89)*('R&amp;C-Painel de Controle'!$D$44+'R&amp;C-Painel de Controle'!$D$46))/1000000),K90+((('R&amp;C-Painel de Controle'!$D$88)*('R&amp;C-Painel de Controle'!$D$44+'R&amp;C-Painel de Controle'!$D$46))/1000000))</f>
        <v>20.458970189915565</v>
      </c>
      <c r="L117" s="306">
        <f>IF('R-Definição'!$E$121="Existente",L90+((('R&amp;C-Painel de Controle'!$D$88+'R&amp;C-Painel de Controle'!$D$89)*('R&amp;C-Painel de Controle'!$D$44+'R&amp;C-Painel de Controle'!$D$46))/1000000),L90+((('R&amp;C-Painel de Controle'!$D$88)*('R&amp;C-Painel de Controle'!$D$44+'R&amp;C-Painel de Controle'!$D$46))/1000000))</f>
        <v>20.458970189915565</v>
      </c>
      <c r="M117" s="306">
        <f>IF('R-Definição'!$E$121="Existente",M90+((('R&amp;C-Painel de Controle'!$D$88+'R&amp;C-Painel de Controle'!$D$89)*('R&amp;C-Painel de Controle'!$D$44+'R&amp;C-Painel de Controle'!$D$46))/1000000),M90+((('R&amp;C-Painel de Controle'!$D$88)*('R&amp;C-Painel de Controle'!$D$44+'R&amp;C-Painel de Controle'!$D$46))/1000000))</f>
        <v>20.458970189915565</v>
      </c>
      <c r="N117" s="306">
        <f>IF('R-Definição'!$E$121="Existente",N90+((('R&amp;C-Painel de Controle'!$D$88+'R&amp;C-Painel de Controle'!$D$89)*('R&amp;C-Painel de Controle'!$D$44+'R&amp;C-Painel de Controle'!$D$46))/1000000),N90+((('R&amp;C-Painel de Controle'!$D$88)*('R&amp;C-Painel de Controle'!$D$44+'R&amp;C-Painel de Controle'!$D$46))/1000000))</f>
        <v>20.458970189915565</v>
      </c>
      <c r="O117" s="306">
        <f>IF('R-Definição'!$E$121="Existente",O90+((('R&amp;C-Painel de Controle'!$D$88+'R&amp;C-Painel de Controle'!$D$89)*('R&amp;C-Painel de Controle'!$D$44+'R&amp;C-Painel de Controle'!$D$46))/1000000),O90+((('R&amp;C-Painel de Controle'!$D$88)*('R&amp;C-Painel de Controle'!$D$44+'R&amp;C-Painel de Controle'!$D$46))/1000000))</f>
        <v>20.458970189915565</v>
      </c>
      <c r="P117" s="306">
        <f>IF('R-Definição'!$E$121="Existente",P90+((('R&amp;C-Painel de Controle'!$D$88+'R&amp;C-Painel de Controle'!$D$89)*('R&amp;C-Painel de Controle'!$D$44+'R&amp;C-Painel de Controle'!$D$46))/1000000),P90+((('R&amp;C-Painel de Controle'!$D$88)*('R&amp;C-Painel de Controle'!$D$44+'R&amp;C-Painel de Controle'!$D$46))/1000000))</f>
        <v>20.458970189915565</v>
      </c>
      <c r="Q117" s="306">
        <f>IF('R-Definição'!$E$121="Existente",Q90+((('R&amp;C-Painel de Controle'!$D$88+'R&amp;C-Painel de Controle'!$D$89)*('R&amp;C-Painel de Controle'!$D$44+'R&amp;C-Painel de Controle'!$D$46))/1000000),Q90+((('R&amp;C-Painel de Controle'!$D$88)*('R&amp;C-Painel de Controle'!$D$44+'R&amp;C-Painel de Controle'!$D$46))/1000000))</f>
        <v>20.458970189915565</v>
      </c>
      <c r="R117" s="306">
        <f>IF('R-Definição'!$E$121="Existente",R90+((('R&amp;C-Painel de Controle'!$D$88+'R&amp;C-Painel de Controle'!$D$89)*('R&amp;C-Painel de Controle'!$D$44+'R&amp;C-Painel de Controle'!$D$46))/1000000),R90+((('R&amp;C-Painel de Controle'!$D$88)*('R&amp;C-Painel de Controle'!$D$44+'R&amp;C-Painel de Controle'!$D$46))/1000000))</f>
        <v>20.458970189915565</v>
      </c>
      <c r="S117" s="306">
        <f>IF('R-Definição'!$E$121="Existente",S90+((('R&amp;C-Painel de Controle'!$D$88+'R&amp;C-Painel de Controle'!$D$89)*('R&amp;C-Painel de Controle'!$D$44+'R&amp;C-Painel de Controle'!$D$46))/1000000),S90+((('R&amp;C-Painel de Controle'!$D$88)*('R&amp;C-Painel de Controle'!$D$44+'R&amp;C-Painel de Controle'!$D$46))/1000000))</f>
        <v>20.458970189915565</v>
      </c>
      <c r="T117" s="306">
        <f>IF('R-Definição'!$E$121="Existente",T90+((('R&amp;C-Painel de Controle'!$D$88+'R&amp;C-Painel de Controle'!$D$89)*('R&amp;C-Painel de Controle'!$D$44+'R&amp;C-Painel de Controle'!$D$46))/1000000),T90+((('R&amp;C-Painel de Controle'!$D$88)*('R&amp;C-Painel de Controle'!$D$44+'R&amp;C-Painel de Controle'!$D$46))/1000000))</f>
        <v>20.458970189915565</v>
      </c>
      <c r="U117" s="306">
        <f>IF('R-Definição'!$E$121="Existente",U90+((('R&amp;C-Painel de Controle'!$D$88+'R&amp;C-Painel de Controle'!$D$89)*('R&amp;C-Painel de Controle'!$D$44+'R&amp;C-Painel de Controle'!$D$46))/1000000),U90+((('R&amp;C-Painel de Controle'!$D$88)*('R&amp;C-Painel de Controle'!$D$44+'R&amp;C-Painel de Controle'!$D$46))/1000000))</f>
        <v>20.458970189915565</v>
      </c>
      <c r="V117" s="306">
        <f>IF('R-Definição'!$E$121="Existente",V90+((('R&amp;C-Painel de Controle'!$D$88+'R&amp;C-Painel de Controle'!$D$89)*('R&amp;C-Painel de Controle'!$D$44+'R&amp;C-Painel de Controle'!$D$46))/1000000),V90+((('R&amp;C-Painel de Controle'!$D$88)*('R&amp;C-Painel de Controle'!$D$44+'R&amp;C-Painel de Controle'!$D$46))/1000000))</f>
        <v>20.458970189915565</v>
      </c>
      <c r="W117" s="306">
        <f>IF('R-Definição'!$E$121="Existente",W90+((('R&amp;C-Painel de Controle'!$D$88+'R&amp;C-Painel de Controle'!$D$89)*('R&amp;C-Painel de Controle'!$D$44+'R&amp;C-Painel de Controle'!$D$46))/1000000),W90+((('R&amp;C-Painel de Controle'!$D$88)*('R&amp;C-Painel de Controle'!$D$44+'R&amp;C-Painel de Controle'!$D$46))/1000000))</f>
        <v>20.458970189915565</v>
      </c>
      <c r="X117" s="306">
        <f>IF('R-Definição'!$E$121="Existente",X90+((('R&amp;C-Painel de Controle'!$D$88+'R&amp;C-Painel de Controle'!$D$89)*('R&amp;C-Painel de Controle'!$D$44+'R&amp;C-Painel de Controle'!$D$46))/1000000),X90+((('R&amp;C-Painel de Controle'!$D$88)*('R&amp;C-Painel de Controle'!$D$44+'R&amp;C-Painel de Controle'!$D$46))/1000000))</f>
        <v>20.458970189915565</v>
      </c>
      <c r="Y117" s="306">
        <f>IF('R-Definição'!$E$121="Existente",Y90+((('R&amp;C-Painel de Controle'!$D$88+'R&amp;C-Painel de Controle'!$D$89)*('R&amp;C-Painel de Controle'!$D$44+'R&amp;C-Painel de Controle'!$D$46))/1000000),Y90+((('R&amp;C-Painel de Controle'!$D$88)*('R&amp;C-Painel de Controle'!$D$44+'R&amp;C-Painel de Controle'!$D$46))/1000000))</f>
        <v>20.458970189915565</v>
      </c>
      <c r="Z117" s="306">
        <f>IF('R-Definição'!$E$121="Existente",Z90+((('R&amp;C-Painel de Controle'!$D$88+'R&amp;C-Painel de Controle'!$D$89)*('R&amp;C-Painel de Controle'!$D$44+'R&amp;C-Painel de Controle'!$D$46))/1000000),Z90+((('R&amp;C-Painel de Controle'!$D$88)*('R&amp;C-Painel de Controle'!$D$44+'R&amp;C-Painel de Controle'!$D$46))/1000000))</f>
        <v>20.458970189915565</v>
      </c>
      <c r="AA117" s="306">
        <f>IF('R-Definição'!$E$121="Existente",AA90+((('R&amp;C-Painel de Controle'!$D$88+'R&amp;C-Painel de Controle'!$D$89)*('R&amp;C-Painel de Controle'!$D$44+'R&amp;C-Painel de Controle'!$D$46))/1000000),AA90+((('R&amp;C-Painel de Controle'!$D$88)*('R&amp;C-Painel de Controle'!$D$44+'R&amp;C-Painel de Controle'!$D$46))/1000000))</f>
        <v>20.458970189915565</v>
      </c>
      <c r="AB117" s="306">
        <f>IF('R-Definição'!$E$121="Existente",AB90+((('R&amp;C-Painel de Controle'!$D$88+'R&amp;C-Painel de Controle'!$D$89)*('R&amp;C-Painel de Controle'!$D$44+'R&amp;C-Painel de Controle'!$D$46))/1000000),AB90+((('R&amp;C-Painel de Controle'!$D$88)*('R&amp;C-Painel de Controle'!$D$44+'R&amp;C-Painel de Controle'!$D$46))/1000000))</f>
        <v>20.458970189915565</v>
      </c>
      <c r="AC117" s="306">
        <f>IF('R-Definição'!$E$121="Existente",AC90+((('R&amp;C-Painel de Controle'!$D$88+'R&amp;C-Painel de Controle'!$D$89)*('R&amp;C-Painel de Controle'!$D$44+'R&amp;C-Painel de Controle'!$D$46))/1000000),AC90+((('R&amp;C-Painel de Controle'!$D$88)*('R&amp;C-Painel de Controle'!$D$44+'R&amp;C-Painel de Controle'!$D$46))/1000000))</f>
        <v>20.458970189915565</v>
      </c>
      <c r="AD117" s="306">
        <f>IF('R-Definição'!$E$121="Existente",AD90+((('R&amp;C-Painel de Controle'!$D$88+'R&amp;C-Painel de Controle'!$D$89)*('R&amp;C-Painel de Controle'!$D$44+'R&amp;C-Painel de Controle'!$D$46))/1000000),AD90+((('R&amp;C-Painel de Controle'!$D$88)*('R&amp;C-Painel de Controle'!$D$44+'R&amp;C-Painel de Controle'!$D$46))/1000000))</f>
        <v>20.458970189915565</v>
      </c>
      <c r="AE117" s="306">
        <f>IF('R-Definição'!$E$121="Existente",AE90+((('R&amp;C-Painel de Controle'!$D$88+'R&amp;C-Painel de Controle'!$D$89)*('R&amp;C-Painel de Controle'!$D$44+'R&amp;C-Painel de Controle'!$D$46))/1000000),AE90+((('R&amp;C-Painel de Controle'!$D$88)*('R&amp;C-Painel de Controle'!$D$44+'R&amp;C-Painel de Controle'!$D$46))/1000000))</f>
        <v>20.458970189915565</v>
      </c>
      <c r="AF117" s="306">
        <f>IF('R-Definição'!$E$121="Existente",AF90+((('R&amp;C-Painel de Controle'!$D$88+'R&amp;C-Painel de Controle'!$D$89)*('R&amp;C-Painel de Controle'!$D$44+'R&amp;C-Painel de Controle'!$D$46))/1000000),AF90+((('R&amp;C-Painel de Controle'!$D$88)*('R&amp;C-Painel de Controle'!$D$44+'R&amp;C-Painel de Controle'!$D$46))/1000000))</f>
        <v>20.458970189915565</v>
      </c>
      <c r="AG117" s="306">
        <f>IF('R-Definição'!$E$121="Existente",AG90+((('R&amp;C-Painel de Controle'!$D$88+'R&amp;C-Painel de Controle'!$D$89)*('R&amp;C-Painel de Controle'!$D$44+'R&amp;C-Painel de Controle'!$D$46))/1000000),AG90+((('R&amp;C-Painel de Controle'!$D$88)*('R&amp;C-Painel de Controle'!$D$44+'R&amp;C-Painel de Controle'!$D$46))/1000000))</f>
        <v>20.458970189915565</v>
      </c>
      <c r="AH117" s="306">
        <f>IF('R-Definição'!$E$121="Existente",AH90+((('R&amp;C-Painel de Controle'!$D$88+'R&amp;C-Painel de Controle'!$D$89)*('R&amp;C-Painel de Controle'!$D$44+'R&amp;C-Painel de Controle'!$D$46))/1000000),AH90+((('R&amp;C-Painel de Controle'!$D$88)*('R&amp;C-Painel de Controle'!$D$44+'R&amp;C-Painel de Controle'!$D$46))/1000000))</f>
        <v>20.458970189915565</v>
      </c>
      <c r="AI117" s="306">
        <f>IF('R-Definição'!$E$121="Existente",AI90+((('R&amp;C-Painel de Controle'!$D$88+'R&amp;C-Painel de Controle'!$D$89)*('R&amp;C-Painel de Controle'!$D$44+'R&amp;C-Painel de Controle'!$D$46))/1000000),AI90+((('R&amp;C-Painel de Controle'!$D$88)*('R&amp;C-Painel de Controle'!$D$44+'R&amp;C-Painel de Controle'!$D$46))/1000000))</f>
        <v>20.458970189915565</v>
      </c>
      <c r="AJ117" s="306">
        <f>IF('R-Definição'!$E$121="Existente",AJ90+((('R&amp;C-Painel de Controle'!$D$88+'R&amp;C-Painel de Controle'!$D$89)*('R&amp;C-Painel de Controle'!$D$44+'R&amp;C-Painel de Controle'!$D$46))/1000000),AJ90+((('R&amp;C-Painel de Controle'!$D$88)*('R&amp;C-Painel de Controle'!$D$44+'R&amp;C-Painel de Controle'!$D$46))/1000000))</f>
        <v>20.458970189915565</v>
      </c>
      <c r="AK117" s="306">
        <f>IF('R-Definição'!$E$121="Existente",AK90+((('R&amp;C-Painel de Controle'!$D$88+'R&amp;C-Painel de Controle'!$D$89)*('R&amp;C-Painel de Controle'!$D$44+'R&amp;C-Painel de Controle'!$D$46))/1000000),AK90+((('R&amp;C-Painel de Controle'!$D$88)*('R&amp;C-Painel de Controle'!$D$44+'R&amp;C-Painel de Controle'!$D$46))/1000000))</f>
        <v>20.458970189915565</v>
      </c>
      <c r="AL117" s="306">
        <f>IF('R-Definição'!$E$121="Existente",AL90+((('R&amp;C-Painel de Controle'!$D$88+'R&amp;C-Painel de Controle'!$D$89)*('R&amp;C-Painel de Controle'!$D$44+'R&amp;C-Painel de Controle'!$D$46))/1000000),AL90+((('R&amp;C-Painel de Controle'!$D$88)*('R&amp;C-Painel de Controle'!$D$44+'R&amp;C-Painel de Controle'!$D$46))/1000000))</f>
        <v>20.458970189915565</v>
      </c>
      <c r="AM117" s="306">
        <f>IF('R-Definição'!$E$121="Existente",AM90+((('R&amp;C-Painel de Controle'!$D$88+'R&amp;C-Painel de Controle'!$D$89)*('R&amp;C-Painel de Controle'!$D$44+'R&amp;C-Painel de Controle'!$D$46))/1000000),AM90+((('R&amp;C-Painel de Controle'!$D$88)*('R&amp;C-Painel de Controle'!$D$44+'R&amp;C-Painel de Controle'!$D$46))/1000000))</f>
        <v>20.458970189915565</v>
      </c>
      <c r="AN117" s="306">
        <f>IF('R-Definição'!$E$121="Existente",AN90+((('R&amp;C-Painel de Controle'!$D$88+'R&amp;C-Painel de Controle'!$D$89)*('R&amp;C-Painel de Controle'!$D$44+'R&amp;C-Painel de Controle'!$D$46))/1000000),AN90+((('R&amp;C-Painel de Controle'!$D$88)*('R&amp;C-Painel de Controle'!$D$44+'R&amp;C-Painel de Controle'!$D$46))/1000000))</f>
        <v>20.458970189915565</v>
      </c>
      <c r="AO117" s="306">
        <f>IF('R-Definição'!$E$121="Existente",AO90+((('R&amp;C-Painel de Controle'!$D$88+'R&amp;C-Painel de Controle'!$D$89)*('R&amp;C-Painel de Controle'!$D$44+'R&amp;C-Painel de Controle'!$D$46))/1000000),AO90+((('R&amp;C-Painel de Controle'!$D$88)*('R&amp;C-Painel de Controle'!$D$44+'R&amp;C-Painel de Controle'!$D$46))/1000000))</f>
        <v>20.458970189915565</v>
      </c>
      <c r="AP117" s="306">
        <f>IF('R-Definição'!$E$121="Existente",AP90+((('R&amp;C-Painel de Controle'!$D$88+'R&amp;C-Painel de Controle'!$D$89)*('R&amp;C-Painel de Controle'!$D$44+'R&amp;C-Painel de Controle'!$D$46))/1000000),AP90+((('R&amp;C-Painel de Controle'!$D$88)*('R&amp;C-Painel de Controle'!$D$44+'R&amp;C-Painel de Controle'!$D$46))/1000000))</f>
        <v>20.458970189915565</v>
      </c>
      <c r="AQ117" s="306">
        <f>IF('R-Definição'!$E$121="Existente",AQ90+((('R&amp;C-Painel de Controle'!$D$88+'R&amp;C-Painel de Controle'!$D$89)*('R&amp;C-Painel de Controle'!$D$44+'R&amp;C-Painel de Controle'!$D$46))/1000000),AQ90+((('R&amp;C-Painel de Controle'!$D$88)*('R&amp;C-Painel de Controle'!$D$44+'R&amp;C-Painel de Controle'!$D$46))/1000000))</f>
        <v>20.458970189915565</v>
      </c>
      <c r="AR117" s="306">
        <f>IF('R-Definição'!$E$121="Existente",AR90+((('R&amp;C-Painel de Controle'!$D$88+'R&amp;C-Painel de Controle'!$D$89)*('R&amp;C-Painel de Controle'!$D$44+'R&amp;C-Painel de Controle'!$D$46))/1000000),AR90+((('R&amp;C-Painel de Controle'!$D$88)*('R&amp;C-Painel de Controle'!$D$44+'R&amp;C-Painel de Controle'!$D$46))/1000000))</f>
        <v>20.458970189915565</v>
      </c>
      <c r="AS117" s="306">
        <f>IF('R-Definição'!$E$121="Existente",AS90+((('R&amp;C-Painel de Controle'!$D$88+'R&amp;C-Painel de Controle'!$D$89)*('R&amp;C-Painel de Controle'!$D$44+'R&amp;C-Painel de Controle'!$D$46))/1000000),AS90+((('R&amp;C-Painel de Controle'!$D$88)*('R&amp;C-Painel de Controle'!$D$44+'R&amp;C-Painel de Controle'!$D$46))/1000000))</f>
        <v>20.458970189915565</v>
      </c>
      <c r="AT117" s="306">
        <f>IF('R-Definição'!$E$121="Existente",AT90+((('R&amp;C-Painel de Controle'!$D$88+'R&amp;C-Painel de Controle'!$D$89)*('R&amp;C-Painel de Controle'!$D$44+'R&amp;C-Painel de Controle'!$D$46))/1000000),AT90+((('R&amp;C-Painel de Controle'!$D$88)*('R&amp;C-Painel de Controle'!$D$44+'R&amp;C-Painel de Controle'!$D$46))/1000000))</f>
        <v>20.458970189915565</v>
      </c>
      <c r="AU117" s="306">
        <f>IF('R-Definição'!$E$121="Existente",AU90+((('R&amp;C-Painel de Controle'!$D$88+'R&amp;C-Painel de Controle'!$D$89)*('R&amp;C-Painel de Controle'!$D$44+'R&amp;C-Painel de Controle'!$D$46))/1000000),AU90+((('R&amp;C-Painel de Controle'!$D$88)*('R&amp;C-Painel de Controle'!$D$44+'R&amp;C-Painel de Controle'!$D$46))/1000000))</f>
        <v>20.458970189915565</v>
      </c>
      <c r="AV117" s="306">
        <f>IF('R-Definição'!$E$121="Existente",AV90+((('R&amp;C-Painel de Controle'!$D$88+'R&amp;C-Painel de Controle'!$D$89)*('R&amp;C-Painel de Controle'!$D$44+'R&amp;C-Painel de Controle'!$D$46))/1000000),AV90+((('R&amp;C-Painel de Controle'!$D$88)*('R&amp;C-Painel de Controle'!$D$44+'R&amp;C-Painel de Controle'!$D$46))/1000000))</f>
        <v>20.458970189915565</v>
      </c>
      <c r="AW117" s="306">
        <f>IF('R-Definição'!$E$121="Existente",AW90+((('R&amp;C-Painel de Controle'!$D$88+'R&amp;C-Painel de Controle'!$D$89)*('R&amp;C-Painel de Controle'!$D$44+'R&amp;C-Painel de Controle'!$D$46))/1000000),AW90+((('R&amp;C-Painel de Controle'!$D$88)*('R&amp;C-Painel de Controle'!$D$44+'R&amp;C-Painel de Controle'!$D$46))/1000000))</f>
        <v>20.458970189915565</v>
      </c>
      <c r="AX117" s="306">
        <f>IF('R-Definição'!$E$121="Existente",AX90+((('R&amp;C-Painel de Controle'!$D$88+'R&amp;C-Painel de Controle'!$D$89)*('R&amp;C-Painel de Controle'!$D$44+'R&amp;C-Painel de Controle'!$D$46))/1000000),AX90+((('R&amp;C-Painel de Controle'!$D$88)*('R&amp;C-Painel de Controle'!$D$44+'R&amp;C-Painel de Controle'!$D$46))/1000000))</f>
        <v>20.458970189915565</v>
      </c>
      <c r="AY117" s="306">
        <f>IF('R-Definição'!$E$121="Existente",AY90+((('R&amp;C-Painel de Controle'!$D$88+'R&amp;C-Painel de Controle'!$D$89)*('R&amp;C-Painel de Controle'!$D$44+'R&amp;C-Painel de Controle'!$D$46))/1000000),AY90+((('R&amp;C-Painel de Controle'!$D$88)*('R&amp;C-Painel de Controle'!$D$44+'R&amp;C-Painel de Controle'!$D$46))/1000000))</f>
        <v>20.458970189915565</v>
      </c>
      <c r="AZ117" s="306">
        <f>IF('R-Definição'!$E$121="Existente",AZ90+((('R&amp;C-Painel de Controle'!$D$88+'R&amp;C-Painel de Controle'!$D$89)*('R&amp;C-Painel de Controle'!$D$44+'R&amp;C-Painel de Controle'!$D$46))/1000000),AZ90+((('R&amp;C-Painel de Controle'!$D$88)*('R&amp;C-Painel de Controle'!$D$44+'R&amp;C-Painel de Controle'!$D$46))/1000000))</f>
        <v>20.458970189915565</v>
      </c>
      <c r="BA117" s="306">
        <f>IF('R-Definição'!$E$121="Existente",BA90+((('R&amp;C-Painel de Controle'!$D$88+'R&amp;C-Painel de Controle'!$D$89)*('R&amp;C-Painel de Controle'!$D$44+'R&amp;C-Painel de Controle'!$D$46))/1000000),BA90+((('R&amp;C-Painel de Controle'!$D$88)*('R&amp;C-Painel de Controle'!$D$44+'R&amp;C-Painel de Controle'!$D$46))/1000000))</f>
        <v>20.458970189915565</v>
      </c>
      <c r="BB117" s="306">
        <f>IF('R-Definição'!$E$121="Existente",BB90+((('R&amp;C-Painel de Controle'!$D$88+'R&amp;C-Painel de Controle'!$D$89)*('R&amp;C-Painel de Controle'!$D$44+'R&amp;C-Painel de Controle'!$D$46))/1000000),BB90+((('R&amp;C-Painel de Controle'!$D$88)*('R&amp;C-Painel de Controle'!$D$44+'R&amp;C-Painel de Controle'!$D$46))/1000000))</f>
        <v>20.458970189915565</v>
      </c>
      <c r="BC117" s="306">
        <f>IF('R-Definição'!$E$121="Existente",BC90+((('R&amp;C-Painel de Controle'!$D$88+'R&amp;C-Painel de Controle'!$D$89)*('R&amp;C-Painel de Controle'!$D$44+'R&amp;C-Painel de Controle'!$D$46))/1000000),BC90+((('R&amp;C-Painel de Controle'!$D$88)*('R&amp;C-Painel de Controle'!$D$44+'R&amp;C-Painel de Controle'!$D$46))/1000000))</f>
        <v>20.458970189915565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1.1691467915409994</v>
      </c>
      <c r="D119" s="306">
        <f>(D117+'R&amp;C-Painel de Controle'!$D$28)*(1+$C$118)</f>
        <v>1.1691467915409994</v>
      </c>
      <c r="E119" s="306">
        <f>(E117+'R&amp;C-Painel de Controle'!$D$28)*(1+$C$118)</f>
        <v>1.1691467915409994</v>
      </c>
      <c r="F119" s="306">
        <f>(F117+'R&amp;C-Painel de Controle'!$D$28)*(1+$C$118)</f>
        <v>21.458970189915565</v>
      </c>
      <c r="G119" s="306">
        <f>(G117+'R&amp;C-Painel de Controle'!$D$28)*(1+$C$118)</f>
        <v>21.458970189915565</v>
      </c>
      <c r="H119" s="306">
        <f>(H117+'R&amp;C-Painel de Controle'!$D$28)*(1+$C$118)</f>
        <v>21.458970189915565</v>
      </c>
      <c r="I119" s="306">
        <f>(I117+'R&amp;C-Painel de Controle'!$D$28)*(1+$C$118)</f>
        <v>21.458970189915565</v>
      </c>
      <c r="J119" s="306">
        <f>(J117+'R&amp;C-Painel de Controle'!$D$28)*(1+$C$118)</f>
        <v>21.458970189915565</v>
      </c>
      <c r="K119" s="306">
        <f>(K117+'R&amp;C-Painel de Controle'!$D$28)*(1+$C$118)</f>
        <v>21.458970189915565</v>
      </c>
      <c r="L119" s="306">
        <f>(L117+'R&amp;C-Painel de Controle'!$D$28)*(1+$C$118)</f>
        <v>21.458970189915565</v>
      </c>
      <c r="M119" s="306">
        <f>(M117+'R&amp;C-Painel de Controle'!$D$28)*(1+$C$118)</f>
        <v>21.458970189915565</v>
      </c>
      <c r="N119" s="306">
        <f>(N117+'R&amp;C-Painel de Controle'!$D$28)*(1+$C$118)</f>
        <v>21.458970189915565</v>
      </c>
      <c r="O119" s="306">
        <f>(O117+'R&amp;C-Painel de Controle'!$D$28)*(1+$C$118)</f>
        <v>21.458970189915565</v>
      </c>
      <c r="P119" s="306">
        <f>(P117+'R&amp;C-Painel de Controle'!$D$28)*(1+$C$118)</f>
        <v>21.458970189915565</v>
      </c>
      <c r="Q119" s="306">
        <f>(Q117+'R&amp;C-Painel de Controle'!$D$28)*(1+$C$118)</f>
        <v>21.458970189915565</v>
      </c>
      <c r="R119" s="306">
        <f>(R117+'R&amp;C-Painel de Controle'!$D$28)*(1+$C$118)</f>
        <v>21.458970189915565</v>
      </c>
      <c r="S119" s="306">
        <f>(S117+'R&amp;C-Painel de Controle'!$D$28)*(1+$C$118)</f>
        <v>21.458970189915565</v>
      </c>
      <c r="T119" s="306">
        <f>(T117+'R&amp;C-Painel de Controle'!$D$28)*(1+$C$118)</f>
        <v>21.458970189915565</v>
      </c>
      <c r="U119" s="306">
        <f>(U117+'R&amp;C-Painel de Controle'!$D$28)*(1+$C$118)</f>
        <v>21.458970189915565</v>
      </c>
      <c r="V119" s="306">
        <f>(V117+'R&amp;C-Painel de Controle'!$D$28)*(1+$C$118)</f>
        <v>21.458970189915565</v>
      </c>
      <c r="W119" s="306">
        <f>(W117+'R&amp;C-Painel de Controle'!$D$28)*(1+$C$118)</f>
        <v>21.458970189915565</v>
      </c>
      <c r="X119" s="306">
        <f>(X117+'R&amp;C-Painel de Controle'!$D$28)*(1+$C$118)</f>
        <v>21.458970189915565</v>
      </c>
      <c r="Y119" s="306">
        <f>(Y117+'R&amp;C-Painel de Controle'!$D$28)*(1+$C$118)</f>
        <v>21.458970189915565</v>
      </c>
      <c r="Z119" s="306">
        <f>(Z117+'R&amp;C-Painel de Controle'!$D$28)*(1+$C$118)</f>
        <v>21.458970189915565</v>
      </c>
      <c r="AA119" s="306">
        <f>(AA117+'R&amp;C-Painel de Controle'!$D$28)*(1+$C$118)</f>
        <v>21.458970189915565</v>
      </c>
      <c r="AB119" s="306">
        <f>(AB117+'R&amp;C-Painel de Controle'!$D$28)*(1+$C$118)</f>
        <v>21.458970189915565</v>
      </c>
      <c r="AC119" s="306">
        <f>(AC117+'R&amp;C-Painel de Controle'!$D$28)*(1+$C$118)</f>
        <v>21.458970189915565</v>
      </c>
      <c r="AD119" s="306">
        <f>(AD117+'R&amp;C-Painel de Controle'!$D$28)*(1+$C$118)</f>
        <v>21.458970189915565</v>
      </c>
      <c r="AE119" s="306">
        <f>(AE117+'R&amp;C-Painel de Controle'!$D$28)*(1+$C$118)</f>
        <v>21.458970189915565</v>
      </c>
      <c r="AF119" s="306">
        <f>(AF117+'R&amp;C-Painel de Controle'!$D$28)*(1+$C$118)</f>
        <v>21.458970189915565</v>
      </c>
      <c r="AG119" s="306">
        <f>(AG117+'R&amp;C-Painel de Controle'!$D$28)*(1+$C$118)</f>
        <v>21.458970189915565</v>
      </c>
      <c r="AH119" s="306">
        <f>(AH117+'R&amp;C-Painel de Controle'!$D$28)*(1+$C$118)</f>
        <v>21.458970189915565</v>
      </c>
      <c r="AI119" s="306">
        <f>(AI117+'R&amp;C-Painel de Controle'!$D$28)*(1+$C$118)</f>
        <v>21.458970189915565</v>
      </c>
      <c r="AJ119" s="306">
        <f>(AJ117+'R&amp;C-Painel de Controle'!$D$28)*(1+$C$118)</f>
        <v>21.458970189915565</v>
      </c>
      <c r="AK119" s="306">
        <f>(AK117+'R&amp;C-Painel de Controle'!$D$28)*(1+$C$118)</f>
        <v>21.458970189915565</v>
      </c>
      <c r="AL119" s="306">
        <f>(AL117+'R&amp;C-Painel de Controle'!$D$28)*(1+$C$118)</f>
        <v>21.458970189915565</v>
      </c>
      <c r="AM119" s="306">
        <f>(AM117+'R&amp;C-Painel de Controle'!$D$28)*(1+$C$118)</f>
        <v>21.458970189915565</v>
      </c>
      <c r="AN119" s="306">
        <f>(AN117+'R&amp;C-Painel de Controle'!$D$28)*(1+$C$118)</f>
        <v>21.458970189915565</v>
      </c>
      <c r="AO119" s="306">
        <f>(AO117+'R&amp;C-Painel de Controle'!$D$28)*(1+$C$118)</f>
        <v>21.458970189915565</v>
      </c>
      <c r="AP119" s="306">
        <f>(AP117+'R&amp;C-Painel de Controle'!$D$28)*(1+$C$118)</f>
        <v>21.458970189915565</v>
      </c>
      <c r="AQ119" s="306">
        <f>(AQ117+'R&amp;C-Painel de Controle'!$D$28)*(1+$C$118)</f>
        <v>21.458970189915565</v>
      </c>
      <c r="AR119" s="306">
        <f>(AR117+'R&amp;C-Painel de Controle'!$D$28)*(1+$C$118)</f>
        <v>21.458970189915565</v>
      </c>
      <c r="AS119" s="306">
        <f>(AS117+'R&amp;C-Painel de Controle'!$D$28)*(1+$C$118)</f>
        <v>21.458970189915565</v>
      </c>
      <c r="AT119" s="306">
        <f>(AT117+'R&amp;C-Painel de Controle'!$D$28)*(1+$C$118)</f>
        <v>21.458970189915565</v>
      </c>
      <c r="AU119" s="306">
        <f>(AU117+'R&amp;C-Painel de Controle'!$D$28)*(1+$C$118)</f>
        <v>21.458970189915565</v>
      </c>
      <c r="AV119" s="306">
        <f>(AV117+'R&amp;C-Painel de Controle'!$D$28)*(1+$C$118)</f>
        <v>21.458970189915565</v>
      </c>
      <c r="AW119" s="306">
        <f>(AW117+'R&amp;C-Painel de Controle'!$D$28)*(1+$C$118)</f>
        <v>21.458970189915565</v>
      </c>
      <c r="AX119" s="306">
        <f>(AX117+'R&amp;C-Painel de Controle'!$D$28)*(1+$C$118)</f>
        <v>21.458970189915565</v>
      </c>
      <c r="AY119" s="306">
        <f>(AY117+'R&amp;C-Painel de Controle'!$D$28)*(1+$C$118)</f>
        <v>21.458970189915565</v>
      </c>
      <c r="AZ119" s="306">
        <f>(AZ117+'R&amp;C-Painel de Controle'!$D$28)*(1+$C$118)</f>
        <v>21.458970189915565</v>
      </c>
      <c r="BA119" s="306">
        <f>(BA117+'R&amp;C-Painel de Controle'!$D$28)*(1+$C$118)</f>
        <v>21.458970189915565</v>
      </c>
      <c r="BB119" s="306">
        <f>(BB117+'R&amp;C-Painel de Controle'!$D$28)*(1+$C$118)</f>
        <v>21.458970189915565</v>
      </c>
      <c r="BC119" s="306">
        <f>(BC117+'R&amp;C-Painel de Controle'!$D$28)*(1+$C$118)</f>
        <v>21.458970189915565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2887.4249999999993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22869.127856249997</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7.7106630711911874</v>
      </c>
      <c r="G143" s="334">
        <f>IF(G57&gt;0,'R&amp;C-Painel de Controle'!$O$71*(1-0.0925)*G35/1000000,0)</f>
        <v>7.7469031876257857</v>
      </c>
      <c r="H143" s="334">
        <f>IF(H57&gt;0,'R&amp;C-Painel de Controle'!$O$71*(1-0.0925)*H35/1000000,0)</f>
        <v>7.7833136326076255</v>
      </c>
      <c r="I143" s="334">
        <f>IF(I57&gt;0,'R&amp;C-Painel de Controle'!$O$71*(1-0.0925)*I35/1000000,0)</f>
        <v>7.819895206680882</v>
      </c>
      <c r="J143" s="334">
        <f>IF(J57&gt;0,'R&amp;C-Painel de Controle'!$O$71*(1-0.0925)*J35/1000000,0)</f>
        <v>7.8566487141522812</v>
      </c>
      <c r="K143" s="334">
        <f>IF(K57&gt;0,'R&amp;C-Painel de Controle'!$O$71*(1-0.0925)*K35/1000000,0)</f>
        <v>7.8935749631087964</v>
      </c>
      <c r="L143" s="334">
        <f>IF(L57&gt;0,'R&amp;C-Painel de Controle'!$O$71*(1-0.0925)*L35/1000000,0)</f>
        <v>7.9306747654354082</v>
      </c>
      <c r="M143" s="334">
        <f>IF(M57&gt;0,'R&amp;C-Painel de Controle'!$O$71*(1-0.0925)*M35/1000000,0)</f>
        <v>7.9679489368329541</v>
      </c>
      <c r="N143" s="334">
        <f>IF(N57&gt;0,'R&amp;C-Painel de Controle'!$O$71*(1-0.0925)*N35/1000000,0)</f>
        <v>8.0053982968360682</v>
      </c>
      <c r="O143" s="334">
        <f>IF(O57&gt;0,'R&amp;C-Painel de Controle'!$O$71*(1-0.0925)*O35/1000000,0)</f>
        <v>8.0430236688311982</v>
      </c>
      <c r="P143" s="334">
        <f>IF(P57&gt;0,'R&amp;C-Painel de Controle'!$O$71*(1-0.0925)*P35/1000000,0)</f>
        <v>8.0808258800747037</v>
      </c>
      <c r="Q143" s="334">
        <f>IF(Q57&gt;0,'R&amp;C-Painel de Controle'!$O$71*(1-0.0925)*Q35/1000000,0)</f>
        <v>8.1188057617110552</v>
      </c>
      <c r="R143" s="334">
        <f>IF(R57&gt;0,'R&amp;C-Painel de Controle'!$O$71*(1-0.0925)*R35/1000000,0)</f>
        <v>8.1569641487910953</v>
      </c>
      <c r="S143" s="334">
        <f>IF(S57&gt;0,'R&amp;C-Painel de Controle'!$O$71*(1-0.0925)*S35/1000000,0)</f>
        <v>8.1953018802904136</v>
      </c>
      <c r="T143" s="334">
        <f>IF(T57&gt;0,'R&amp;C-Painel de Controle'!$O$71*(1-0.0925)*T35/1000000,0)</f>
        <v>8.2338197991277777</v>
      </c>
      <c r="U143" s="334">
        <f>IF(U57&gt;0,'R&amp;C-Painel de Controle'!$O$71*(1-0.0925)*U35/1000000,0)</f>
        <v>8.2725187521836787</v>
      </c>
      <c r="V143" s="334">
        <f>IF(V57&gt;0,'R&amp;C-Painel de Controle'!$O$71*(1-0.0925)*V35/1000000,0)</f>
        <v>8.3113995903189419</v>
      </c>
      <c r="W143" s="334">
        <f>IF(W57&gt;0,'R&amp;C-Painel de Controle'!$O$71*(1-0.0925)*W35/1000000,0)</f>
        <v>8.3504631683934409</v>
      </c>
      <c r="X143" s="334">
        <f>IF(X57&gt;0,'R&amp;C-Painel de Controle'!$O$71*(1-0.0925)*X35/1000000,0)</f>
        <v>8.3897103452848878</v>
      </c>
      <c r="Y143" s="334">
        <f>IF(Y57&gt;0,'R&amp;C-Painel de Controle'!$O$71*(1-0.0925)*Y35/1000000,0)</f>
        <v>8.4291419839077282</v>
      </c>
      <c r="Z143" s="334">
        <f>IF(Z57&gt;0,'R&amp;C-Painel de Controle'!$O$71*(1-0.0925)*Z35/1000000,0)</f>
        <v>8.4687589512320951</v>
      </c>
      <c r="AA143" s="334">
        <f>IF(AA57&gt;0,'R&amp;C-Painel de Controle'!$O$71*(1-0.0925)*AA35/1000000,0)</f>
        <v>8.5085621183028834</v>
      </c>
      <c r="AB143" s="334">
        <f>IF(AB57&gt;0,'R&amp;C-Painel de Controle'!$O$71*(1-0.0925)*AB35/1000000,0)</f>
        <v>8.5485523602589044</v>
      </c>
      <c r="AC143" s="334">
        <f>IF(AC57&gt;0,'R&amp;C-Painel de Controle'!$O$71*(1-0.0925)*AC35/1000000,0)</f>
        <v>8.5887305563521217</v>
      </c>
      <c r="AD143" s="334">
        <f>IF(AD57&gt;0,'R&amp;C-Painel de Controle'!$O$71*(1-0.0925)*AD35/1000000,0)</f>
        <v>8.6290975899669764</v>
      </c>
      <c r="AE143" s="334">
        <f>IF(AE57&gt;0,'R&amp;C-Painel de Controle'!$O$71*(1-0.0925)*AE35/1000000,0)</f>
        <v>8.6696543486398223</v>
      </c>
      <c r="AF143" s="334">
        <f>IF(AF57&gt;0,'R&amp;C-Painel de Controle'!$O$71*(1-0.0925)*AF35/1000000,0)</f>
        <v>8.7104017240784266</v>
      </c>
      <c r="AG143" s="334">
        <f>IF(AG57&gt;0,'R&amp;C-Painel de Controle'!$O$71*(1-0.0925)*AG35/1000000,0)</f>
        <v>8.7513406121815951</v>
      </c>
      <c r="AH143" s="334">
        <f>IF(AH57&gt;0,'R&amp;C-Painel de Controle'!$O$71*(1-0.0925)*AH35/1000000,0)</f>
        <v>8.7924719130588471</v>
      </c>
      <c r="AI143" s="334">
        <f>IF(AI57&gt;0,'R&amp;C-Painel de Controle'!$O$71*(1-0.0925)*AI35/1000000,0)</f>
        <v>8.8337965310502238</v>
      </c>
      <c r="AJ143" s="334">
        <f>IF(AJ57&gt;0,'R&amp;C-Painel de Controle'!$O$71*(1-0.0925)*AJ35/1000000,0)</f>
        <v>8.8753153747461582</v>
      </c>
      <c r="AK143" s="334">
        <f>IF(AK57&gt;0,'R&amp;C-Painel de Controle'!$O$71*(1-0.0925)*AK35/1000000,0)</f>
        <v>8.9170293570074666</v>
      </c>
      <c r="AL143" s="334">
        <f>IF(AL57&gt;0,'R&amp;C-Painel de Controle'!$O$71*(1-0.0925)*AL35/1000000,0)</f>
        <v>8.9589393949853999</v>
      </c>
      <c r="AM143" s="334">
        <f>IF(AM57&gt;0,'R&amp;C-Painel de Controle'!$O$71*(1-0.0925)*AM35/1000000,0)</f>
        <v>9.0010464101418304</v>
      </c>
      <c r="AN143" s="334">
        <f>IF(AN57&gt;0,'R&amp;C-Painel de Controle'!$O$71*(1-0.0925)*AN35/1000000,0)</f>
        <v>9.0433513282694964</v>
      </c>
      <c r="AO143" s="334">
        <f>IF(AO57&gt;0,'R&amp;C-Painel de Controle'!$O$71*(1-0.0925)*AO35/1000000,0)</f>
        <v>9.0858550795123634</v>
      </c>
      <c r="AP143" s="334">
        <f>IF(AP57&gt;0,'R&amp;C-Painel de Controle'!$O$71*(1-0.0925)*AP35/1000000,0)</f>
        <v>9.1285585983860713</v>
      </c>
      <c r="AQ143" s="334">
        <f>IF(AQ57&gt;0,'R&amp;C-Painel de Controle'!$O$71*(1-0.0925)*AQ35/1000000,0)</f>
        <v>9.1714628237984854</v>
      </c>
      <c r="AR143" s="334">
        <f>IF(AR57&gt;0,'R&amp;C-Painel de Controle'!$O$71*(1-0.0925)*AR35/1000000,0)</f>
        <v>9.2145686990703375</v>
      </c>
      <c r="AS143" s="334">
        <f>IF(AS57&gt;0,'R&amp;C-Painel de Controle'!$O$71*(1-0.0925)*AS35/1000000,0)</f>
        <v>9.2578771719559665</v>
      </c>
      <c r="AT143" s="334">
        <f>IF(AT57&gt;0,'R&amp;C-Painel de Controle'!$O$71*(1-0.0925)*AT35/1000000,0)</f>
        <v>9.3013891946641589</v>
      </c>
      <c r="AU143" s="334">
        <f>IF(AU57&gt;0,'R&amp;C-Painel de Controle'!$O$71*(1-0.0925)*AU35/1000000,0)</f>
        <v>9.3451057238790796</v>
      </c>
      <c r="AV143" s="334">
        <f>IF(AV57&gt;0,'R&amp;C-Painel de Controle'!$O$71*(1-0.0925)*AV35/1000000,0)</f>
        <v>9.3890277207813106</v>
      </c>
      <c r="AW143" s="334">
        <f>IF(AW57&gt;0,'R&amp;C-Painel de Controle'!$O$71*(1-0.0925)*AW35/1000000,0)</f>
        <v>9.4331561510689834</v>
      </c>
      <c r="AX143" s="334">
        <f>IF(AX57&gt;0,'R&amp;C-Painel de Controle'!$O$71*(1-0.0925)*AX35/1000000,0)</f>
        <v>9.4774919849790074</v>
      </c>
      <c r="AY143" s="334">
        <f>IF(AY57&gt;0,'R&amp;C-Painel de Controle'!$O$71*(1-0.0925)*AY35/1000000,0)</f>
        <v>9.5220361973084078</v>
      </c>
      <c r="AZ143" s="334">
        <f>IF(AZ57&gt;0,'R&amp;C-Painel de Controle'!$O$71*(1-0.0925)*AZ35/1000000,0)</f>
        <v>9.5667897674357576</v>
      </c>
      <c r="BA143" s="334">
        <f>IF(BA57&gt;0,'R&amp;C-Painel de Controle'!$O$71*(1-0.0925)*BA35/1000000,0)</f>
        <v>9.6117536793427032</v>
      </c>
      <c r="BB143" s="334">
        <f>IF(BB57&gt;0,'R&amp;C-Painel de Controle'!$O$71*(1-0.0925)*BB35/1000000,0)</f>
        <v>9.6569289216356147</v>
      </c>
      <c r="BC143" s="334">
        <f>IF(BC57&gt;0,'R&amp;C-Painel de Controle'!$O$71*(1-0.0925)*BC35/1000000,0)</f>
        <v>9.7023164875673018</v>
      </c>
      <c r="BD143" s="305"/>
      <c r="BE143" s="305"/>
      <c r="BF143" s="305"/>
    </row>
    <row r="144" spans="2:58" s="206" customFormat="1" ht="18" hidden="1" customHeight="1" outlineLevel="1" x14ac:dyDescent="0.3">
      <c r="B144" s="906" t="str">
        <f>B113</f>
        <v>Aterro Sanitário</v>
      </c>
      <c r="C144" s="325" t="str">
        <f>C113</f>
        <v>Sim</v>
      </c>
      <c r="D144" s="325">
        <f>D113</f>
        <v>23353.825571249999</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30.240195166554528</v>
      </c>
      <c r="D148" s="306">
        <f t="shared" si="51"/>
        <v>30.382324083837332</v>
      </c>
      <c r="E148" s="306">
        <f t="shared" si="51"/>
        <v>30.525121007031359</v>
      </c>
      <c r="F148" s="306">
        <f t="shared" si="51"/>
        <v>30.668589075764405</v>
      </c>
      <c r="G148" s="306">
        <f t="shared" si="51"/>
        <v>30.8127314444205</v>
      </c>
      <c r="H148" s="306">
        <f t="shared" si="51"/>
        <v>30.957551282209273</v>
      </c>
      <c r="I148" s="306">
        <f t="shared" si="51"/>
        <v>31.103051773235656</v>
      </c>
      <c r="J148" s="306">
        <f t="shared" si="51"/>
        <v>31.249236116569861</v>
      </c>
      <c r="K148" s="306">
        <f t="shared" si="51"/>
        <v>31.396107526317735</v>
      </c>
      <c r="L148" s="306">
        <f t="shared" si="51"/>
        <v>31.543669231691428</v>
      </c>
      <c r="M148" s="306">
        <f t="shared" si="51"/>
        <v>31.691924477080377</v>
      </c>
      <c r="N148" s="306">
        <f t="shared" si="51"/>
        <v>31.840876522122652</v>
      </c>
      <c r="O148" s="306">
        <f t="shared" si="51"/>
        <v>31.990528641776628</v>
      </c>
      <c r="P148" s="306">
        <f t="shared" si="51"/>
        <v>32.140884126392969</v>
      </c>
      <c r="Q148" s="306">
        <f t="shared" si="51"/>
        <v>32.29194628178702</v>
      </c>
      <c r="R148" s="306">
        <f t="shared" si="51"/>
        <v>32.443718429311424</v>
      </c>
      <c r="S148" s="306">
        <f t="shared" si="51"/>
        <v>32.596203905929187</v>
      </c>
      <c r="T148" s="306">
        <f t="shared" si="51"/>
        <v>32.749406064287044</v>
      </c>
      <c r="U148" s="306">
        <f t="shared" si="51"/>
        <v>32.903328272789196</v>
      </c>
      <c r="V148" s="306">
        <f t="shared" si="51"/>
        <v>33.057973915671305</v>
      </c>
      <c r="W148" s="306">
        <f t="shared" si="51"/>
        <v>33.213346393074957</v>
      </c>
      <c r="X148" s="306">
        <f t="shared" si="51"/>
        <v>33.369449121122408</v>
      </c>
      <c r="Y148" s="306">
        <f t="shared" si="51"/>
        <v>33.526285531991682</v>
      </c>
      <c r="Z148" s="306">
        <f t="shared" si="51"/>
        <v>33.683859073992032</v>
      </c>
      <c r="AA148" s="306">
        <f t="shared" si="51"/>
        <v>33.842173211639796</v>
      </c>
      <c r="AB148" s="306">
        <f t="shared" si="51"/>
        <v>34.001231425734503</v>
      </c>
      <c r="AC148" s="306">
        <f t="shared" si="51"/>
        <v>34.161037213435456</v>
      </c>
      <c r="AD148" s="306">
        <f t="shared" si="51"/>
        <v>34.321594088338593</v>
      </c>
      <c r="AE148" s="306">
        <f t="shared" si="51"/>
        <v>34.482905580553783</v>
      </c>
      <c r="AF148" s="306">
        <f t="shared" si="51"/>
        <v>34.644975236782386</v>
      </c>
      <c r="AG148" s="306">
        <f t="shared" si="51"/>
        <v>34.807806620395255</v>
      </c>
      <c r="AH148" s="306">
        <f t="shared" si="51"/>
        <v>34.971403311511111</v>
      </c>
      <c r="AI148" s="306">
        <f t="shared" ref="AI148:BC148" si="52">AI35*$H$26*(1-0.0925-$C$10)/1000000+AI149</f>
        <v>35.135768907075217</v>
      </c>
      <c r="AJ148" s="306">
        <f t="shared" si="52"/>
        <v>35.300907020938467</v>
      </c>
      <c r="AK148" s="306">
        <f t="shared" si="52"/>
        <v>35.466821283936873</v>
      </c>
      <c r="AL148" s="306">
        <f t="shared" si="52"/>
        <v>35.633515343971375</v>
      </c>
      <c r="AM148" s="306">
        <f t="shared" si="52"/>
        <v>35.800992866088031</v>
      </c>
      <c r="AN148" s="306">
        <f t="shared" si="52"/>
        <v>35.969257532558643</v>
      </c>
      <c r="AO148" s="306">
        <f t="shared" si="52"/>
        <v>36.138313042961677</v>
      </c>
      <c r="AP148" s="306">
        <f t="shared" si="52"/>
        <v>36.308163114263593</v>
      </c>
      <c r="AQ148" s="306">
        <f t="shared" si="52"/>
        <v>36.478811480900625</v>
      </c>
      <c r="AR148" s="306">
        <f t="shared" si="52"/>
        <v>36.650261894860861</v>
      </c>
      <c r="AS148" s="306">
        <f t="shared" si="52"/>
        <v>36.822518125766699</v>
      </c>
      <c r="AT148" s="306">
        <f t="shared" si="52"/>
        <v>36.995583960957802</v>
      </c>
      <c r="AU148" s="306">
        <f t="shared" si="52"/>
        <v>37.169463205574296</v>
      </c>
      <c r="AV148" s="306">
        <f t="shared" si="52"/>
        <v>37.344159682640502</v>
      </c>
      <c r="AW148" s="306">
        <f t="shared" si="52"/>
        <v>37.519677233148919</v>
      </c>
      <c r="AX148" s="306">
        <f t="shared" si="52"/>
        <v>37.696019716144711</v>
      </c>
      <c r="AY148" s="306">
        <f t="shared" si="52"/>
        <v>37.873191008810579</v>
      </c>
      <c r="AZ148" s="306">
        <f t="shared" si="52"/>
        <v>38.051195006551986</v>
      </c>
      <c r="BA148" s="306">
        <f t="shared" si="52"/>
        <v>38.230035623082784</v>
      </c>
      <c r="BB148" s="306">
        <f t="shared" si="52"/>
        <v>38.409716790511268</v>
      </c>
      <c r="BC148" s="306">
        <f t="shared" si="52"/>
        <v>38.590242459426676</v>
      </c>
    </row>
    <row r="149" spans="2:58" s="206" customFormat="1" ht="16.95" customHeight="1" x14ac:dyDescent="0.3">
      <c r="B149" s="206" t="s">
        <v>991</v>
      </c>
      <c r="C149" s="306">
        <f>'R&amp;C-Painel de Controle'!D31*312*'R&amp;C-Painel de Controle'!H31*(1-0.0925-$C$10)/1000000</f>
        <v>2.6629360131651798</v>
      </c>
      <c r="D149" s="306">
        <f>C149*(1+'R&amp;C-Painel de Controle'!$D$27)</f>
        <v>2.6754518124270561</v>
      </c>
      <c r="E149" s="306">
        <f>D149*(1+'R&amp;C-Painel de Controle'!$D$27)</f>
        <v>2.6880264359454631</v>
      </c>
      <c r="F149" s="306">
        <f>E149*(1+'R&amp;C-Painel de Controle'!$D$27)</f>
        <v>2.7006601601944067</v>
      </c>
      <c r="G149" s="306">
        <f>F149*(1+'R&amp;C-Painel de Controle'!$D$27)</f>
        <v>2.71335326294732</v>
      </c>
      <c r="H149" s="306">
        <f>G149*(1+'R&amp;C-Painel de Controle'!$D$27)</f>
        <v>2.7261060232831724</v>
      </c>
      <c r="I149" s="306">
        <f>H149*(1+'R&amp;C-Painel de Controle'!$D$27)</f>
        <v>2.738918721592603</v>
      </c>
      <c r="J149" s="306">
        <f>I149*(1+'R&amp;C-Painel de Controle'!$D$27)</f>
        <v>2.7517916395840878</v>
      </c>
      <c r="K149" s="306">
        <f>J149*(1+'R&amp;C-Painel de Controle'!$D$27)</f>
        <v>2.7647250602901328</v>
      </c>
      <c r="L149" s="306">
        <f>K149*(1+'R&amp;C-Painel de Controle'!$D$27)</f>
        <v>2.7777192680734961</v>
      </c>
      <c r="M149" s="306">
        <f>L149*(1+'R&amp;C-Painel de Controle'!$D$27)</f>
        <v>2.7907745486334412</v>
      </c>
      <c r="N149" s="306">
        <f>M149*(1+'R&amp;C-Painel de Controle'!$D$27)</f>
        <v>2.8038911890120182</v>
      </c>
      <c r="O149" s="306">
        <f>N149*(1+'R&amp;C-Painel de Controle'!$D$27)</f>
        <v>2.8170694776003744</v>
      </c>
      <c r="P149" s="306">
        <f>O149*(1+'R&amp;C-Painel de Controle'!$D$27)</f>
        <v>2.8303097041450958</v>
      </c>
      <c r="Q149" s="306">
        <f>P149*(1+'R&amp;C-Painel de Controle'!$D$27)</f>
        <v>2.8436121597545774</v>
      </c>
      <c r="R149" s="306">
        <f>Q149*(1+'R&amp;C-Painel de Controle'!$D$27)</f>
        <v>2.8569771369054235</v>
      </c>
      <c r="S149" s="306">
        <f>R149*(1+'R&amp;C-Painel de Controle'!$D$27)</f>
        <v>2.8704049294488789</v>
      </c>
      <c r="T149" s="306">
        <f>S149*(1+'R&amp;C-Painel de Controle'!$D$27)</f>
        <v>2.8838958326172883</v>
      </c>
      <c r="U149" s="306">
        <f>T149*(1+'R&amp;C-Painel de Controle'!$D$27)</f>
        <v>2.8974501430305892</v>
      </c>
      <c r="V149" s="306">
        <f>U149*(1+'R&amp;C-Painel de Controle'!$D$27)</f>
        <v>2.9110681587028329</v>
      </c>
      <c r="W149" s="306">
        <f>V149*(1+'R&amp;C-Painel de Controle'!$D$27)</f>
        <v>2.9247501790487358</v>
      </c>
      <c r="X149" s="306">
        <f>W149*(1+'R&amp;C-Painel de Controle'!$D$27)</f>
        <v>2.9384965048902645</v>
      </c>
      <c r="Y149" s="306">
        <f>X149*(1+'R&amp;C-Painel de Controle'!$D$27)</f>
        <v>2.9523074384632486</v>
      </c>
      <c r="Z149" s="306">
        <f>Y149*(1+'R&amp;C-Painel de Controle'!$D$27)</f>
        <v>2.9661832834240256</v>
      </c>
      <c r="AA149" s="306">
        <f>Z149*(1+'R&amp;C-Painel de Controle'!$D$27)</f>
        <v>2.9801243448561183</v>
      </c>
      <c r="AB149" s="306">
        <f>AA149*(1+'R&amp;C-Painel de Controle'!$D$27)</f>
        <v>2.9941309292769418</v>
      </c>
      <c r="AC149" s="306">
        <f>AB149*(1+'R&amp;C-Painel de Controle'!$D$27)</f>
        <v>3.0082033446445431</v>
      </c>
      <c r="AD149" s="306">
        <f>AC149*(1+'R&amp;C-Painel de Controle'!$D$27)</f>
        <v>3.0223419003643723</v>
      </c>
      <c r="AE149" s="306">
        <f>AD149*(1+'R&amp;C-Painel de Controle'!$D$27)</f>
        <v>3.0365469072960845</v>
      </c>
      <c r="AF149" s="306">
        <f>AE149*(1+'R&amp;C-Painel de Controle'!$D$27)</f>
        <v>3.0508186777603759</v>
      </c>
      <c r="AG149" s="306">
        <f>AF149*(1+'R&amp;C-Painel de Controle'!$D$27)</f>
        <v>3.0651575255458492</v>
      </c>
      <c r="AH149" s="306">
        <f>AG149*(1+'R&amp;C-Painel de Controle'!$D$27)</f>
        <v>3.0795637659159145</v>
      </c>
      <c r="AI149" s="306">
        <f>AH149*(1+'R&amp;C-Painel de Controle'!$D$27)</f>
        <v>3.0940377156157193</v>
      </c>
      <c r="AJ149" s="306">
        <f>AI149*(1+'R&amp;C-Painel de Controle'!$D$27)</f>
        <v>3.108579692879113</v>
      </c>
      <c r="AK149" s="306">
        <f>AJ149*(1+'R&amp;C-Painel de Controle'!$D$27)</f>
        <v>3.1231900174356446</v>
      </c>
      <c r="AL149" s="306">
        <f>AK149*(1+'R&amp;C-Painel de Controle'!$D$27)</f>
        <v>3.1378690105175919</v>
      </c>
      <c r="AM149" s="306">
        <f>AL149*(1+'R&amp;C-Painel de Controle'!$D$27)</f>
        <v>3.1526169948670244</v>
      </c>
      <c r="AN149" s="306">
        <f>AM149*(1+'R&amp;C-Painel de Controle'!$D$27)</f>
        <v>3.1674342947428991</v>
      </c>
      <c r="AO149" s="306">
        <f>AN149*(1+'R&amp;C-Painel de Controle'!$D$27)</f>
        <v>3.1823212359281903</v>
      </c>
      <c r="AP149" s="306">
        <f>AO149*(1+'R&amp;C-Painel de Controle'!$D$27)</f>
        <v>3.1972781457370525</v>
      </c>
      <c r="AQ149" s="306">
        <f>AP149*(1+'R&amp;C-Painel de Controle'!$D$27)</f>
        <v>3.2123053530220163</v>
      </c>
      <c r="AR149" s="306">
        <f>AQ149*(1+'R&amp;C-Painel de Controle'!$D$27)</f>
        <v>3.2274031881812193</v>
      </c>
      <c r="AS149" s="306">
        <f>AR149*(1+'R&amp;C-Painel de Controle'!$D$27)</f>
        <v>3.242571983165671</v>
      </c>
      <c r="AT149" s="306">
        <f>AS149*(1+'R&amp;C-Painel de Controle'!$D$27)</f>
        <v>3.2578120714865495</v>
      </c>
      <c r="AU149" s="306">
        <f>AT149*(1+'R&amp;C-Painel de Controle'!$D$27)</f>
        <v>3.2731237882225361</v>
      </c>
      <c r="AV149" s="306">
        <f>AU149*(1+'R&amp;C-Painel de Controle'!$D$27)</f>
        <v>3.2885074700271817</v>
      </c>
      <c r="AW149" s="306">
        <f>AV149*(1+'R&amp;C-Painel de Controle'!$D$27)</f>
        <v>3.3039634551363091</v>
      </c>
      <c r="AX149" s="306">
        <f>AW149*(1+'R&amp;C-Painel de Controle'!$D$27)</f>
        <v>3.3194920833754495</v>
      </c>
      <c r="AY149" s="306">
        <f>AX149*(1+'R&amp;C-Painel de Controle'!$D$27)</f>
        <v>3.3350936961673141</v>
      </c>
      <c r="AZ149" s="306">
        <f>AY149*(1+'R&amp;C-Painel de Controle'!$D$27)</f>
        <v>3.3507686365393003</v>
      </c>
      <c r="BA149" s="306">
        <f>AZ149*(1+'R&amp;C-Painel de Controle'!$D$27)</f>
        <v>3.3665172491310349</v>
      </c>
      <c r="BB149" s="306">
        <f>BA149*(1+'R&amp;C-Painel de Controle'!$D$27)</f>
        <v>3.3823398802019504</v>
      </c>
      <c r="BC149" s="306">
        <f>BB149*(1+'R&amp;C-Painel de Controle'!$D$27)</f>
        <v>3.3982368776388991</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29.071048375013529</v>
      </c>
      <c r="D151" s="307">
        <f t="shared" si="53"/>
        <v>29.213177292296333</v>
      </c>
      <c r="E151" s="307">
        <f t="shared" si="53"/>
        <v>29.35597421549036</v>
      </c>
      <c r="F151" s="307">
        <f t="shared" si="53"/>
        <v>9.2096188858488404</v>
      </c>
      <c r="G151" s="307">
        <f t="shared" si="53"/>
        <v>9.3537612545049349</v>
      </c>
      <c r="H151" s="307">
        <f t="shared" si="53"/>
        <v>9.4985810922937084</v>
      </c>
      <c r="I151" s="307">
        <f t="shared" si="53"/>
        <v>9.6440815833200908</v>
      </c>
      <c r="J151" s="307">
        <f t="shared" si="53"/>
        <v>9.7902659266542962</v>
      </c>
      <c r="K151" s="307">
        <f t="shared" si="53"/>
        <v>9.93713733640217</v>
      </c>
      <c r="L151" s="307">
        <f t="shared" si="53"/>
        <v>10.084699041775863</v>
      </c>
      <c r="M151" s="307">
        <f t="shared" si="53"/>
        <v>10.232954287164812</v>
      </c>
      <c r="N151" s="307">
        <f t="shared" si="53"/>
        <v>10.381906332207087</v>
      </c>
      <c r="O151" s="307">
        <f t="shared" si="53"/>
        <v>10.531558451861063</v>
      </c>
      <c r="P151" s="307">
        <f t="shared" si="53"/>
        <v>10.681913936477404</v>
      </c>
      <c r="Q151" s="307">
        <f t="shared" si="53"/>
        <v>10.832976091871455</v>
      </c>
      <c r="R151" s="307">
        <f t="shared" si="53"/>
        <v>10.984748239395859</v>
      </c>
      <c r="S151" s="307">
        <f t="shared" si="53"/>
        <v>11.137233716013622</v>
      </c>
      <c r="T151" s="307">
        <f t="shared" si="53"/>
        <v>11.290435874371479</v>
      </c>
      <c r="U151" s="307">
        <f t="shared" si="53"/>
        <v>11.444358082873631</v>
      </c>
      <c r="V151" s="307">
        <f t="shared" si="53"/>
        <v>11.59900372575574</v>
      </c>
      <c r="W151" s="307">
        <f t="shared" si="53"/>
        <v>11.754376203159392</v>
      </c>
      <c r="X151" s="307">
        <f t="shared" si="53"/>
        <v>11.910478931206843</v>
      </c>
      <c r="Y151" s="307">
        <f t="shared" si="53"/>
        <v>12.067315342076117</v>
      </c>
      <c r="Z151" s="307">
        <f t="shared" si="53"/>
        <v>12.224888884076467</v>
      </c>
      <c r="AA151" s="307">
        <f t="shared" si="53"/>
        <v>12.383203021724231</v>
      </c>
      <c r="AB151" s="307">
        <f t="shared" si="53"/>
        <v>12.542261235818938</v>
      </c>
      <c r="AC151" s="307">
        <f t="shared" si="53"/>
        <v>12.702067023519891</v>
      </c>
      <c r="AD151" s="307">
        <f t="shared" si="53"/>
        <v>12.862623898423028</v>
      </c>
      <c r="AE151" s="307">
        <f t="shared" si="53"/>
        <v>13.023935390638218</v>
      </c>
      <c r="AF151" s="307">
        <f t="shared" si="53"/>
        <v>13.186005046866821</v>
      </c>
      <c r="AG151" s="307">
        <f t="shared" si="53"/>
        <v>13.34883643047969</v>
      </c>
      <c r="AH151" s="307">
        <f t="shared" si="53"/>
        <v>13.512433121595546</v>
      </c>
      <c r="AI151" s="307">
        <f t="shared" si="53"/>
        <v>13.676798717159652</v>
      </c>
      <c r="AJ151" s="307">
        <f t="shared" si="53"/>
        <v>13.841936831022903</v>
      </c>
      <c r="AK151" s="307">
        <f t="shared" si="53"/>
        <v>14.007851094021309</v>
      </c>
      <c r="AL151" s="307">
        <f t="shared" si="53"/>
        <v>14.17454515405581</v>
      </c>
      <c r="AM151" s="307">
        <f t="shared" si="53"/>
        <v>14.342022676172466</v>
      </c>
      <c r="AN151" s="307">
        <f t="shared" si="53"/>
        <v>14.510287342643078</v>
      </c>
      <c r="AO151" s="307">
        <f t="shared" si="53"/>
        <v>14.679342853046112</v>
      </c>
      <c r="AP151" s="307">
        <f t="shared" si="53"/>
        <v>14.849192924348028</v>
      </c>
      <c r="AQ151" s="307">
        <f t="shared" si="53"/>
        <v>15.01984129098506</v>
      </c>
      <c r="AR151" s="307">
        <f t="shared" si="53"/>
        <v>15.191291704945296</v>
      </c>
      <c r="AS151" s="307">
        <f t="shared" si="53"/>
        <v>15.363547935851134</v>
      </c>
      <c r="AT151" s="307">
        <f t="shared" si="53"/>
        <v>15.536613771042237</v>
      </c>
      <c r="AU151" s="307">
        <f t="shared" si="53"/>
        <v>15.710493015658731</v>
      </c>
      <c r="AV151" s="307">
        <f t="shared" si="53"/>
        <v>15.885189492724937</v>
      </c>
      <c r="AW151" s="307">
        <f t="shared" si="53"/>
        <v>16.060707043233354</v>
      </c>
      <c r="AX151" s="307">
        <f t="shared" si="53"/>
        <v>16.237049526229146</v>
      </c>
      <c r="AY151" s="307">
        <f t="shared" si="53"/>
        <v>16.414220818895014</v>
      </c>
      <c r="AZ151" s="307">
        <f t="shared" si="53"/>
        <v>16.592224816636421</v>
      </c>
      <c r="BA151" s="307">
        <f t="shared" si="53"/>
        <v>16.77106543316722</v>
      </c>
      <c r="BB151" s="307">
        <f t="shared" si="53"/>
        <v>16.950746600595703</v>
      </c>
      <c r="BC151" s="307">
        <f t="shared" si="53"/>
        <v>17.131272269511111</v>
      </c>
    </row>
    <row r="152" spans="2:58" s="206" customFormat="1" ht="16.95" customHeight="1" outlineLevel="1" x14ac:dyDescent="0.3">
      <c r="B152" s="206" t="s">
        <v>413</v>
      </c>
      <c r="C152" s="307">
        <f>C63</f>
        <v>23.022329775588723</v>
      </c>
      <c r="D152" s="307">
        <f>IF(SUM($C$152:C152)&lt;'R&amp;C-Painel de Controle'!$H$24,D63,0)</f>
        <v>34.093760247647126</v>
      </c>
      <c r="E152" s="307">
        <f>IF(SUM($C$152:D152)&lt;'R&amp;C-Painel de Controle'!$H$24,E63,0)</f>
        <v>29.602485045997867</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6.0487185994248058</v>
      </c>
      <c r="D153" s="307">
        <f t="shared" si="54"/>
        <v>-4.8805829553507927</v>
      </c>
      <c r="E153" s="307">
        <f t="shared" si="54"/>
        <v>-0.24651083050750699</v>
      </c>
      <c r="F153" s="307">
        <f t="shared" si="54"/>
        <v>9.2096188858488404</v>
      </c>
      <c r="G153" s="307">
        <f t="shared" si="54"/>
        <v>9.3537612545049349</v>
      </c>
      <c r="H153" s="307">
        <f t="shared" si="54"/>
        <v>9.4985810922937084</v>
      </c>
      <c r="I153" s="307">
        <f t="shared" si="54"/>
        <v>9.6440815833200908</v>
      </c>
      <c r="J153" s="307">
        <f t="shared" si="54"/>
        <v>9.7902659266542962</v>
      </c>
      <c r="K153" s="307">
        <f t="shared" si="54"/>
        <v>9.93713733640217</v>
      </c>
      <c r="L153" s="307">
        <f t="shared" si="54"/>
        <v>10.084699041775863</v>
      </c>
      <c r="M153" s="307">
        <f t="shared" si="54"/>
        <v>10.232954287164812</v>
      </c>
      <c r="N153" s="307">
        <f t="shared" si="54"/>
        <v>10.381906332207087</v>
      </c>
      <c r="O153" s="307">
        <f t="shared" si="54"/>
        <v>10.531558451861063</v>
      </c>
      <c r="P153" s="307">
        <f t="shared" si="54"/>
        <v>10.681913936477404</v>
      </c>
      <c r="Q153" s="307">
        <f t="shared" si="54"/>
        <v>10.832976091871455</v>
      </c>
      <c r="R153" s="307">
        <f t="shared" si="54"/>
        <v>10.984748239395859</v>
      </c>
      <c r="S153" s="307">
        <f t="shared" si="54"/>
        <v>11.137233716013622</v>
      </c>
      <c r="T153" s="307">
        <f t="shared" si="54"/>
        <v>11.290435874371479</v>
      </c>
      <c r="U153" s="307">
        <f t="shared" si="54"/>
        <v>11.444358082873631</v>
      </c>
      <c r="V153" s="307">
        <f t="shared" si="54"/>
        <v>11.59900372575574</v>
      </c>
      <c r="W153" s="307">
        <f t="shared" si="54"/>
        <v>11.754376203159392</v>
      </c>
      <c r="X153" s="307">
        <f t="shared" si="54"/>
        <v>11.910478931206843</v>
      </c>
      <c r="Y153" s="307">
        <f t="shared" si="54"/>
        <v>12.067315342076117</v>
      </c>
      <c r="Z153" s="307">
        <f t="shared" si="54"/>
        <v>12.224888884076467</v>
      </c>
      <c r="AA153" s="307">
        <f t="shared" si="54"/>
        <v>12.383203021724231</v>
      </c>
      <c r="AB153" s="307">
        <f t="shared" si="54"/>
        <v>12.542261235818938</v>
      </c>
      <c r="AC153" s="307">
        <f t="shared" si="54"/>
        <v>12.702067023519891</v>
      </c>
      <c r="AD153" s="307">
        <f t="shared" si="54"/>
        <v>12.862623898423028</v>
      </c>
      <c r="AE153" s="307">
        <f t="shared" si="54"/>
        <v>13.023935390638218</v>
      </c>
      <c r="AF153" s="307">
        <f t="shared" si="54"/>
        <v>13.186005046866821</v>
      </c>
      <c r="AG153" s="307">
        <f t="shared" si="54"/>
        <v>13.34883643047969</v>
      </c>
      <c r="AH153" s="307">
        <f t="shared" si="54"/>
        <v>13.512433121595546</v>
      </c>
      <c r="AI153" s="307">
        <f t="shared" si="54"/>
        <v>13.676798717159652</v>
      </c>
      <c r="AJ153" s="307">
        <f t="shared" si="54"/>
        <v>13.841936831022903</v>
      </c>
      <c r="AK153" s="307">
        <f t="shared" si="54"/>
        <v>14.007851094021309</v>
      </c>
      <c r="AL153" s="307">
        <f t="shared" si="54"/>
        <v>14.17454515405581</v>
      </c>
      <c r="AM153" s="307">
        <f t="shared" si="54"/>
        <v>14.342022676172466</v>
      </c>
      <c r="AN153" s="307">
        <f t="shared" si="54"/>
        <v>14.510287342643078</v>
      </c>
      <c r="AO153" s="307">
        <f t="shared" si="54"/>
        <v>14.679342853046112</v>
      </c>
      <c r="AP153" s="307">
        <f t="shared" si="54"/>
        <v>14.849192924348028</v>
      </c>
      <c r="AQ153" s="307">
        <f t="shared" si="54"/>
        <v>15.01984129098506</v>
      </c>
      <c r="AR153" s="307">
        <f t="shared" si="54"/>
        <v>15.191291704945296</v>
      </c>
      <c r="AS153" s="307">
        <f t="shared" si="54"/>
        <v>15.363547935851134</v>
      </c>
      <c r="AT153" s="307">
        <f t="shared" si="54"/>
        <v>15.536613771042237</v>
      </c>
      <c r="AU153" s="307">
        <f t="shared" si="54"/>
        <v>15.710493015658731</v>
      </c>
      <c r="AV153" s="307">
        <f t="shared" si="54"/>
        <v>15.885189492724937</v>
      </c>
      <c r="AW153" s="307">
        <f t="shared" si="54"/>
        <v>16.060707043233354</v>
      </c>
      <c r="AX153" s="307">
        <f t="shared" si="54"/>
        <v>16.237049526229146</v>
      </c>
      <c r="AY153" s="307">
        <f t="shared" si="54"/>
        <v>16.414220818895014</v>
      </c>
      <c r="AZ153" s="307">
        <f t="shared" si="54"/>
        <v>16.592224816636421</v>
      </c>
      <c r="BA153" s="307">
        <f t="shared" si="54"/>
        <v>16.77106543316722</v>
      </c>
      <c r="BB153" s="307">
        <f t="shared" si="54"/>
        <v>16.950746600595703</v>
      </c>
      <c r="BC153" s="307">
        <f t="shared" si="54"/>
        <v>17.131272269511111</v>
      </c>
    </row>
    <row r="154" spans="2:58" s="206" customFormat="1" ht="16.95" customHeight="1" outlineLevel="1" x14ac:dyDescent="0.3">
      <c r="B154" s="301" t="s">
        <v>415</v>
      </c>
      <c r="C154" s="307">
        <f>IF((C153&gt;0),C153*(1-($C$26+$C$25)),C153)</f>
        <v>3.9921542756203721</v>
      </c>
      <c r="D154" s="307">
        <f t="shared" ref="D154:BC154" si="55">IF((D153&gt;0),D153*(1-($C$26+$C$25)),D153)</f>
        <v>-4.8805829553507927</v>
      </c>
      <c r="E154" s="307">
        <f t="shared" si="55"/>
        <v>-0.24651083050750699</v>
      </c>
      <c r="F154" s="307">
        <f t="shared" si="55"/>
        <v>6.0783484646602348</v>
      </c>
      <c r="G154" s="307">
        <f t="shared" si="55"/>
        <v>6.1734824279732576</v>
      </c>
      <c r="H154" s="307">
        <f t="shared" si="55"/>
        <v>6.2690635209138481</v>
      </c>
      <c r="I154" s="307">
        <f t="shared" si="55"/>
        <v>6.36509384499126</v>
      </c>
      <c r="J154" s="307">
        <f t="shared" si="55"/>
        <v>6.4615755115918354</v>
      </c>
      <c r="K154" s="307">
        <f t="shared" si="55"/>
        <v>6.5585106420254329</v>
      </c>
      <c r="L154" s="307">
        <f t="shared" si="55"/>
        <v>6.6559013675720697</v>
      </c>
      <c r="M154" s="307">
        <f t="shared" si="55"/>
        <v>6.7537498295287763</v>
      </c>
      <c r="N154" s="307">
        <f t="shared" si="55"/>
        <v>6.8520581792566784</v>
      </c>
      <c r="O154" s="307">
        <f t="shared" si="55"/>
        <v>6.9508285782283021</v>
      </c>
      <c r="P154" s="307">
        <f t="shared" si="55"/>
        <v>7.0500631980750867</v>
      </c>
      <c r="Q154" s="307">
        <f t="shared" si="55"/>
        <v>7.1497642206351602</v>
      </c>
      <c r="R154" s="307">
        <f t="shared" si="55"/>
        <v>7.2499338380012679</v>
      </c>
      <c r="S154" s="307">
        <f t="shared" si="55"/>
        <v>7.3505742525689906</v>
      </c>
      <c r="T154" s="307">
        <f t="shared" si="55"/>
        <v>7.4516876770851761</v>
      </c>
      <c r="U154" s="307">
        <f t="shared" si="55"/>
        <v>7.553276334696597</v>
      </c>
      <c r="V154" s="307">
        <f t="shared" si="55"/>
        <v>7.6553424589987884</v>
      </c>
      <c r="W154" s="307">
        <f t="shared" si="55"/>
        <v>7.7578882940851992</v>
      </c>
      <c r="X154" s="307">
        <f t="shared" si="55"/>
        <v>7.8609160945965169</v>
      </c>
      <c r="Y154" s="307">
        <f t="shared" si="55"/>
        <v>7.9644281257702376</v>
      </c>
      <c r="Z154" s="307">
        <f t="shared" si="55"/>
        <v>8.0684266634904684</v>
      </c>
      <c r="AA154" s="307">
        <f t="shared" si="55"/>
        <v>8.1729139943379927</v>
      </c>
      <c r="AB154" s="307">
        <f t="shared" si="55"/>
        <v>8.2778924156404994</v>
      </c>
      <c r="AC154" s="307">
        <f t="shared" si="55"/>
        <v>8.3833642355231284</v>
      </c>
      <c r="AD154" s="307">
        <f t="shared" si="55"/>
        <v>8.4893317729591988</v>
      </c>
      <c r="AE154" s="307">
        <f t="shared" si="55"/>
        <v>8.5957973578212243</v>
      </c>
      <c r="AF154" s="307">
        <f t="shared" si="55"/>
        <v>8.7027633309321022</v>
      </c>
      <c r="AG154" s="307">
        <f t="shared" si="55"/>
        <v>8.8102320441165958</v>
      </c>
      <c r="AH154" s="307">
        <f t="shared" si="55"/>
        <v>8.9182058602530603</v>
      </c>
      <c r="AI154" s="307">
        <f t="shared" si="55"/>
        <v>9.026687153325371</v>
      </c>
      <c r="AJ154" s="307">
        <f t="shared" si="55"/>
        <v>9.1356783084751161</v>
      </c>
      <c r="AK154" s="307">
        <f t="shared" si="55"/>
        <v>9.2451817220540633</v>
      </c>
      <c r="AL154" s="307">
        <f t="shared" si="55"/>
        <v>9.3551998016768358</v>
      </c>
      <c r="AM154" s="307">
        <f t="shared" si="55"/>
        <v>9.4657349662738284</v>
      </c>
      <c r="AN154" s="307">
        <f t="shared" si="55"/>
        <v>9.576789646144432</v>
      </c>
      <c r="AO154" s="307">
        <f t="shared" si="55"/>
        <v>9.6883662830104349</v>
      </c>
      <c r="AP154" s="307">
        <f t="shared" si="55"/>
        <v>9.8004673300696989</v>
      </c>
      <c r="AQ154" s="307">
        <f t="shared" si="55"/>
        <v>9.9130952520501392</v>
      </c>
      <c r="AR154" s="307">
        <f t="shared" si="55"/>
        <v>10.026252525263896</v>
      </c>
      <c r="AS154" s="307">
        <f t="shared" si="55"/>
        <v>10.139941637661749</v>
      </c>
      <c r="AT154" s="307">
        <f t="shared" si="55"/>
        <v>10.254165088887877</v>
      </c>
      <c r="AU154" s="307">
        <f t="shared" si="55"/>
        <v>10.368925390334763</v>
      </c>
      <c r="AV154" s="307">
        <f t="shared" si="55"/>
        <v>10.484225065198459</v>
      </c>
      <c r="AW154" s="307">
        <f t="shared" si="55"/>
        <v>10.600066648534014</v>
      </c>
      <c r="AX154" s="307">
        <f t="shared" si="55"/>
        <v>10.716452687311238</v>
      </c>
      <c r="AY154" s="307">
        <f t="shared" si="55"/>
        <v>10.83338574047071</v>
      </c>
      <c r="AZ154" s="307">
        <f t="shared" si="55"/>
        <v>10.950868378980038</v>
      </c>
      <c r="BA154" s="307">
        <f t="shared" si="55"/>
        <v>11.068903185890365</v>
      </c>
      <c r="BB154" s="307">
        <f t="shared" si="55"/>
        <v>11.187492756393166</v>
      </c>
      <c r="BC154" s="307">
        <f t="shared" si="55"/>
        <v>11.306639697877333</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3.9921542756203721</v>
      </c>
      <c r="D156" s="307">
        <f t="shared" ref="D156:BC156" si="56">D154</f>
        <v>-4.8805829553507927</v>
      </c>
      <c r="E156" s="307">
        <f t="shared" si="56"/>
        <v>-0.24651083050750699</v>
      </c>
      <c r="F156" s="307">
        <f t="shared" si="56"/>
        <v>6.0783484646602348</v>
      </c>
      <c r="G156" s="307">
        <f t="shared" si="56"/>
        <v>6.1734824279732576</v>
      </c>
      <c r="H156" s="307">
        <f t="shared" si="56"/>
        <v>6.2690635209138481</v>
      </c>
      <c r="I156" s="307">
        <f t="shared" si="56"/>
        <v>6.36509384499126</v>
      </c>
      <c r="J156" s="307">
        <f t="shared" si="56"/>
        <v>6.4615755115918354</v>
      </c>
      <c r="K156" s="307">
        <f t="shared" si="56"/>
        <v>6.5585106420254329</v>
      </c>
      <c r="L156" s="307">
        <f t="shared" si="56"/>
        <v>6.6559013675720697</v>
      </c>
      <c r="M156" s="307">
        <f t="shared" si="56"/>
        <v>6.7537498295287763</v>
      </c>
      <c r="N156" s="307">
        <f t="shared" si="56"/>
        <v>6.8520581792566784</v>
      </c>
      <c r="O156" s="307">
        <f t="shared" si="56"/>
        <v>6.9508285782283021</v>
      </c>
      <c r="P156" s="307">
        <f t="shared" si="56"/>
        <v>7.0500631980750867</v>
      </c>
      <c r="Q156" s="307">
        <f t="shared" si="56"/>
        <v>7.1497642206351602</v>
      </c>
      <c r="R156" s="307">
        <f t="shared" si="56"/>
        <v>7.2499338380012679</v>
      </c>
      <c r="S156" s="307">
        <f t="shared" si="56"/>
        <v>7.3505742525689906</v>
      </c>
      <c r="T156" s="307">
        <f t="shared" si="56"/>
        <v>7.4516876770851761</v>
      </c>
      <c r="U156" s="307">
        <f t="shared" si="56"/>
        <v>7.553276334696597</v>
      </c>
      <c r="V156" s="307">
        <f t="shared" si="56"/>
        <v>7.6553424589987884</v>
      </c>
      <c r="W156" s="307">
        <f t="shared" si="56"/>
        <v>7.7578882940851992</v>
      </c>
      <c r="X156" s="307">
        <f t="shared" si="56"/>
        <v>7.8609160945965169</v>
      </c>
      <c r="Y156" s="307">
        <f t="shared" si="56"/>
        <v>7.9644281257702376</v>
      </c>
      <c r="Z156" s="307">
        <f t="shared" si="56"/>
        <v>8.0684266634904684</v>
      </c>
      <c r="AA156" s="307">
        <f t="shared" si="56"/>
        <v>8.1729139943379927</v>
      </c>
      <c r="AB156" s="307">
        <f t="shared" si="56"/>
        <v>8.2778924156404994</v>
      </c>
      <c r="AC156" s="307">
        <f t="shared" si="56"/>
        <v>8.3833642355231284</v>
      </c>
      <c r="AD156" s="307">
        <f t="shared" si="56"/>
        <v>8.4893317729591988</v>
      </c>
      <c r="AE156" s="307">
        <f t="shared" si="56"/>
        <v>8.5957973578212243</v>
      </c>
      <c r="AF156" s="307">
        <f t="shared" si="56"/>
        <v>8.7027633309321022</v>
      </c>
      <c r="AG156" s="307">
        <f t="shared" si="56"/>
        <v>8.8102320441165958</v>
      </c>
      <c r="AH156" s="307">
        <f t="shared" si="56"/>
        <v>8.9182058602530603</v>
      </c>
      <c r="AI156" s="307">
        <f t="shared" si="56"/>
        <v>9.026687153325371</v>
      </c>
      <c r="AJ156" s="307">
        <f t="shared" si="56"/>
        <v>9.1356783084751161</v>
      </c>
      <c r="AK156" s="307">
        <f t="shared" si="56"/>
        <v>9.2451817220540633</v>
      </c>
      <c r="AL156" s="307">
        <f t="shared" si="56"/>
        <v>9.3551998016768358</v>
      </c>
      <c r="AM156" s="307">
        <f t="shared" si="56"/>
        <v>9.4657349662738284</v>
      </c>
      <c r="AN156" s="307">
        <f t="shared" si="56"/>
        <v>9.576789646144432</v>
      </c>
      <c r="AO156" s="307">
        <f t="shared" si="56"/>
        <v>9.6883662830104349</v>
      </c>
      <c r="AP156" s="307">
        <f t="shared" si="56"/>
        <v>9.8004673300696989</v>
      </c>
      <c r="AQ156" s="307">
        <f t="shared" si="56"/>
        <v>9.9130952520501392</v>
      </c>
      <c r="AR156" s="307">
        <f t="shared" si="56"/>
        <v>10.026252525263896</v>
      </c>
      <c r="AS156" s="307">
        <f t="shared" si="56"/>
        <v>10.139941637661749</v>
      </c>
      <c r="AT156" s="307">
        <f t="shared" si="56"/>
        <v>10.254165088887877</v>
      </c>
      <c r="AU156" s="307">
        <f t="shared" si="56"/>
        <v>10.368925390334763</v>
      </c>
      <c r="AV156" s="307">
        <f t="shared" si="56"/>
        <v>10.484225065198459</v>
      </c>
      <c r="AW156" s="307">
        <f t="shared" si="56"/>
        <v>10.600066648534014</v>
      </c>
      <c r="AX156" s="307">
        <f t="shared" si="56"/>
        <v>10.716452687311238</v>
      </c>
      <c r="AY156" s="307">
        <f t="shared" si="56"/>
        <v>10.83338574047071</v>
      </c>
      <c r="AZ156" s="307">
        <f t="shared" si="56"/>
        <v>10.950868378980038</v>
      </c>
      <c r="BA156" s="307">
        <f t="shared" si="56"/>
        <v>11.068903185890365</v>
      </c>
      <c r="BB156" s="307">
        <f t="shared" si="56"/>
        <v>11.187492756393166</v>
      </c>
      <c r="BC156" s="307">
        <f t="shared" si="56"/>
        <v>11.306639697877333</v>
      </c>
    </row>
    <row r="157" spans="2:58" s="309" customFormat="1" ht="16.95" customHeight="1" outlineLevel="1" x14ac:dyDescent="0.3">
      <c r="B157" s="309" t="s">
        <v>465</v>
      </c>
      <c r="C157" s="310">
        <f>C156</f>
        <v>3.9921542756203721</v>
      </c>
      <c r="D157" s="310">
        <f t="shared" ref="D157:BC157" si="57">C157+D156</f>
        <v>-0.88842867973042061</v>
      </c>
      <c r="E157" s="310">
        <f t="shared" si="57"/>
        <v>-1.1349395102379276</v>
      </c>
      <c r="F157" s="310">
        <f t="shared" si="57"/>
        <v>4.9434089544223072</v>
      </c>
      <c r="G157" s="310">
        <f t="shared" si="57"/>
        <v>11.116891382395565</v>
      </c>
      <c r="H157" s="310">
        <f t="shared" si="57"/>
        <v>17.385954903309411</v>
      </c>
      <c r="I157" s="310">
        <f t="shared" si="57"/>
        <v>23.751048748300672</v>
      </c>
      <c r="J157" s="310">
        <f t="shared" si="57"/>
        <v>30.212624259892507</v>
      </c>
      <c r="K157" s="310">
        <f t="shared" si="57"/>
        <v>36.771134901917939</v>
      </c>
      <c r="L157" s="310">
        <f t="shared" si="57"/>
        <v>43.42703626949001</v>
      </c>
      <c r="M157" s="310">
        <f t="shared" si="57"/>
        <v>50.180786099018789</v>
      </c>
      <c r="N157" s="310">
        <f t="shared" si="57"/>
        <v>57.032844278275469</v>
      </c>
      <c r="O157" s="310">
        <f t="shared" si="57"/>
        <v>63.983672856503773</v>
      </c>
      <c r="P157" s="310">
        <f t="shared" si="57"/>
        <v>71.033736054578867</v>
      </c>
      <c r="Q157" s="310">
        <f t="shared" si="57"/>
        <v>78.18350027521403</v>
      </c>
      <c r="R157" s="310">
        <f t="shared" si="57"/>
        <v>85.433434113215299</v>
      </c>
      <c r="S157" s="310">
        <f t="shared" si="57"/>
        <v>92.784008365784288</v>
      </c>
      <c r="T157" s="310">
        <f t="shared" si="57"/>
        <v>100.23569604286946</v>
      </c>
      <c r="U157" s="310">
        <f t="shared" si="57"/>
        <v>107.78897237756605</v>
      </c>
      <c r="V157" s="310">
        <f t="shared" si="57"/>
        <v>115.44431483656484</v>
      </c>
      <c r="W157" s="310">
        <f t="shared" si="57"/>
        <v>123.20220313065005</v>
      </c>
      <c r="X157" s="310">
        <f t="shared" si="57"/>
        <v>131.06311922524657</v>
      </c>
      <c r="Y157" s="310">
        <f t="shared" si="57"/>
        <v>139.02754735101681</v>
      </c>
      <c r="Z157" s="310">
        <f t="shared" si="57"/>
        <v>147.09597401450728</v>
      </c>
      <c r="AA157" s="310">
        <f t="shared" si="57"/>
        <v>155.26888800884527</v>
      </c>
      <c r="AB157" s="310">
        <f t="shared" si="57"/>
        <v>163.54678042448577</v>
      </c>
      <c r="AC157" s="310">
        <f t="shared" si="57"/>
        <v>171.93014466000889</v>
      </c>
      <c r="AD157" s="310">
        <f t="shared" si="57"/>
        <v>180.41947643296808</v>
      </c>
      <c r="AE157" s="310">
        <f t="shared" si="57"/>
        <v>189.01527379078931</v>
      </c>
      <c r="AF157" s="310">
        <f t="shared" si="57"/>
        <v>197.71803712172141</v>
      </c>
      <c r="AG157" s="310">
        <f t="shared" si="57"/>
        <v>206.528269165838</v>
      </c>
      <c r="AH157" s="310">
        <f t="shared" si="57"/>
        <v>215.44647502609106</v>
      </c>
      <c r="AI157" s="310">
        <f t="shared" si="57"/>
        <v>224.47316217941645</v>
      </c>
      <c r="AJ157" s="310">
        <f t="shared" si="57"/>
        <v>233.60884048789157</v>
      </c>
      <c r="AK157" s="310">
        <f t="shared" si="57"/>
        <v>242.85402220994564</v>
      </c>
      <c r="AL157" s="310">
        <f t="shared" si="57"/>
        <v>252.20922201162247</v>
      </c>
      <c r="AM157" s="310">
        <f t="shared" si="57"/>
        <v>261.67495697789627</v>
      </c>
      <c r="AN157" s="310">
        <f t="shared" si="57"/>
        <v>271.25174662404072</v>
      </c>
      <c r="AO157" s="310">
        <f t="shared" si="57"/>
        <v>280.94011290705117</v>
      </c>
      <c r="AP157" s="310">
        <f t="shared" si="57"/>
        <v>290.74058023712087</v>
      </c>
      <c r="AQ157" s="310">
        <f t="shared" si="57"/>
        <v>300.65367548917101</v>
      </c>
      <c r="AR157" s="310">
        <f t="shared" si="57"/>
        <v>310.67992801443489</v>
      </c>
      <c r="AS157" s="310">
        <f t="shared" si="57"/>
        <v>320.81986965209666</v>
      </c>
      <c r="AT157" s="310">
        <f t="shared" si="57"/>
        <v>331.07403474098453</v>
      </c>
      <c r="AU157" s="310">
        <f t="shared" si="57"/>
        <v>341.4429601313193</v>
      </c>
      <c r="AV157" s="310">
        <f t="shared" si="57"/>
        <v>351.92718519651777</v>
      </c>
      <c r="AW157" s="310">
        <f t="shared" si="57"/>
        <v>362.52725184505181</v>
      </c>
      <c r="AX157" s="310">
        <f t="shared" si="57"/>
        <v>373.24370453236304</v>
      </c>
      <c r="AY157" s="310">
        <f t="shared" si="57"/>
        <v>384.07709027283374</v>
      </c>
      <c r="AZ157" s="310">
        <f t="shared" si="57"/>
        <v>395.02795865181378</v>
      </c>
      <c r="BA157" s="310">
        <f t="shared" si="57"/>
        <v>406.09686183770413</v>
      </c>
      <c r="BB157" s="310">
        <f t="shared" si="57"/>
        <v>417.28435459409729</v>
      </c>
      <c r="BC157" s="310">
        <f t="shared" si="57"/>
        <v>428.59099429197465</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3.6378296661384839</v>
      </c>
      <c r="D159" s="312">
        <f t="shared" ref="D159:BC159" si="58">NPV($C$28,D156)</f>
        <v>-4.4474056454809485</v>
      </c>
      <c r="E159" s="312">
        <f t="shared" si="58"/>
        <v>-0.22463170266767543</v>
      </c>
      <c r="F159" s="312">
        <f t="shared" si="58"/>
        <v>5.5388631899582972</v>
      </c>
      <c r="G159" s="312">
        <f t="shared" si="58"/>
        <v>5.6255535155579173</v>
      </c>
      <c r="H159" s="312">
        <f t="shared" si="58"/>
        <v>5.7126512856878513</v>
      </c>
      <c r="I159" s="312">
        <f t="shared" si="58"/>
        <v>5.800158415337398</v>
      </c>
      <c r="J159" s="312">
        <f t="shared" si="58"/>
        <v>5.8880768284962963</v>
      </c>
      <c r="K159" s="312">
        <f t="shared" si="58"/>
        <v>5.9764084581970414</v>
      </c>
      <c r="L159" s="312">
        <f t="shared" si="58"/>
        <v>6.0651552465573815</v>
      </c>
      <c r="M159" s="312">
        <f t="shared" si="58"/>
        <v>6.154319144823015</v>
      </c>
      <c r="N159" s="312">
        <f t="shared" si="58"/>
        <v>6.2439021134104964</v>
      </c>
      <c r="O159" s="312">
        <f t="shared" si="58"/>
        <v>6.3339061219503394</v>
      </c>
      <c r="P159" s="312">
        <f t="shared" si="58"/>
        <v>6.4243331493303142</v>
      </c>
      <c r="Q159" s="312">
        <f t="shared" si="58"/>
        <v>6.5151851837389838</v>
      </c>
      <c r="R159" s="312">
        <f t="shared" si="58"/>
        <v>6.6064642227093753</v>
      </c>
      <c r="S159" s="312">
        <f t="shared" si="58"/>
        <v>6.6981722731629221</v>
      </c>
      <c r="T159" s="312">
        <f t="shared" si="58"/>
        <v>6.790311351453596</v>
      </c>
      <c r="U159" s="312">
        <f t="shared" si="58"/>
        <v>6.882883483412245</v>
      </c>
      <c r="V159" s="312">
        <f t="shared" si="58"/>
        <v>6.9758907043910963</v>
      </c>
      <c r="W159" s="312">
        <f t="shared" si="58"/>
        <v>7.0693350593085471</v>
      </c>
      <c r="X159" s="312">
        <f t="shared" si="58"/>
        <v>7.1632186026941111</v>
      </c>
      <c r="Y159" s="312">
        <f t="shared" si="58"/>
        <v>7.2575433987335867</v>
      </c>
      <c r="Z159" s="312">
        <f t="shared" si="58"/>
        <v>7.3523115213144425</v>
      </c>
      <c r="AA159" s="312">
        <f t="shared" si="58"/>
        <v>7.4475250540714351</v>
      </c>
      <c r="AB159" s="312">
        <f t="shared" si="58"/>
        <v>7.5431860904323855</v>
      </c>
      <c r="AC159" s="312">
        <f t="shared" si="58"/>
        <v>7.6392967336642323</v>
      </c>
      <c r="AD159" s="312">
        <f t="shared" si="58"/>
        <v>7.7358590969192633</v>
      </c>
      <c r="AE159" s="312">
        <f t="shared" si="58"/>
        <v>7.8328753032815976</v>
      </c>
      <c r="AF159" s="312">
        <f t="shared" si="58"/>
        <v>7.9303474858138348</v>
      </c>
      <c r="AG159" s="312">
        <f t="shared" si="58"/>
        <v>8.0282777876039688</v>
      </c>
      <c r="AH159" s="312">
        <f t="shared" si="58"/>
        <v>8.1266683618125217</v>
      </c>
      <c r="AI159" s="312">
        <f t="shared" si="58"/>
        <v>8.2255213717198572</v>
      </c>
      <c r="AJ159" s="312">
        <f t="shared" si="58"/>
        <v>8.3248389907737526</v>
      </c>
      <c r="AK159" s="312">
        <f t="shared" si="58"/>
        <v>8.4246234026372004</v>
      </c>
      <c r="AL159" s="312">
        <f t="shared" si="58"/>
        <v>8.5248768012364096</v>
      </c>
      <c r="AM159" s="312">
        <f t="shared" si="58"/>
        <v>8.6256013908090292</v>
      </c>
      <c r="AN159" s="312">
        <f t="shared" si="58"/>
        <v>8.7267993859526456</v>
      </c>
      <c r="AO159" s="312">
        <f t="shared" si="58"/>
        <v>8.8284730116734416</v>
      </c>
      <c r="AP159" s="312">
        <f t="shared" si="58"/>
        <v>8.9306245034351193</v>
      </c>
      <c r="AQ159" s="312">
        <f t="shared" si="58"/>
        <v>9.0332561072080733</v>
      </c>
      <c r="AR159" s="312">
        <f t="shared" si="58"/>
        <v>9.1363700795187679</v>
      </c>
      <c r="AS159" s="312">
        <f t="shared" si="58"/>
        <v>9.2399686874993172</v>
      </c>
      <c r="AT159" s="312">
        <f t="shared" si="58"/>
        <v>9.3440542089373775</v>
      </c>
      <c r="AU159" s="312">
        <f t="shared" si="58"/>
        <v>9.4486289323261925</v>
      </c>
      <c r="AV159" s="312">
        <f t="shared" si="58"/>
        <v>9.5536951569149444</v>
      </c>
      <c r="AW159" s="312">
        <f t="shared" si="58"/>
        <v>9.6592551927592627</v>
      </c>
      <c r="AX159" s="312">
        <f t="shared" si="58"/>
        <v>9.7653113607720421</v>
      </c>
      <c r="AY159" s="312">
        <f t="shared" si="58"/>
        <v>9.8718659927744774</v>
      </c>
      <c r="AZ159" s="312">
        <f t="shared" si="58"/>
        <v>9.9789214315473291</v>
      </c>
      <c r="BA159" s="312">
        <f t="shared" si="58"/>
        <v>10.086480030882418</v>
      </c>
      <c r="BB159" s="312">
        <f t="shared" si="58"/>
        <v>10.194544155634379</v>
      </c>
      <c r="BC159" s="312">
        <f t="shared" si="58"/>
        <v>10.303116181772676</v>
      </c>
    </row>
    <row r="160" spans="2:58" s="309" customFormat="1" ht="16.95" customHeight="1" outlineLevel="1" x14ac:dyDescent="0.3">
      <c r="B160" s="313" t="s">
        <v>467</v>
      </c>
      <c r="C160" s="312">
        <f>C159</f>
        <v>3.6378296661384839</v>
      </c>
      <c r="D160" s="312">
        <f t="shared" ref="D160:BC160" si="59">C160+D159</f>
        <v>-0.80957597934246461</v>
      </c>
      <c r="E160" s="312">
        <f t="shared" si="59"/>
        <v>-1.03420768201014</v>
      </c>
      <c r="F160" s="312">
        <f t="shared" si="59"/>
        <v>4.5046555079481569</v>
      </c>
      <c r="G160" s="312">
        <f t="shared" si="59"/>
        <v>10.130209023506074</v>
      </c>
      <c r="H160" s="312">
        <f t="shared" si="59"/>
        <v>15.842860309193926</v>
      </c>
      <c r="I160" s="312">
        <f t="shared" si="59"/>
        <v>21.643018724531323</v>
      </c>
      <c r="J160" s="312">
        <f t="shared" si="59"/>
        <v>27.531095553027619</v>
      </c>
      <c r="K160" s="312">
        <f t="shared" si="59"/>
        <v>33.507504011224661</v>
      </c>
      <c r="L160" s="312">
        <f t="shared" si="59"/>
        <v>39.572659257782043</v>
      </c>
      <c r="M160" s="312">
        <f t="shared" si="59"/>
        <v>45.726978402605056</v>
      </c>
      <c r="N160" s="312">
        <f t="shared" si="59"/>
        <v>51.970880516015555</v>
      </c>
      <c r="O160" s="312">
        <f t="shared" si="59"/>
        <v>58.304786637965897</v>
      </c>
      <c r="P160" s="312">
        <f t="shared" si="59"/>
        <v>64.729119787296213</v>
      </c>
      <c r="Q160" s="312">
        <f t="shared" si="59"/>
        <v>71.244304971035191</v>
      </c>
      <c r="R160" s="312">
        <f t="shared" si="59"/>
        <v>77.850769193744568</v>
      </c>
      <c r="S160" s="312">
        <f t="shared" si="59"/>
        <v>84.548941466907493</v>
      </c>
      <c r="T160" s="312">
        <f t="shared" si="59"/>
        <v>91.339252818361089</v>
      </c>
      <c r="U160" s="312">
        <f t="shared" si="59"/>
        <v>98.222136301773332</v>
      </c>
      <c r="V160" s="312">
        <f t="shared" si="59"/>
        <v>105.19802700616442</v>
      </c>
      <c r="W160" s="312">
        <f t="shared" si="59"/>
        <v>112.26736206547297</v>
      </c>
      <c r="X160" s="312">
        <f t="shared" si="59"/>
        <v>119.43058066816708</v>
      </c>
      <c r="Y160" s="312">
        <f t="shared" si="59"/>
        <v>126.68812406690067</v>
      </c>
      <c r="Z160" s="312">
        <f t="shared" si="59"/>
        <v>134.0404355882151</v>
      </c>
      <c r="AA160" s="312">
        <f t="shared" si="59"/>
        <v>141.48796064228654</v>
      </c>
      <c r="AB160" s="312">
        <f t="shared" si="59"/>
        <v>149.03114673271892</v>
      </c>
      <c r="AC160" s="312">
        <f t="shared" si="59"/>
        <v>156.67044346638315</v>
      </c>
      <c r="AD160" s="312">
        <f t="shared" si="59"/>
        <v>164.4063025633024</v>
      </c>
      <c r="AE160" s="312">
        <f t="shared" si="59"/>
        <v>172.23917786658401</v>
      </c>
      <c r="AF160" s="312">
        <f t="shared" si="59"/>
        <v>180.16952535239784</v>
      </c>
      <c r="AG160" s="312">
        <f t="shared" si="59"/>
        <v>188.19780314000181</v>
      </c>
      <c r="AH160" s="312">
        <f t="shared" si="59"/>
        <v>196.32447150181434</v>
      </c>
      <c r="AI160" s="312">
        <f t="shared" si="59"/>
        <v>204.54999287353419</v>
      </c>
      <c r="AJ160" s="312">
        <f t="shared" si="59"/>
        <v>212.87483186430794</v>
      </c>
      <c r="AK160" s="312">
        <f t="shared" si="59"/>
        <v>221.29945526694513</v>
      </c>
      <c r="AL160" s="312">
        <f t="shared" si="59"/>
        <v>229.82433206818155</v>
      </c>
      <c r="AM160" s="312">
        <f t="shared" si="59"/>
        <v>238.44993345899059</v>
      </c>
      <c r="AN160" s="312">
        <f t="shared" si="59"/>
        <v>247.17673284494322</v>
      </c>
      <c r="AO160" s="312">
        <f t="shared" si="59"/>
        <v>256.00520585661667</v>
      </c>
      <c r="AP160" s="312">
        <f t="shared" si="59"/>
        <v>264.9358303600518</v>
      </c>
      <c r="AQ160" s="312">
        <f t="shared" si="59"/>
        <v>273.96908646725984</v>
      </c>
      <c r="AR160" s="312">
        <f t="shared" si="59"/>
        <v>283.10545654677861</v>
      </c>
      <c r="AS160" s="312">
        <f t="shared" si="59"/>
        <v>292.34542523427791</v>
      </c>
      <c r="AT160" s="312">
        <f t="shared" si="59"/>
        <v>301.6894794432153</v>
      </c>
      <c r="AU160" s="312">
        <f t="shared" si="59"/>
        <v>311.13810837554149</v>
      </c>
      <c r="AV160" s="312">
        <f t="shared" si="59"/>
        <v>320.69180353245645</v>
      </c>
      <c r="AW160" s="312">
        <f t="shared" si="59"/>
        <v>330.35105872521569</v>
      </c>
      <c r="AX160" s="312">
        <f t="shared" si="59"/>
        <v>340.11637008598774</v>
      </c>
      <c r="AY160" s="312">
        <f t="shared" si="59"/>
        <v>349.98823607876221</v>
      </c>
      <c r="AZ160" s="312">
        <f t="shared" si="59"/>
        <v>359.96715751030956</v>
      </c>
      <c r="BA160" s="312">
        <f t="shared" si="59"/>
        <v>370.05363754119196</v>
      </c>
      <c r="BB160" s="312">
        <f t="shared" si="59"/>
        <v>380.24818169682635</v>
      </c>
      <c r="BC160" s="312">
        <f t="shared" si="59"/>
        <v>390.55129787859903</v>
      </c>
    </row>
    <row r="161" spans="1:58" s="309" customFormat="1" ht="16.95" customHeight="1" outlineLevel="1" x14ac:dyDescent="0.3">
      <c r="B161" s="309" t="s">
        <v>416</v>
      </c>
      <c r="C161" s="310">
        <f t="shared" ref="C161:AH161" si="60">C156/(1+$C$28)^C32</f>
        <v>3.9921542756203721</v>
      </c>
      <c r="D161" s="310">
        <f t="shared" si="60"/>
        <v>-4.4474056454809485</v>
      </c>
      <c r="E161" s="310">
        <f t="shared" si="60"/>
        <v>-0.2046944620627624</v>
      </c>
      <c r="F161" s="310">
        <f t="shared" si="60"/>
        <v>4.5992892838565282</v>
      </c>
      <c r="G161" s="310">
        <f t="shared" si="60"/>
        <v>4.2566740209609248</v>
      </c>
      <c r="H161" s="310">
        <f t="shared" si="60"/>
        <v>3.9389266272812073</v>
      </c>
      <c r="I161" s="310">
        <f t="shared" si="60"/>
        <v>3.6443080132152352</v>
      </c>
      <c r="J161" s="310">
        <f t="shared" si="60"/>
        <v>3.3711939039832752</v>
      </c>
      <c r="K161" s="310">
        <f t="shared" si="60"/>
        <v>3.1180679891218208</v>
      </c>
      <c r="L161" s="310">
        <f t="shared" si="60"/>
        <v>2.883515397865462</v>
      </c>
      <c r="M161" s="310">
        <f t="shared" si="60"/>
        <v>2.6662164953247731</v>
      </c>
      <c r="N161" s="310">
        <f t="shared" si="60"/>
        <v>2.4649409928069277</v>
      </c>
      <c r="O161" s="310">
        <f t="shared" si="60"/>
        <v>2.278542364373187</v>
      </c>
      <c r="P161" s="310">
        <f t="shared" si="60"/>
        <v>2.1059525607416503</v>
      </c>
      <c r="Q161" s="310">
        <f t="shared" si="60"/>
        <v>1.946177010887987</v>
      </c>
      <c r="R161" s="310">
        <f t="shared" si="60"/>
        <v>1.7982899011386921</v>
      </c>
      <c r="S161" s="310">
        <f t="shared" si="60"/>
        <v>1.6614297211623705</v>
      </c>
      <c r="T161" s="310">
        <f t="shared" si="60"/>
        <v>1.534795066019278</v>
      </c>
      <c r="U161" s="310">
        <f t="shared" si="60"/>
        <v>1.4176406833061026</v>
      </c>
      <c r="V161" s="310">
        <f t="shared" si="60"/>
        <v>1.3092737544122861</v>
      </c>
      <c r="W161" s="310">
        <f t="shared" si="60"/>
        <v>1.2090503989693255</v>
      </c>
      <c r="X161" s="310">
        <f t="shared" si="60"/>
        <v>1.1163723917106321</v>
      </c>
      <c r="Y161" s="310">
        <f t="shared" si="60"/>
        <v>1.030684081154003</v>
      </c>
      <c r="Z161" s="310">
        <f t="shared" si="60"/>
        <v>0.95146949976036199</v>
      </c>
      <c r="AA161" s="310">
        <f t="shared" si="60"/>
        <v>0.87824965550156109</v>
      </c>
      <c r="AB161" s="310">
        <f t="shared" si="60"/>
        <v>0.81057999507836731</v>
      </c>
      <c r="AC161" s="310">
        <f t="shared" si="60"/>
        <v>0.74804802936021453</v>
      </c>
      <c r="AD161" s="310">
        <f t="shared" si="60"/>
        <v>0.69027111196459234</v>
      </c>
      <c r="AE161" s="310">
        <f t="shared" si="60"/>
        <v>0.63689436225102136</v>
      </c>
      <c r="AF161" s="310">
        <f t="shared" si="60"/>
        <v>0.58758872436781329</v>
      </c>
      <c r="AG161" s="310">
        <f t="shared" si="60"/>
        <v>0.54204915435559964</v>
      </c>
      <c r="AH161" s="310">
        <f t="shared" si="60"/>
        <v>0.49999292767669429</v>
      </c>
      <c r="AI161" s="310">
        <f t="shared" ref="AI161:BC161" si="61">AI156/(1+$C$28)^AI32</f>
        <v>0.46115805990115699</v>
      </c>
      <c r="AJ161" s="310">
        <f t="shared" si="61"/>
        <v>0.4253018336367671</v>
      </c>
      <c r="AK161" s="310">
        <f t="shared" si="61"/>
        <v>0.39219942513922434</v>
      </c>
      <c r="AL161" s="310">
        <f t="shared" si="61"/>
        <v>0.36164262437934996</v>
      </c>
      <c r="AM161" s="310">
        <f t="shared" si="61"/>
        <v>0.33343864267476436</v>
      </c>
      <c r="AN161" s="310">
        <f t="shared" si="61"/>
        <v>0.30740900231358109</v>
      </c>
      <c r="AO161" s="310">
        <f t="shared" si="61"/>
        <v>0.28338850290645506</v>
      </c>
      <c r="AP161" s="310">
        <f t="shared" si="61"/>
        <v>0.26122425950041428</v>
      </c>
      <c r="AQ161" s="310">
        <f t="shared" si="61"/>
        <v>0.24077480777299243</v>
      </c>
      <c r="AR161" s="310">
        <f t="shared" si="61"/>
        <v>0.22190927189810933</v>
      </c>
      <c r="AS161" s="310">
        <f t="shared" si="61"/>
        <v>0.20450659093591239</v>
      </c>
      <c r="AT161" s="310">
        <f t="shared" si="61"/>
        <v>0.18845479984742808</v>
      </c>
      <c r="AU161" s="310">
        <f t="shared" si="61"/>
        <v>0.17365036147153265</v>
      </c>
      <c r="AV161" s="310">
        <f t="shared" si="61"/>
        <v>0.15999754602666202</v>
      </c>
      <c r="AW161" s="310">
        <f t="shared" si="61"/>
        <v>0.14740785491307271</v>
      </c>
      <c r="AX161" s="310">
        <f t="shared" si="61"/>
        <v>0.13579948579368092</v>
      </c>
      <c r="AY161" s="310">
        <f t="shared" si="61"/>
        <v>0.12509683612285466</v>
      </c>
      <c r="AZ161" s="310">
        <f t="shared" si="61"/>
        <v>0.11523004247339563</v>
      </c>
      <c r="BA161" s="310">
        <f t="shared" si="61"/>
        <v>0.10613455318270305</v>
      </c>
      <c r="BB161" s="310">
        <f t="shared" si="61"/>
        <v>9.7750732000151441E-2</v>
      </c>
      <c r="BC161" s="310">
        <f t="shared" si="61"/>
        <v>9.0023490569444115E-2</v>
      </c>
    </row>
    <row r="162" spans="1:58" s="309" customFormat="1" ht="16.95" customHeight="1" outlineLevel="1" x14ac:dyDescent="0.3">
      <c r="B162" s="314" t="s">
        <v>417</v>
      </c>
      <c r="C162" s="310">
        <f>C161</f>
        <v>3.9921542756203721</v>
      </c>
      <c r="D162" s="310">
        <f t="shared" ref="D162:BC162" si="62">C162+D161</f>
        <v>-0.45525136986057646</v>
      </c>
      <c r="E162" s="310">
        <f t="shared" si="62"/>
        <v>-0.65994583192333889</v>
      </c>
      <c r="F162" s="310">
        <f t="shared" si="62"/>
        <v>3.9393434519331896</v>
      </c>
      <c r="G162" s="310">
        <f t="shared" si="62"/>
        <v>8.1960174728941144</v>
      </c>
      <c r="H162" s="310">
        <f t="shared" si="62"/>
        <v>12.134944100175321</v>
      </c>
      <c r="I162" s="310">
        <f t="shared" si="62"/>
        <v>15.779252113390557</v>
      </c>
      <c r="J162" s="310">
        <f t="shared" si="62"/>
        <v>19.150446017373831</v>
      </c>
      <c r="K162" s="310">
        <f t="shared" si="62"/>
        <v>22.26851400649565</v>
      </c>
      <c r="L162" s="310">
        <f t="shared" si="62"/>
        <v>25.152029404361112</v>
      </c>
      <c r="M162" s="310">
        <f t="shared" si="62"/>
        <v>27.818245899685884</v>
      </c>
      <c r="N162" s="310">
        <f t="shared" si="62"/>
        <v>30.283186892492811</v>
      </c>
      <c r="O162" s="310">
        <f t="shared" si="62"/>
        <v>32.561729256865995</v>
      </c>
      <c r="P162" s="310">
        <f t="shared" si="62"/>
        <v>34.667681817607644</v>
      </c>
      <c r="Q162" s="310">
        <f t="shared" si="62"/>
        <v>36.61385882849563</v>
      </c>
      <c r="R162" s="310">
        <f t="shared" si="62"/>
        <v>38.412148729634325</v>
      </c>
      <c r="S162" s="310">
        <f t="shared" si="62"/>
        <v>40.073578450796695</v>
      </c>
      <c r="T162" s="310">
        <f t="shared" si="62"/>
        <v>41.608373516815973</v>
      </c>
      <c r="U162" s="310">
        <f t="shared" si="62"/>
        <v>43.026014200122077</v>
      </c>
      <c r="V162" s="310">
        <f t="shared" si="62"/>
        <v>44.335287954534365</v>
      </c>
      <c r="W162" s="310">
        <f t="shared" si="62"/>
        <v>45.54433835350369</v>
      </c>
      <c r="X162" s="310">
        <f t="shared" si="62"/>
        <v>46.660710745214324</v>
      </c>
      <c r="Y162" s="310">
        <f t="shared" si="62"/>
        <v>47.691394826368324</v>
      </c>
      <c r="Z162" s="310">
        <f t="shared" si="62"/>
        <v>48.642864326128688</v>
      </c>
      <c r="AA162" s="310">
        <f t="shared" si="62"/>
        <v>49.521113981630251</v>
      </c>
      <c r="AB162" s="310">
        <f t="shared" si="62"/>
        <v>50.331693976708621</v>
      </c>
      <c r="AC162" s="310">
        <f t="shared" si="62"/>
        <v>51.079742006068834</v>
      </c>
      <c r="AD162" s="310">
        <f t="shared" si="62"/>
        <v>51.770013118033425</v>
      </c>
      <c r="AE162" s="310">
        <f t="shared" si="62"/>
        <v>52.406907480284445</v>
      </c>
      <c r="AF162" s="310">
        <f t="shared" si="62"/>
        <v>52.994496204652258</v>
      </c>
      <c r="AG162" s="310">
        <f t="shared" si="62"/>
        <v>53.53654535900786</v>
      </c>
      <c r="AH162" s="310">
        <f t="shared" si="62"/>
        <v>54.036538286684554</v>
      </c>
      <c r="AI162" s="310">
        <f t="shared" si="62"/>
        <v>54.497696346585712</v>
      </c>
      <c r="AJ162" s="310">
        <f t="shared" si="62"/>
        <v>54.922998180222478</v>
      </c>
      <c r="AK162" s="310">
        <f t="shared" si="62"/>
        <v>55.315197605361703</v>
      </c>
      <c r="AL162" s="310">
        <f t="shared" si="62"/>
        <v>55.676840229741053</v>
      </c>
      <c r="AM162" s="310">
        <f t="shared" si="62"/>
        <v>56.010278872415817</v>
      </c>
      <c r="AN162" s="310">
        <f t="shared" si="62"/>
        <v>56.317687874729401</v>
      </c>
      <c r="AO162" s="310">
        <f t="shared" si="62"/>
        <v>56.601076377635856</v>
      </c>
      <c r="AP162" s="310">
        <f t="shared" si="62"/>
        <v>56.862300637136272</v>
      </c>
      <c r="AQ162" s="310">
        <f t="shared" si="62"/>
        <v>57.103075444909265</v>
      </c>
      <c r="AR162" s="310">
        <f t="shared" si="62"/>
        <v>57.324984716807371</v>
      </c>
      <c r="AS162" s="310">
        <f t="shared" si="62"/>
        <v>57.529491307743285</v>
      </c>
      <c r="AT162" s="310">
        <f t="shared" si="62"/>
        <v>57.717946107590713</v>
      </c>
      <c r="AU162" s="310">
        <f t="shared" si="62"/>
        <v>57.891596469062243</v>
      </c>
      <c r="AV162" s="310">
        <f t="shared" si="62"/>
        <v>58.051594015088902</v>
      </c>
      <c r="AW162" s="310">
        <f t="shared" si="62"/>
        <v>58.199001870001972</v>
      </c>
      <c r="AX162" s="310">
        <f t="shared" si="62"/>
        <v>58.334801355795655</v>
      </c>
      <c r="AY162" s="310">
        <f t="shared" si="62"/>
        <v>58.459898191918512</v>
      </c>
      <c r="AZ162" s="310">
        <f t="shared" si="62"/>
        <v>58.575128234391904</v>
      </c>
      <c r="BA162" s="310">
        <f t="shared" si="62"/>
        <v>58.68126278757461</v>
      </c>
      <c r="BB162" s="310">
        <f t="shared" si="62"/>
        <v>58.779013519574761</v>
      </c>
      <c r="BC162" s="310">
        <f t="shared" si="62"/>
        <v>58.869037010144204</v>
      </c>
    </row>
    <row r="163" spans="1:58" s="309" customFormat="1" ht="16.95" customHeight="1" outlineLevel="1" x14ac:dyDescent="0.3">
      <c r="B163" s="314" t="s">
        <v>418</v>
      </c>
      <c r="C163" s="310">
        <f t="shared" ref="C163:AH163" si="63">C63/(1+$C$28)^C32</f>
        <v>23.022329775588723</v>
      </c>
      <c r="D163" s="310">
        <f t="shared" si="63"/>
        <v>31.067760386046224</v>
      </c>
      <c r="E163" s="310">
        <f t="shared" si="63"/>
        <v>24.580927092479097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-0.80074884995586171</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16.115630842912104</v>
      </c>
      <c r="D167" s="310">
        <f t="shared" ref="D167:BC167" si="66">D63*(1-$D$14)</f>
        <v>23.865632173352985</v>
      </c>
      <c r="E167" s="310">
        <f t="shared" si="66"/>
        <v>20.721739532198505</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16.115630842912104</v>
      </c>
      <c r="D168" s="310">
        <f t="shared" ref="D168:BC168" si="67">C173+D167</f>
        <v>39.981263016265089</v>
      </c>
      <c r="E168" s="310">
        <f t="shared" si="67"/>
        <v>60.703002548463594</v>
      </c>
      <c r="F168" s="310">
        <f t="shared" si="67"/>
        <v>60.703002548463594</v>
      </c>
      <c r="G168" s="310">
        <f t="shared" si="67"/>
        <v>57.667852421040415</v>
      </c>
      <c r="H168" s="310">
        <f t="shared" si="67"/>
        <v>54.632702293617236</v>
      </c>
      <c r="I168" s="310">
        <f t="shared" si="67"/>
        <v>51.597552166194056</v>
      </c>
      <c r="J168" s="310">
        <f t="shared" si="67"/>
        <v>48.562402038770877</v>
      </c>
      <c r="K168" s="310">
        <f t="shared" si="67"/>
        <v>45.527251911347697</v>
      </c>
      <c r="L168" s="310">
        <f t="shared" si="67"/>
        <v>42.492101783924518</v>
      </c>
      <c r="M168" s="310">
        <f t="shared" si="67"/>
        <v>39.456951656501339</v>
      </c>
      <c r="N168" s="310">
        <f t="shared" si="67"/>
        <v>36.421801529078159</v>
      </c>
      <c r="O168" s="310">
        <f t="shared" si="67"/>
        <v>33.38665140165498</v>
      </c>
      <c r="P168" s="310">
        <f t="shared" si="67"/>
        <v>30.351501274231801</v>
      </c>
      <c r="Q168" s="310">
        <f t="shared" si="67"/>
        <v>27.316351146808621</v>
      </c>
      <c r="R168" s="310">
        <f t="shared" si="67"/>
        <v>24.281201019385442</v>
      </c>
      <c r="S168" s="310">
        <f t="shared" si="67"/>
        <v>21.246050891962263</v>
      </c>
      <c r="T168" s="310">
        <f t="shared" si="67"/>
        <v>18.210900764539083</v>
      </c>
      <c r="U168" s="310">
        <f t="shared" si="67"/>
        <v>15.175750637115904</v>
      </c>
      <c r="V168" s="310">
        <f t="shared" si="67"/>
        <v>12.140600509692725</v>
      </c>
      <c r="W168" s="310">
        <f t="shared" si="67"/>
        <v>9.1054503822695452</v>
      </c>
      <c r="X168" s="310">
        <f t="shared" si="67"/>
        <v>6.0703002548463658</v>
      </c>
      <c r="Y168" s="310">
        <f t="shared" si="67"/>
        <v>3.035150127423186</v>
      </c>
      <c r="Z168" s="310">
        <f t="shared" si="67"/>
        <v>6.2172489379008766E-15</v>
      </c>
      <c r="AA168" s="310">
        <f t="shared" si="67"/>
        <v>6.2172489379008766E-15</v>
      </c>
      <c r="AB168" s="310">
        <f t="shared" si="67"/>
        <v>6.2172489379008766E-15</v>
      </c>
      <c r="AC168" s="310">
        <f t="shared" si="67"/>
        <v>6.2172489379008766E-15</v>
      </c>
      <c r="AD168" s="310">
        <f t="shared" si="67"/>
        <v>6.2172489379008766E-15</v>
      </c>
      <c r="AE168" s="310">
        <f t="shared" si="67"/>
        <v>6.2172489379008766E-15</v>
      </c>
      <c r="AF168" s="310">
        <f t="shared" si="67"/>
        <v>6.2172489379008766E-15</v>
      </c>
      <c r="AG168" s="310">
        <f t="shared" si="67"/>
        <v>6.2172489379008766E-15</v>
      </c>
      <c r="AH168" s="310">
        <f t="shared" si="67"/>
        <v>6.2172489379008766E-15</v>
      </c>
      <c r="AI168" s="310">
        <f t="shared" si="67"/>
        <v>6.2172489379008766E-15</v>
      </c>
      <c r="AJ168" s="310">
        <f t="shared" si="67"/>
        <v>6.2172489379008766E-15</v>
      </c>
      <c r="AK168" s="310">
        <f t="shared" si="67"/>
        <v>6.2172489379008766E-15</v>
      </c>
      <c r="AL168" s="310">
        <f t="shared" si="67"/>
        <v>6.2172489379008766E-15</v>
      </c>
      <c r="AM168" s="310">
        <f t="shared" si="67"/>
        <v>6.2172489379008766E-15</v>
      </c>
      <c r="AN168" s="310">
        <f t="shared" si="67"/>
        <v>6.2172489379008766E-15</v>
      </c>
      <c r="AO168" s="310">
        <f t="shared" si="67"/>
        <v>6.2172489379008766E-15</v>
      </c>
      <c r="AP168" s="310">
        <f t="shared" si="67"/>
        <v>6.2172489379008766E-15</v>
      </c>
      <c r="AQ168" s="310">
        <f t="shared" si="67"/>
        <v>6.2172489379008766E-15</v>
      </c>
      <c r="AR168" s="310">
        <f t="shared" si="67"/>
        <v>6.2172489379008766E-15</v>
      </c>
      <c r="AS168" s="310">
        <f t="shared" si="67"/>
        <v>6.2172489379008766E-15</v>
      </c>
      <c r="AT168" s="310">
        <f t="shared" si="67"/>
        <v>6.2172489379008766E-15</v>
      </c>
      <c r="AU168" s="310">
        <f t="shared" si="67"/>
        <v>6.2172489379008766E-15</v>
      </c>
      <c r="AV168" s="310">
        <f t="shared" si="67"/>
        <v>6.2172489379008766E-15</v>
      </c>
      <c r="AW168" s="310">
        <f t="shared" si="67"/>
        <v>6.2172489379008766E-15</v>
      </c>
      <c r="AX168" s="310">
        <f t="shared" si="67"/>
        <v>6.2172489379008766E-15</v>
      </c>
      <c r="AY168" s="310">
        <f t="shared" si="67"/>
        <v>6.2172489379008766E-15</v>
      </c>
      <c r="AZ168" s="310">
        <f t="shared" si="67"/>
        <v>6.2172489379008766E-15</v>
      </c>
      <c r="BA168" s="310">
        <f t="shared" si="67"/>
        <v>6.2172489379008766E-15</v>
      </c>
      <c r="BB168" s="310">
        <f t="shared" si="67"/>
        <v>6.2172489379008766E-15</v>
      </c>
      <c r="BC168" s="310">
        <f t="shared" si="67"/>
        <v>6.2172489379008766E-15</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-3.0351501274231798</v>
      </c>
      <c r="G171" s="310">
        <f t="shared" si="70"/>
        <v>-3.0351501274231798</v>
      </c>
      <c r="H171" s="310">
        <f t="shared" si="70"/>
        <v>-3.0351501274231798</v>
      </c>
      <c r="I171" s="310">
        <f t="shared" si="70"/>
        <v>-3.0351501274231798</v>
      </c>
      <c r="J171" s="310">
        <f t="shared" si="70"/>
        <v>-3.0351501274231798</v>
      </c>
      <c r="K171" s="310">
        <f t="shared" si="70"/>
        <v>-3.0351501274231798</v>
      </c>
      <c r="L171" s="310">
        <f t="shared" si="70"/>
        <v>-3.0351501274231798</v>
      </c>
      <c r="M171" s="310">
        <f t="shared" si="70"/>
        <v>-3.0351501274231798</v>
      </c>
      <c r="N171" s="310">
        <f t="shared" si="70"/>
        <v>-3.0351501274231798</v>
      </c>
      <c r="O171" s="310">
        <f t="shared" si="70"/>
        <v>-3.0351501274231798</v>
      </c>
      <c r="P171" s="310">
        <f t="shared" si="70"/>
        <v>-3.0351501274231798</v>
      </c>
      <c r="Q171" s="310">
        <f t="shared" si="70"/>
        <v>-3.0351501274231798</v>
      </c>
      <c r="R171" s="310">
        <f t="shared" si="70"/>
        <v>-3.0351501274231798</v>
      </c>
      <c r="S171" s="310">
        <f t="shared" si="70"/>
        <v>-3.0351501274231798</v>
      </c>
      <c r="T171" s="310">
        <f t="shared" si="70"/>
        <v>-3.0351501274231798</v>
      </c>
      <c r="U171" s="310">
        <f t="shared" si="70"/>
        <v>-3.0351501274231798</v>
      </c>
      <c r="V171" s="310">
        <f t="shared" si="70"/>
        <v>-3.0351501274231798</v>
      </c>
      <c r="W171" s="310">
        <f t="shared" si="70"/>
        <v>-3.0351501274231798</v>
      </c>
      <c r="X171" s="310">
        <f t="shared" si="70"/>
        <v>-3.0351501274231798</v>
      </c>
      <c r="Y171" s="310">
        <f t="shared" si="70"/>
        <v>-3.0351501274231798</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-0.70102994166667643</v>
      </c>
      <c r="E172" s="310">
        <f t="shared" si="72"/>
        <v>-1.7391849412075313</v>
      </c>
      <c r="F172" s="310">
        <f t="shared" si="72"/>
        <v>-3.0351501274231798</v>
      </c>
      <c r="G172" s="310">
        <f t="shared" si="72"/>
        <v>-2.8833926210520211</v>
      </c>
      <c r="H172" s="310">
        <f t="shared" si="72"/>
        <v>-2.731635114680862</v>
      </c>
      <c r="I172" s="310">
        <f t="shared" si="72"/>
        <v>-2.5798776083097028</v>
      </c>
      <c r="J172" s="310">
        <f t="shared" si="72"/>
        <v>-2.4281201019385441</v>
      </c>
      <c r="K172" s="310">
        <f t="shared" si="72"/>
        <v>-2.276362595567385</v>
      </c>
      <c r="L172" s="310">
        <f t="shared" si="72"/>
        <v>-2.1246050891962258</v>
      </c>
      <c r="M172" s="310">
        <f t="shared" si="72"/>
        <v>-1.9728475828250671</v>
      </c>
      <c r="N172" s="310">
        <f t="shared" si="72"/>
        <v>-1.821090076453908</v>
      </c>
      <c r="O172" s="310">
        <f t="shared" si="72"/>
        <v>-1.669332570082749</v>
      </c>
      <c r="P172" s="310">
        <f t="shared" si="72"/>
        <v>-1.5175750637115901</v>
      </c>
      <c r="Q172" s="310">
        <f t="shared" si="72"/>
        <v>-1.3658175573404312</v>
      </c>
      <c r="R172" s="310">
        <f t="shared" si="72"/>
        <v>-1.2140600509692723</v>
      </c>
      <c r="S172" s="310">
        <f t="shared" si="72"/>
        <v>-1.0623025445981131</v>
      </c>
      <c r="T172" s="310">
        <f t="shared" si="72"/>
        <v>-0.91054503822695421</v>
      </c>
      <c r="U172" s="310">
        <f t="shared" si="72"/>
        <v>-0.75878753185579528</v>
      </c>
      <c r="V172" s="310">
        <f t="shared" si="72"/>
        <v>-0.60703002548463625</v>
      </c>
      <c r="W172" s="310">
        <f t="shared" si="72"/>
        <v>-0.45527251911347727</v>
      </c>
      <c r="X172" s="310">
        <f t="shared" si="72"/>
        <v>-0.30351501274231829</v>
      </c>
      <c r="Y172" s="310">
        <f t="shared" si="72"/>
        <v>-0.15175750637115931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16.115630842912104</v>
      </c>
      <c r="D173" s="310">
        <f t="shared" ref="D173:BC173" si="74">D168+D171</f>
        <v>39.981263016265089</v>
      </c>
      <c r="E173" s="310">
        <f t="shared" si="74"/>
        <v>60.703002548463594</v>
      </c>
      <c r="F173" s="310">
        <f t="shared" si="74"/>
        <v>57.667852421040415</v>
      </c>
      <c r="G173" s="310">
        <f t="shared" si="74"/>
        <v>54.632702293617236</v>
      </c>
      <c r="H173" s="310">
        <f t="shared" si="74"/>
        <v>51.597552166194056</v>
      </c>
      <c r="I173" s="310">
        <f t="shared" si="74"/>
        <v>48.562402038770877</v>
      </c>
      <c r="J173" s="310">
        <f t="shared" si="74"/>
        <v>45.527251911347697</v>
      </c>
      <c r="K173" s="310">
        <f t="shared" si="74"/>
        <v>42.492101783924518</v>
      </c>
      <c r="L173" s="310">
        <f t="shared" si="74"/>
        <v>39.456951656501339</v>
      </c>
      <c r="M173" s="310">
        <f t="shared" si="74"/>
        <v>36.421801529078159</v>
      </c>
      <c r="N173" s="310">
        <f t="shared" si="74"/>
        <v>33.38665140165498</v>
      </c>
      <c r="O173" s="310">
        <f t="shared" si="74"/>
        <v>30.351501274231801</v>
      </c>
      <c r="P173" s="310">
        <f t="shared" si="74"/>
        <v>27.316351146808621</v>
      </c>
      <c r="Q173" s="310">
        <f t="shared" si="74"/>
        <v>24.281201019385442</v>
      </c>
      <c r="R173" s="310">
        <f t="shared" si="74"/>
        <v>21.246050891962263</v>
      </c>
      <c r="S173" s="310">
        <f t="shared" si="74"/>
        <v>18.210900764539083</v>
      </c>
      <c r="T173" s="310">
        <f t="shared" si="74"/>
        <v>15.175750637115904</v>
      </c>
      <c r="U173" s="310">
        <f t="shared" si="74"/>
        <v>12.140600509692725</v>
      </c>
      <c r="V173" s="310">
        <f t="shared" si="74"/>
        <v>9.1054503822695452</v>
      </c>
      <c r="W173" s="310">
        <f t="shared" si="74"/>
        <v>6.0703002548463658</v>
      </c>
      <c r="X173" s="310">
        <f t="shared" si="74"/>
        <v>3.035150127423186</v>
      </c>
      <c r="Y173" s="310">
        <f t="shared" si="74"/>
        <v>6.2172489379008766E-15</v>
      </c>
      <c r="Z173" s="310">
        <f t="shared" si="74"/>
        <v>6.2172489379008766E-15</v>
      </c>
      <c r="AA173" s="310">
        <f t="shared" si="74"/>
        <v>6.2172489379008766E-15</v>
      </c>
      <c r="AB173" s="310">
        <f t="shared" si="74"/>
        <v>6.2172489379008766E-15</v>
      </c>
      <c r="AC173" s="310">
        <f t="shared" si="74"/>
        <v>6.2172489379008766E-15</v>
      </c>
      <c r="AD173" s="310">
        <f t="shared" si="74"/>
        <v>6.2172489379008766E-15</v>
      </c>
      <c r="AE173" s="310">
        <f t="shared" si="74"/>
        <v>6.2172489379008766E-15</v>
      </c>
      <c r="AF173" s="310">
        <f t="shared" si="74"/>
        <v>6.2172489379008766E-15</v>
      </c>
      <c r="AG173" s="310">
        <f t="shared" si="74"/>
        <v>6.2172489379008766E-15</v>
      </c>
      <c r="AH173" s="310">
        <f t="shared" si="74"/>
        <v>6.2172489379008766E-15</v>
      </c>
      <c r="AI173" s="310">
        <f t="shared" si="74"/>
        <v>6.2172489379008766E-15</v>
      </c>
      <c r="AJ173" s="310">
        <f t="shared" si="74"/>
        <v>6.2172489379008766E-15</v>
      </c>
      <c r="AK173" s="310">
        <f t="shared" si="74"/>
        <v>6.2172489379008766E-15</v>
      </c>
      <c r="AL173" s="310">
        <f t="shared" si="74"/>
        <v>6.2172489379008766E-15</v>
      </c>
      <c r="AM173" s="310">
        <f t="shared" si="74"/>
        <v>6.2172489379008766E-15</v>
      </c>
      <c r="AN173" s="310">
        <f t="shared" si="74"/>
        <v>6.2172489379008766E-15</v>
      </c>
      <c r="AO173" s="310">
        <f t="shared" si="74"/>
        <v>6.2172489379008766E-15</v>
      </c>
      <c r="AP173" s="310">
        <f t="shared" si="74"/>
        <v>6.2172489379008766E-15</v>
      </c>
      <c r="AQ173" s="310">
        <f t="shared" si="74"/>
        <v>6.2172489379008766E-15</v>
      </c>
      <c r="AR173" s="310">
        <f t="shared" si="74"/>
        <v>6.2172489379008766E-15</v>
      </c>
      <c r="AS173" s="310">
        <f t="shared" si="74"/>
        <v>6.2172489379008766E-15</v>
      </c>
      <c r="AT173" s="310">
        <f t="shared" si="74"/>
        <v>6.2172489379008766E-15</v>
      </c>
      <c r="AU173" s="310">
        <f t="shared" si="74"/>
        <v>6.2172489379008766E-15</v>
      </c>
      <c r="AV173" s="310">
        <f t="shared" si="74"/>
        <v>6.2172489379008766E-15</v>
      </c>
      <c r="AW173" s="310">
        <f t="shared" si="74"/>
        <v>6.2172489379008766E-15</v>
      </c>
      <c r="AX173" s="310">
        <f t="shared" si="74"/>
        <v>6.2172489379008766E-15</v>
      </c>
      <c r="AY173" s="310">
        <f t="shared" si="74"/>
        <v>6.2172489379008766E-15</v>
      </c>
      <c r="AZ173" s="310">
        <f t="shared" si="74"/>
        <v>6.2172489379008766E-15</v>
      </c>
      <c r="BA173" s="310">
        <f t="shared" si="74"/>
        <v>6.2172489379008766E-15</v>
      </c>
      <c r="BB173" s="310">
        <f t="shared" si="74"/>
        <v>6.2172489379008766E-15</v>
      </c>
      <c r="BC173" s="310">
        <f t="shared" si="74"/>
        <v>6.2172489379008766E-15</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21.98283941408225</v>
      </c>
      <c r="D175" s="310">
        <f t="shared" ref="D175:BC175" si="75">D156+D167+D171+D172-D148+D35*$H$29*(1-0.0925-$C$10)/1000000+D149</f>
        <v>20.167886327074378</v>
      </c>
      <c r="E175" s="310">
        <f t="shared" si="75"/>
        <v>20.628764986360803</v>
      </c>
      <c r="F175" s="310">
        <f t="shared" si="75"/>
        <v>1.9096652254528306</v>
      </c>
      <c r="G175" s="310">
        <f t="shared" si="75"/>
        <v>2.1654942951105176</v>
      </c>
      <c r="H175" s="310">
        <f t="shared" si="75"/>
        <v>2.4218125011156459</v>
      </c>
      <c r="I175" s="310">
        <f t="shared" si="75"/>
        <v>2.6786221424090493</v>
      </c>
      <c r="J175" s="310">
        <f t="shared" si="75"/>
        <v>2.9359255287365933</v>
      </c>
      <c r="K175" s="310">
        <f t="shared" si="75"/>
        <v>3.1937249806999302</v>
      </c>
      <c r="L175" s="310">
        <f t="shared" si="75"/>
        <v>3.4520228298075599</v>
      </c>
      <c r="M175" s="310">
        <f t="shared" si="75"/>
        <v>3.7108214185260358</v>
      </c>
      <c r="N175" s="310">
        <f t="shared" si="75"/>
        <v>3.9701231003315534</v>
      </c>
      <c r="O175" s="310">
        <f t="shared" si="75"/>
        <v>4.2299302397616119</v>
      </c>
      <c r="P175" s="310">
        <f t="shared" si="75"/>
        <v>4.4902452124670429</v>
      </c>
      <c r="Q175" s="310">
        <f t="shared" si="75"/>
        <v>4.7510704052642438</v>
      </c>
      <c r="R175" s="310">
        <f t="shared" si="75"/>
        <v>5.0124082161876542</v>
      </c>
      <c r="S175" s="310">
        <f t="shared" si="75"/>
        <v>5.2742610545424586</v>
      </c>
      <c r="T175" s="310">
        <f t="shared" si="75"/>
        <v>5.5366313409575838</v>
      </c>
      <c r="U175" s="310">
        <f t="shared" si="75"/>
        <v>5.7995215074389144</v>
      </c>
      <c r="V175" s="310">
        <f t="shared" si="75"/>
        <v>6.062933997422757</v>
      </c>
      <c r="W175" s="310">
        <f t="shared" si="75"/>
        <v>6.3268712658295883</v>
      </c>
      <c r="X175" s="310">
        <f t="shared" si="75"/>
        <v>6.5913357791179914</v>
      </c>
      <c r="Y175" s="310">
        <f t="shared" si="75"/>
        <v>6.8563300153389033</v>
      </c>
      <c r="Z175" s="310">
        <f t="shared" si="75"/>
        <v>10.157006591613285</v>
      </c>
      <c r="AA175" s="310">
        <f t="shared" si="75"/>
        <v>10.27131024812298</v>
      </c>
      <c r="AB175" s="310">
        <f t="shared" si="75"/>
        <v>10.386151131818274</v>
      </c>
      <c r="AC175" s="310">
        <f t="shared" si="75"/>
        <v>10.501531767666922</v>
      </c>
      <c r="AD175" s="310">
        <f t="shared" si="75"/>
        <v>10.617454692504088</v>
      </c>
      <c r="AE175" s="310">
        <f t="shared" si="75"/>
        <v>10.733922455087971</v>
      </c>
      <c r="AF175" s="310">
        <f t="shared" si="75"/>
        <v>10.850937616156003</v>
      </c>
      <c r="AG175" s="310">
        <f t="shared" si="75"/>
        <v>10.96850274848105</v>
      </c>
      <c r="AH175" s="310">
        <f t="shared" si="75"/>
        <v>11.086620436928023</v>
      </c>
      <c r="AI175" s="310">
        <f t="shared" si="75"/>
        <v>11.205293278510695</v>
      </c>
      <c r="AJ175" s="310">
        <f t="shared" si="75"/>
        <v>11.324523882448817</v>
      </c>
      <c r="AK175" s="310">
        <f t="shared" si="75"/>
        <v>11.444314870225446</v>
      </c>
      <c r="AL175" s="310">
        <f t="shared" si="75"/>
        <v>11.564668875644619</v>
      </c>
      <c r="AM175" s="310">
        <f t="shared" si="75"/>
        <v>11.685588544889271</v>
      </c>
      <c r="AN175" s="310">
        <f t="shared" si="75"/>
        <v>11.807076536579361</v>
      </c>
      <c r="AO175" s="310">
        <f t="shared" si="75"/>
        <v>11.929135521830405</v>
      </c>
      <c r="AP175" s="310">
        <f t="shared" si="75"/>
        <v>12.051768184312124</v>
      </c>
      <c r="AQ175" s="310">
        <f t="shared" si="75"/>
        <v>12.174977220307516</v>
      </c>
      <c r="AR175" s="310">
        <f t="shared" si="75"/>
        <v>12.298765338772073</v>
      </c>
      <c r="AS175" s="310">
        <f t="shared" si="75"/>
        <v>12.423135261393416</v>
      </c>
      <c r="AT175" s="310">
        <f t="shared" si="75"/>
        <v>12.548089722651083</v>
      </c>
      <c r="AU175" s="310">
        <f t="shared" si="75"/>
        <v>12.673631469876659</v>
      </c>
      <c r="AV175" s="310">
        <f t="shared" si="75"/>
        <v>12.799763263314187</v>
      </c>
      <c r="AW175" s="310">
        <f t="shared" si="75"/>
        <v>12.926487876180879</v>
      </c>
      <c r="AX175" s="310">
        <f t="shared" si="75"/>
        <v>13.053808094728053</v>
      </c>
      <c r="AY175" s="310">
        <f t="shared" si="75"/>
        <v>13.181726718302395</v>
      </c>
      <c r="AZ175" s="310">
        <f t="shared" si="75"/>
        <v>13.310246559407531</v>
      </c>
      <c r="BA175" s="310">
        <f t="shared" si="75"/>
        <v>13.43937044376586</v>
      </c>
      <c r="BB175" s="310">
        <f t="shared" si="75"/>
        <v>13.56910121038068</v>
      </c>
      <c r="BC175" s="310">
        <f t="shared" si="75"/>
        <v>13.699441711598576</v>
      </c>
    </row>
    <row r="176" spans="1:58" s="309" customFormat="1" ht="16.95" customHeight="1" outlineLevel="1" x14ac:dyDescent="0.3">
      <c r="B176" s="309" t="s">
        <v>471</v>
      </c>
      <c r="C176" s="310">
        <f>C175</f>
        <v>21.98283941408225</v>
      </c>
      <c r="D176" s="310">
        <f t="shared" ref="D176:BC176" si="76">C176+D175</f>
        <v>42.150725741156627</v>
      </c>
      <c r="E176" s="310">
        <f t="shared" si="76"/>
        <v>62.779490727517427</v>
      </c>
      <c r="F176" s="310">
        <f t="shared" si="76"/>
        <v>64.689155952970253</v>
      </c>
      <c r="G176" s="310">
        <f t="shared" si="76"/>
        <v>66.854650248080773</v>
      </c>
      <c r="H176" s="310">
        <f t="shared" si="76"/>
        <v>69.276462749196412</v>
      </c>
      <c r="I176" s="310">
        <f t="shared" si="76"/>
        <v>71.955084891605466</v>
      </c>
      <c r="J176" s="310">
        <f t="shared" si="76"/>
        <v>74.891010420342056</v>
      </c>
      <c r="K176" s="310">
        <f t="shared" si="76"/>
        <v>78.084735401041982</v>
      </c>
      <c r="L176" s="310">
        <f t="shared" si="76"/>
        <v>81.536758230849543</v>
      </c>
      <c r="M176" s="310">
        <f t="shared" si="76"/>
        <v>85.247579649375581</v>
      </c>
      <c r="N176" s="310">
        <f t="shared" si="76"/>
        <v>89.217702749707129</v>
      </c>
      <c r="O176" s="310">
        <f t="shared" si="76"/>
        <v>93.447632989468744</v>
      </c>
      <c r="P176" s="310">
        <f t="shared" si="76"/>
        <v>97.937878201935789</v>
      </c>
      <c r="Q176" s="310">
        <f t="shared" si="76"/>
        <v>102.68894860720003</v>
      </c>
      <c r="R176" s="310">
        <f t="shared" si="76"/>
        <v>107.70135682338768</v>
      </c>
      <c r="S176" s="310">
        <f t="shared" si="76"/>
        <v>112.97561787793015</v>
      </c>
      <c r="T176" s="310">
        <f t="shared" si="76"/>
        <v>118.51224921888773</v>
      </c>
      <c r="U176" s="310">
        <f t="shared" si="76"/>
        <v>124.31177072632664</v>
      </c>
      <c r="V176" s="310">
        <f t="shared" si="76"/>
        <v>130.3747047237494</v>
      </c>
      <c r="W176" s="310">
        <f t="shared" si="76"/>
        <v>136.701575989579</v>
      </c>
      <c r="X176" s="310">
        <f t="shared" si="76"/>
        <v>143.292911768697</v>
      </c>
      <c r="Y176" s="310">
        <f t="shared" si="76"/>
        <v>150.14924178403589</v>
      </c>
      <c r="Z176" s="310">
        <f t="shared" si="76"/>
        <v>160.30624837564918</v>
      </c>
      <c r="AA176" s="310">
        <f t="shared" si="76"/>
        <v>170.57755862377215</v>
      </c>
      <c r="AB176" s="310">
        <f t="shared" si="76"/>
        <v>180.96370975559043</v>
      </c>
      <c r="AC176" s="310">
        <f t="shared" si="76"/>
        <v>191.46524152325736</v>
      </c>
      <c r="AD176" s="310">
        <f t="shared" si="76"/>
        <v>202.08269621576144</v>
      </c>
      <c r="AE176" s="310">
        <f t="shared" si="76"/>
        <v>212.81661867084941</v>
      </c>
      <c r="AF176" s="310">
        <f t="shared" si="76"/>
        <v>223.66755628700543</v>
      </c>
      <c r="AG176" s="310">
        <f t="shared" si="76"/>
        <v>234.63605903548648</v>
      </c>
      <c r="AH176" s="310">
        <f t="shared" si="76"/>
        <v>245.72267947241451</v>
      </c>
      <c r="AI176" s="310">
        <f t="shared" si="76"/>
        <v>256.92797275092522</v>
      </c>
      <c r="AJ176" s="310">
        <f t="shared" si="76"/>
        <v>268.25249663337405</v>
      </c>
      <c r="AK176" s="310">
        <f t="shared" si="76"/>
        <v>279.69681150359952</v>
      </c>
      <c r="AL176" s="310">
        <f t="shared" si="76"/>
        <v>291.26148037924412</v>
      </c>
      <c r="AM176" s="310">
        <f t="shared" si="76"/>
        <v>302.94706892413342</v>
      </c>
      <c r="AN176" s="310">
        <f t="shared" si="76"/>
        <v>314.75414546071278</v>
      </c>
      <c r="AO176" s="310">
        <f t="shared" si="76"/>
        <v>326.68328098254318</v>
      </c>
      <c r="AP176" s="310">
        <f t="shared" si="76"/>
        <v>338.73504916685533</v>
      </c>
      <c r="AQ176" s="310">
        <f t="shared" si="76"/>
        <v>350.91002638716287</v>
      </c>
      <c r="AR176" s="310">
        <f t="shared" si="76"/>
        <v>363.20879172593493</v>
      </c>
      <c r="AS176" s="310">
        <f t="shared" si="76"/>
        <v>375.63192698732837</v>
      </c>
      <c r="AT176" s="310">
        <f t="shared" si="76"/>
        <v>388.18001670997944</v>
      </c>
      <c r="AU176" s="310">
        <f t="shared" si="76"/>
        <v>400.85364817985612</v>
      </c>
      <c r="AV176" s="310">
        <f t="shared" si="76"/>
        <v>413.65341144317028</v>
      </c>
      <c r="AW176" s="310">
        <f t="shared" si="76"/>
        <v>426.57989931935117</v>
      </c>
      <c r="AX176" s="310">
        <f t="shared" si="76"/>
        <v>439.6337074140792</v>
      </c>
      <c r="AY176" s="310">
        <f t="shared" si="76"/>
        <v>452.8154341323816</v>
      </c>
      <c r="AZ176" s="310">
        <f t="shared" si="76"/>
        <v>466.12568069178911</v>
      </c>
      <c r="BA176" s="310">
        <f t="shared" si="76"/>
        <v>479.565051135555</v>
      </c>
      <c r="BB176" s="310">
        <f t="shared" si="76"/>
        <v>493.13415234593566</v>
      </c>
      <c r="BC176" s="310">
        <f t="shared" si="76"/>
        <v>506.83359405753424</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20.726795600680983</v>
      </c>
      <c r="D178" s="312">
        <f t="shared" ref="D178:BC178" si="77">NPV($D$28,D175)</f>
        <v>19.015544340066356</v>
      </c>
      <c r="E178" s="312">
        <f t="shared" si="77"/>
        <v>19.450089559080524</v>
      </c>
      <c r="F178" s="312">
        <f t="shared" si="77"/>
        <v>1.8005517871514525</v>
      </c>
      <c r="G178" s="312">
        <f t="shared" si="77"/>
        <v>2.0417634311809518</v>
      </c>
      <c r="H178" s="312">
        <f t="shared" si="77"/>
        <v>2.2834362635448295</v>
      </c>
      <c r="I178" s="312">
        <f t="shared" si="77"/>
        <v>2.525572451828257</v>
      </c>
      <c r="J178" s="312">
        <f t="shared" si="77"/>
        <v>2.7681741738040668</v>
      </c>
      <c r="K178" s="312">
        <f t="shared" si="77"/>
        <v>3.0112436174806056</v>
      </c>
      <c r="L178" s="312">
        <f t="shared" si="77"/>
        <v>3.2547829811498774</v>
      </c>
      <c r="M178" s="312">
        <f t="shared" si="77"/>
        <v>3.4987944734358249</v>
      </c>
      <c r="N178" s="312">
        <f t="shared" si="77"/>
        <v>3.7432803133429693</v>
      </c>
      <c r="O178" s="312">
        <f t="shared" si="77"/>
        <v>3.9882427303051213</v>
      </c>
      <c r="P178" s="312">
        <f t="shared" si="77"/>
        <v>4.2336839642344364</v>
      </c>
      <c r="Q178" s="312">
        <f t="shared" si="77"/>
        <v>4.4796062655706619</v>
      </c>
      <c r="R178" s="312">
        <f t="shared" si="77"/>
        <v>4.7260118953306192</v>
      </c>
      <c r="S178" s="312">
        <f t="shared" si="77"/>
        <v>4.9729031251578908</v>
      </c>
      <c r="T178" s="312">
        <f t="shared" si="77"/>
        <v>5.2202822373727926</v>
      </c>
      <c r="U178" s="312">
        <f t="shared" si="77"/>
        <v>5.4681515250225479</v>
      </c>
      <c r="V178" s="312">
        <f t="shared" si="77"/>
        <v>5.7165132919316965</v>
      </c>
      <c r="W178" s="312">
        <f t="shared" si="77"/>
        <v>5.9653698527527705</v>
      </c>
      <c r="X178" s="312">
        <f t="shared" si="77"/>
        <v>6.2147235330171524</v>
      </c>
      <c r="Y178" s="312">
        <f t="shared" si="77"/>
        <v>6.4645766691862185</v>
      </c>
      <c r="Z178" s="312">
        <f t="shared" si="77"/>
        <v>9.5766609387264623</v>
      </c>
      <c r="AA178" s="312">
        <f t="shared" si="77"/>
        <v>9.6844335735649434</v>
      </c>
      <c r="AB178" s="312">
        <f t="shared" si="77"/>
        <v>9.7927127397871718</v>
      </c>
      <c r="AC178" s="312">
        <f t="shared" si="77"/>
        <v>9.9015008180906303</v>
      </c>
      <c r="AD178" s="312">
        <f t="shared" si="77"/>
        <v>10.010800200362143</v>
      </c>
      <c r="AE178" s="312">
        <f t="shared" si="77"/>
        <v>10.120613289730313</v>
      </c>
      <c r="AF178" s="312">
        <f t="shared" si="77"/>
        <v>10.23094250061852</v>
      </c>
      <c r="AG178" s="312">
        <f t="shared" si="77"/>
        <v>10.341790258797898</v>
      </c>
      <c r="AH178" s="312">
        <f t="shared" si="77"/>
        <v>10.453159001440715</v>
      </c>
      <c r="AI178" s="312">
        <f t="shared" si="77"/>
        <v>10.565051177173952</v>
      </c>
      <c r="AJ178" s="312">
        <f t="shared" si="77"/>
        <v>10.677469246133148</v>
      </c>
      <c r="AK178" s="312">
        <f t="shared" si="77"/>
        <v>10.79041568001645</v>
      </c>
      <c r="AL178" s="312">
        <f t="shared" si="77"/>
        <v>10.903892962138997</v>
      </c>
      <c r="AM178" s="312">
        <f t="shared" si="77"/>
        <v>11.017903587487528</v>
      </c>
      <c r="AN178" s="312">
        <f t="shared" si="77"/>
        <v>11.132450062775185</v>
      </c>
      <c r="AO178" s="312">
        <f t="shared" si="77"/>
        <v>11.247534906496705</v>
      </c>
      <c r="AP178" s="312">
        <f t="shared" si="77"/>
        <v>11.363160648983712</v>
      </c>
      <c r="AQ178" s="312">
        <f t="shared" si="77"/>
        <v>11.479329832460415</v>
      </c>
      <c r="AR178" s="312">
        <f t="shared" si="77"/>
        <v>11.596045011099447</v>
      </c>
      <c r="AS178" s="312">
        <f t="shared" si="77"/>
        <v>11.713308751078085</v>
      </c>
      <c r="AT178" s="312">
        <f t="shared" si="77"/>
        <v>11.831123630634625</v>
      </c>
      <c r="AU178" s="312">
        <f t="shared" si="77"/>
        <v>11.949492240125078</v>
      </c>
      <c r="AV178" s="312">
        <f t="shared" si="77"/>
        <v>12.068417182080131</v>
      </c>
      <c r="AW178" s="312">
        <f t="shared" si="77"/>
        <v>12.187901071262379</v>
      </c>
      <c r="AX178" s="312">
        <f t="shared" si="77"/>
        <v>12.307946534723792</v>
      </c>
      <c r="AY178" s="312">
        <f t="shared" si="77"/>
        <v>12.428556211863469</v>
      </c>
      <c r="AZ178" s="312">
        <f t="shared" si="77"/>
        <v>12.549732754485698</v>
      </c>
      <c r="BA178" s="312">
        <f t="shared" si="77"/>
        <v>12.67147882685825</v>
      </c>
      <c r="BB178" s="312">
        <f t="shared" si="77"/>
        <v>12.79379710577096</v>
      </c>
      <c r="BC178" s="312">
        <f t="shared" si="77"/>
        <v>12.916690280594546</v>
      </c>
    </row>
    <row r="179" spans="2:55" s="309" customFormat="1" ht="16.95" customHeight="1" outlineLevel="1" x14ac:dyDescent="0.3">
      <c r="B179" s="313" t="s">
        <v>469</v>
      </c>
      <c r="C179" s="312">
        <f>C178</f>
        <v>20.726795600680983</v>
      </c>
      <c r="D179" s="312">
        <f t="shared" ref="D179" si="78">C179+D178</f>
        <v>39.742339940747343</v>
      </c>
      <c r="E179" s="312">
        <f t="shared" ref="E179" si="79">D179+E178</f>
        <v>59.192429499827867</v>
      </c>
      <c r="F179" s="312">
        <f t="shared" ref="F179" si="80">E179+F178</f>
        <v>60.992981286979322</v>
      </c>
      <c r="G179" s="312">
        <f t="shared" ref="G179" si="81">F179+G178</f>
        <v>63.034744718160276</v>
      </c>
      <c r="H179" s="312">
        <f t="shared" ref="H179" si="82">G179+H178</f>
        <v>65.318180981705112</v>
      </c>
      <c r="I179" s="312">
        <f t="shared" ref="I179" si="83">H179+I178</f>
        <v>67.843753433533365</v>
      </c>
      <c r="J179" s="312">
        <f t="shared" ref="J179" si="84">I179+J178</f>
        <v>70.611927607337435</v>
      </c>
      <c r="K179" s="312">
        <f t="shared" ref="K179" si="85">J179+K178</f>
        <v>73.623171224818037</v>
      </c>
      <c r="L179" s="312">
        <f t="shared" ref="L179" si="86">K179+L178</f>
        <v>76.87795420596791</v>
      </c>
      <c r="M179" s="312">
        <f t="shared" ref="M179" si="87">L179+M178</f>
        <v>80.376748679403732</v>
      </c>
      <c r="N179" s="312">
        <f t="shared" ref="N179" si="88">M179+N178</f>
        <v>84.120028992746697</v>
      </c>
      <c r="O179" s="312">
        <f t="shared" ref="O179" si="89">N179+O178</f>
        <v>88.108271723051814</v>
      </c>
      <c r="P179" s="312">
        <f t="shared" ref="P179" si="90">O179+P178</f>
        <v>92.341955687286244</v>
      </c>
      <c r="Q179" s="312">
        <f t="shared" ref="Q179" si="91">P179+Q178</f>
        <v>96.821561952856911</v>
      </c>
      <c r="R179" s="312">
        <f t="shared" ref="R179" si="92">Q179+R178</f>
        <v>101.54757384818753</v>
      </c>
      <c r="S179" s="312">
        <f t="shared" ref="S179" si="93">R179+S178</f>
        <v>106.52047697334541</v>
      </c>
      <c r="T179" s="312">
        <f t="shared" ref="T179" si="94">S179+T178</f>
        <v>111.74075921071821</v>
      </c>
      <c r="U179" s="312">
        <f t="shared" ref="U179" si="95">T179+U178</f>
        <v>117.20891073574076</v>
      </c>
      <c r="V179" s="312">
        <f t="shared" ref="V179" si="96">U179+V178</f>
        <v>122.92542402767245</v>
      </c>
      <c r="W179" s="312">
        <f t="shared" ref="W179" si="97">V179+W178</f>
        <v>128.89079388042521</v>
      </c>
      <c r="X179" s="312">
        <f t="shared" ref="X179" si="98">W179+X178</f>
        <v>135.10551741344236</v>
      </c>
      <c r="Y179" s="312">
        <f t="shared" ref="Y179" si="99">X179+Y178</f>
        <v>141.57009408262857</v>
      </c>
      <c r="Z179" s="312">
        <f t="shared" ref="Z179" si="100">Y179+Z178</f>
        <v>151.14675502135503</v>
      </c>
      <c r="AA179" s="312">
        <f t="shared" ref="AA179" si="101">Z179+AA178</f>
        <v>160.83118859491998</v>
      </c>
      <c r="AB179" s="312">
        <f t="shared" ref="AB179" si="102">AA179+AB178</f>
        <v>170.62390133470714</v>
      </c>
      <c r="AC179" s="312">
        <f t="shared" ref="AC179" si="103">AB179+AC178</f>
        <v>180.52540215279777</v>
      </c>
      <c r="AD179" s="312">
        <f t="shared" ref="AD179" si="104">AC179+AD178</f>
        <v>190.53620235315992</v>
      </c>
      <c r="AE179" s="312">
        <f t="shared" ref="AE179" si="105">AD179+AE178</f>
        <v>200.65681564289022</v>
      </c>
      <c r="AF179" s="312">
        <f t="shared" ref="AF179" si="106">AE179+AF178</f>
        <v>210.88775814350873</v>
      </c>
      <c r="AG179" s="312">
        <f t="shared" ref="AG179" si="107">AF179+AG178</f>
        <v>221.22954840230662</v>
      </c>
      <c r="AH179" s="312">
        <f t="shared" ref="AH179" si="108">AG179+AH178</f>
        <v>231.68270740374734</v>
      </c>
      <c r="AI179" s="312">
        <f t="shared" ref="AI179" si="109">AH179+AI178</f>
        <v>242.2477585809213</v>
      </c>
      <c r="AJ179" s="312">
        <f t="shared" ref="AJ179" si="110">AI179+AJ178</f>
        <v>252.92522782705444</v>
      </c>
      <c r="AK179" s="312">
        <f t="shared" ref="AK179" si="111">AJ179+AK178</f>
        <v>263.71564350707087</v>
      </c>
      <c r="AL179" s="312">
        <f t="shared" ref="AL179" si="112">AK179+AL178</f>
        <v>274.61953646920983</v>
      </c>
      <c r="AM179" s="312">
        <f t="shared" ref="AM179" si="113">AL179+AM178</f>
        <v>285.63744005669736</v>
      </c>
      <c r="AN179" s="312">
        <f t="shared" ref="AN179" si="114">AM179+AN178</f>
        <v>296.76989011947256</v>
      </c>
      <c r="AO179" s="312">
        <f t="shared" ref="AO179" si="115">AN179+AO178</f>
        <v>308.01742502596926</v>
      </c>
      <c r="AP179" s="312">
        <f t="shared" ref="AP179" si="116">AO179+AP178</f>
        <v>319.38058567495295</v>
      </c>
      <c r="AQ179" s="312">
        <f t="shared" ref="AQ179" si="117">AP179+AQ178</f>
        <v>330.85991550741335</v>
      </c>
      <c r="AR179" s="312">
        <f t="shared" ref="AR179" si="118">AQ179+AR178</f>
        <v>342.45596051851277</v>
      </c>
      <c r="AS179" s="312">
        <f t="shared" ref="AS179" si="119">AR179+AS178</f>
        <v>354.16926926959087</v>
      </c>
      <c r="AT179" s="312">
        <f t="shared" ref="AT179" si="120">AS179+AT178</f>
        <v>366.00039290022551</v>
      </c>
      <c r="AU179" s="312">
        <f t="shared" ref="AU179" si="121">AT179+AU178</f>
        <v>377.9498851403506</v>
      </c>
      <c r="AV179" s="312">
        <f t="shared" ref="AV179" si="122">AU179+AV178</f>
        <v>390.01830232243071</v>
      </c>
      <c r="AW179" s="312">
        <f t="shared" ref="AW179" si="123">AV179+AW178</f>
        <v>402.2062033936931</v>
      </c>
      <c r="AX179" s="312">
        <f t="shared" ref="AX179" si="124">AW179+AX178</f>
        <v>414.51414992841688</v>
      </c>
      <c r="AY179" s="312">
        <f t="shared" ref="AY179" si="125">AX179+AY178</f>
        <v>426.94270614028034</v>
      </c>
      <c r="AZ179" s="312">
        <f t="shared" ref="AZ179" si="126">AY179+AZ178</f>
        <v>439.49243889476605</v>
      </c>
      <c r="BA179" s="312">
        <f t="shared" ref="BA179" si="127">AZ179+BA178</f>
        <v>452.16391772162433</v>
      </c>
      <c r="BB179" s="312">
        <f t="shared" ref="BB179" si="128">BA179+BB178</f>
        <v>464.95771482739531</v>
      </c>
      <c r="BC179" s="312">
        <f t="shared" ref="BC179" si="129">BB179+BC178</f>
        <v>477.87440510798984</v>
      </c>
    </row>
    <row r="180" spans="2:55" s="206" customFormat="1" ht="16.95" customHeight="1" outlineLevel="1" x14ac:dyDescent="0.3">
      <c r="B180" s="206" t="s">
        <v>416</v>
      </c>
      <c r="C180" s="307">
        <f>C175/(1+$D$28)^C32</f>
        <v>21.98283941408225</v>
      </c>
      <c r="D180" s="307">
        <f t="shared" ref="D180:BC180" si="130">D175/(1+$D$28)^D32</f>
        <v>19.015544340066356</v>
      </c>
      <c r="E180" s="307">
        <f t="shared" si="130"/>
        <v>18.338760662908282</v>
      </c>
      <c r="F180" s="307">
        <f t="shared" si="130"/>
        <v>1.6006720861658055</v>
      </c>
      <c r="G180" s="307">
        <f t="shared" si="130"/>
        <v>1.7113961584918604</v>
      </c>
      <c r="H180" s="307">
        <f t="shared" si="130"/>
        <v>1.8046060238603343</v>
      </c>
      <c r="I180" s="307">
        <f t="shared" si="130"/>
        <v>1.8819224271761037</v>
      </c>
      <c r="J180" s="307">
        <f t="shared" si="130"/>
        <v>1.9448390937761537</v>
      </c>
      <c r="K180" s="307">
        <f t="shared" si="130"/>
        <v>1.9947318999880645</v>
      </c>
      <c r="L180" s="307">
        <f t="shared" si="130"/>
        <v>2.0328674132157261</v>
      </c>
      <c r="M180" s="307">
        <f t="shared" si="130"/>
        <v>2.0604108435121415</v>
      </c>
      <c r="N180" s="307">
        <f t="shared" si="130"/>
        <v>2.0784334458705689</v>
      </c>
      <c r="O180" s="307">
        <f t="shared" si="130"/>
        <v>2.0879194099105045</v>
      </c>
      <c r="P180" s="307">
        <f t="shared" si="130"/>
        <v>2.0897722712443851</v>
      </c>
      <c r="Q180" s="307">
        <f t="shared" si="130"/>
        <v>2.0848208765727603</v>
      </c>
      <c r="R180" s="307">
        <f t="shared" si="130"/>
        <v>2.0738249324613989</v>
      </c>
      <c r="S180" s="307">
        <f t="shared" si="130"/>
        <v>2.0574801657937329</v>
      </c>
      <c r="T180" s="307">
        <f t="shared" si="130"/>
        <v>2.0364231220579199</v>
      </c>
      <c r="U180" s="307">
        <f t="shared" si="130"/>
        <v>2.0112356259115254</v>
      </c>
      <c r="V180" s="307">
        <f t="shared" si="130"/>
        <v>1.9824489268610408</v>
      </c>
      <c r="W180" s="307">
        <f t="shared" si="130"/>
        <v>1.9505475513911199</v>
      </c>
      <c r="X180" s="307">
        <f t="shared" si="130"/>
        <v>1.9159728814728629</v>
      </c>
      <c r="Y180" s="307">
        <f t="shared" si="130"/>
        <v>1.8791264780657813</v>
      </c>
      <c r="Z180" s="307">
        <f t="shared" si="130"/>
        <v>2.6246923793281964</v>
      </c>
      <c r="AA180" s="307">
        <f t="shared" si="130"/>
        <v>2.5025738409616092</v>
      </c>
      <c r="AB180" s="307">
        <f t="shared" si="130"/>
        <v>2.3859649979048552</v>
      </c>
      <c r="AC180" s="307">
        <f t="shared" si="130"/>
        <v>2.2746284045796124</v>
      </c>
      <c r="AD180" s="307">
        <f t="shared" si="130"/>
        <v>2.1683361048741463</v>
      </c>
      <c r="AE180" s="307">
        <f t="shared" si="130"/>
        <v>2.0668693048517941</v>
      </c>
      <c r="AF180" s="307">
        <f t="shared" si="130"/>
        <v>1.9700180528329314</v>
      </c>
      <c r="AG180" s="307">
        <f t="shared" si="130"/>
        <v>1.877580927026012</v>
      </c>
      <c r="AH180" s="307">
        <f t="shared" si="130"/>
        <v>1.7893647308419842</v>
      </c>
      <c r="AI180" s="307">
        <f t="shared" si="130"/>
        <v>1.7051841959887597</v>
      </c>
      <c r="AJ180" s="307">
        <f t="shared" si="130"/>
        <v>1.6248616934087223</v>
      </c>
      <c r="AK180" s="307">
        <f t="shared" si="130"/>
        <v>1.5482269520918908</v>
      </c>
      <c r="AL180" s="307">
        <f t="shared" si="130"/>
        <v>1.4751167857701664</v>
      </c>
      <c r="AM180" s="307">
        <f t="shared" si="130"/>
        <v>1.4053748274737572</v>
      </c>
      <c r="AN180" s="307">
        <f t="shared" si="130"/>
        <v>1.3388512719092269</v>
      </c>
      <c r="AO180" s="307">
        <f t="shared" si="130"/>
        <v>1.2754026255994129</v>
      </c>
      <c r="AP180" s="307">
        <f t="shared" si="130"/>
        <v>1.2148914647084177</v>
      </c>
      <c r="AQ180" s="307">
        <f t="shared" si="130"/>
        <v>1.1571862004600006</v>
      </c>
      <c r="AR180" s="307">
        <f t="shared" si="130"/>
        <v>1.1021608520445663</v>
      </c>
      <c r="AS180" s="307">
        <f t="shared" si="130"/>
        <v>1.0496948268986359</v>
      </c>
      <c r="AT180" s="307">
        <f t="shared" si="130"/>
        <v>0.99967270823085397</v>
      </c>
      <c r="AU180" s="307">
        <f t="shared" si="130"/>
        <v>0.95198404966023964</v>
      </c>
      <c r="AV180" s="307">
        <f t="shared" si="130"/>
        <v>0.90652317682531391</v>
      </c>
      <c r="AW180" s="307">
        <f t="shared" si="130"/>
        <v>0.86318899581683739</v>
      </c>
      <c r="AX180" s="307">
        <f t="shared" si="130"/>
        <v>0.82188480828207999</v>
      </c>
      <c r="AY180" s="307">
        <f t="shared" si="130"/>
        <v>0.78251813304470563</v>
      </c>
      <c r="AZ180" s="307">
        <f t="shared" si="130"/>
        <v>0.74500053408138445</v>
      </c>
      <c r="BA180" s="307">
        <f t="shared" si="130"/>
        <v>0.70924745469407435</v>
      </c>
      <c r="BB180" s="307">
        <f t="shared" si="130"/>
        <v>0.6751780577154658</v>
      </c>
      <c r="BC180" s="307">
        <f t="shared" si="130"/>
        <v>0.64271507158427255</v>
      </c>
    </row>
    <row r="181" spans="2:55" s="206" customFormat="1" ht="16.95" customHeight="1" outlineLevel="1" x14ac:dyDescent="0.3">
      <c r="B181" s="300" t="s">
        <v>417</v>
      </c>
      <c r="C181" s="307">
        <f>C180</f>
        <v>21.98283941408225</v>
      </c>
      <c r="D181" s="312">
        <f t="shared" ref="D181" si="131">C181+D180</f>
        <v>40.998383754148605</v>
      </c>
      <c r="E181" s="312">
        <f t="shared" ref="E181" si="132">D181+E180</f>
        <v>59.337144417056891</v>
      </c>
      <c r="F181" s="312">
        <f t="shared" ref="F181" si="133">E181+F180</f>
        <v>60.937816503222699</v>
      </c>
      <c r="G181" s="312">
        <f t="shared" ref="G181" si="134">F181+G180</f>
        <v>62.649212661714557</v>
      </c>
      <c r="H181" s="312">
        <f t="shared" ref="H181" si="135">G181+H180</f>
        <v>64.453818685574888</v>
      </c>
      <c r="I181" s="312">
        <f t="shared" ref="I181" si="136">H181+I180</f>
        <v>66.335741112750995</v>
      </c>
      <c r="J181" s="312">
        <f t="shared" ref="J181" si="137">I181+J180</f>
        <v>68.280580206527148</v>
      </c>
      <c r="K181" s="312">
        <f t="shared" ref="K181" si="138">J181+K180</f>
        <v>70.275312106515216</v>
      </c>
      <c r="L181" s="312">
        <f t="shared" ref="L181" si="139">K181+L180</f>
        <v>72.308179519730942</v>
      </c>
      <c r="M181" s="312">
        <f t="shared" ref="M181" si="140">L181+M180</f>
        <v>74.368590363243086</v>
      </c>
      <c r="N181" s="312">
        <f t="shared" ref="N181" si="141">M181+N180</f>
        <v>76.447023809113659</v>
      </c>
      <c r="O181" s="312">
        <f t="shared" ref="O181" si="142">N181+O180</f>
        <v>78.534943219024157</v>
      </c>
      <c r="P181" s="312">
        <f t="shared" ref="P181" si="143">O181+P180</f>
        <v>80.624715490268542</v>
      </c>
      <c r="Q181" s="312">
        <f t="shared" ref="Q181" si="144">P181+Q180</f>
        <v>82.709536366841306</v>
      </c>
      <c r="R181" s="312">
        <f t="shared" ref="R181" si="145">Q181+R180</f>
        <v>84.783361299302697</v>
      </c>
      <c r="S181" s="312">
        <f t="shared" ref="S181" si="146">R181+S180</f>
        <v>86.840841465096432</v>
      </c>
      <c r="T181" s="312">
        <f t="shared" ref="T181" si="147">S181+T180</f>
        <v>88.877264587154357</v>
      </c>
      <c r="U181" s="312">
        <f t="shared" ref="U181" si="148">T181+U180</f>
        <v>90.888500213065882</v>
      </c>
      <c r="V181" s="312">
        <f t="shared" ref="V181" si="149">U181+V180</f>
        <v>92.870949139926921</v>
      </c>
      <c r="W181" s="312">
        <f t="shared" ref="W181" si="150">V181+W180</f>
        <v>94.821496691318046</v>
      </c>
      <c r="X181" s="312">
        <f t="shared" ref="X181" si="151">W181+X180</f>
        <v>96.737469572790914</v>
      </c>
      <c r="Y181" s="312">
        <f t="shared" ref="Y181" si="152">X181+Y180</f>
        <v>98.6165960508567</v>
      </c>
      <c r="Z181" s="312">
        <f t="shared" ref="Z181" si="153">Y181+Z180</f>
        <v>101.24128843018489</v>
      </c>
      <c r="AA181" s="312">
        <f t="shared" ref="AA181" si="154">Z181+AA180</f>
        <v>103.7438622711465</v>
      </c>
      <c r="AB181" s="312">
        <f t="shared" ref="AB181" si="155">AA181+AB180</f>
        <v>106.12982726905135</v>
      </c>
      <c r="AC181" s="312">
        <f t="shared" ref="AC181" si="156">AB181+AC180</f>
        <v>108.40445567363096</v>
      </c>
      <c r="AD181" s="312">
        <f t="shared" ref="AD181" si="157">AC181+AD180</f>
        <v>110.57279177850511</v>
      </c>
      <c r="AE181" s="312">
        <f t="shared" ref="AE181" si="158">AD181+AE180</f>
        <v>112.6396610833569</v>
      </c>
      <c r="AF181" s="312">
        <f t="shared" ref="AF181" si="159">AE181+AF180</f>
        <v>114.60967913618983</v>
      </c>
      <c r="AG181" s="312">
        <f t="shared" ref="AG181" si="160">AF181+AG180</f>
        <v>116.48726006321584</v>
      </c>
      <c r="AH181" s="312">
        <f t="shared" ref="AH181" si="161">AG181+AH180</f>
        <v>118.27662479405782</v>
      </c>
      <c r="AI181" s="312">
        <f t="shared" ref="AI181" si="162">AH181+AI180</f>
        <v>119.98180899004659</v>
      </c>
      <c r="AJ181" s="312">
        <f t="shared" ref="AJ181" si="163">AI181+AJ180</f>
        <v>121.60667068345531</v>
      </c>
      <c r="AK181" s="312">
        <f t="shared" ref="AK181" si="164">AJ181+AK180</f>
        <v>123.1548976355472</v>
      </c>
      <c r="AL181" s="312">
        <f t="shared" ref="AL181" si="165">AK181+AL180</f>
        <v>124.63001442131737</v>
      </c>
      <c r="AM181" s="312">
        <f t="shared" ref="AM181" si="166">AL181+AM180</f>
        <v>126.03538924879112</v>
      </c>
      <c r="AN181" s="312">
        <f t="shared" ref="AN181" si="167">AM181+AN180</f>
        <v>127.37424052070034</v>
      </c>
      <c r="AO181" s="312">
        <f t="shared" ref="AO181" si="168">AN181+AO180</f>
        <v>128.64964314629975</v>
      </c>
      <c r="AP181" s="312">
        <f t="shared" ref="AP181" si="169">AO181+AP180</f>
        <v>129.86453461100817</v>
      </c>
      <c r="AQ181" s="312">
        <f t="shared" ref="AQ181" si="170">AP181+AQ180</f>
        <v>131.02172081146816</v>
      </c>
      <c r="AR181" s="312">
        <f t="shared" ref="AR181" si="171">AQ181+AR180</f>
        <v>132.12388166351272</v>
      </c>
      <c r="AS181" s="312">
        <f t="shared" ref="AS181" si="172">AR181+AS180</f>
        <v>133.17357649041136</v>
      </c>
      <c r="AT181" s="312">
        <f t="shared" ref="AT181" si="173">AS181+AT180</f>
        <v>134.17324919864222</v>
      </c>
      <c r="AU181" s="312">
        <f t="shared" ref="AU181" si="174">AT181+AU180</f>
        <v>135.12523324830246</v>
      </c>
      <c r="AV181" s="312">
        <f t="shared" ref="AV181" si="175">AU181+AV180</f>
        <v>136.03175642512778</v>
      </c>
      <c r="AW181" s="312">
        <f t="shared" ref="AW181" si="176">AV181+AW180</f>
        <v>136.89494542094462</v>
      </c>
      <c r="AX181" s="312">
        <f t="shared" ref="AX181" si="177">AW181+AX180</f>
        <v>137.7168302292267</v>
      </c>
      <c r="AY181" s="312">
        <f t="shared" ref="AY181" si="178">AX181+AY180</f>
        <v>138.49934836227141</v>
      </c>
      <c r="AZ181" s="312">
        <f t="shared" ref="AZ181" si="179">AY181+AZ180</f>
        <v>139.24434889635279</v>
      </c>
      <c r="BA181" s="312">
        <f t="shared" ref="BA181" si="180">AZ181+BA180</f>
        <v>139.95359635104685</v>
      </c>
      <c r="BB181" s="312">
        <f t="shared" ref="BB181" si="181">BA181+BB180</f>
        <v>140.62877440876233</v>
      </c>
      <c r="BC181" s="312">
        <f t="shared" ref="BC181" si="182">BB181+BC180</f>
        <v>141.27148948034659</v>
      </c>
    </row>
    <row r="182" spans="2:55" s="206" customFormat="1" ht="16.95" customHeight="1" outlineLevel="1" x14ac:dyDescent="0.3">
      <c r="B182" s="300" t="s">
        <v>418</v>
      </c>
      <c r="C182" s="307">
        <f t="shared" ref="C182:AH182" si="183">C167/(1+$C$28)^C32</f>
        <v>16.115630842912104</v>
      </c>
      <c r="D182" s="307">
        <f t="shared" si="183"/>
        <v>21.747432270232355</v>
      </c>
      <c r="E182" s="307">
        <f t="shared" si="183"/>
        <v>17.206648964735365</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-29.872697470980313</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7" t="str">
        <f>'R&amp;C-Painel de Controle'!G2</f>
        <v>CIRSOP - Consórcio RSU Oeste Paulista</v>
      </c>
      <c r="D2" s="2378"/>
      <c r="E2" s="2378"/>
      <c r="F2" s="2378"/>
      <c r="G2" s="2378"/>
      <c r="H2" s="2379"/>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73.8</v>
      </c>
      <c r="D4" s="1891" t="str">
        <f>D104</f>
        <v>t/d</v>
      </c>
      <c r="E4" s="1892"/>
      <c r="F4" s="1892"/>
      <c r="G4" s="1892"/>
      <c r="H4" s="1893"/>
      <c r="I4" s="1192"/>
    </row>
    <row r="5" spans="1:60" ht="19.95" customHeight="1" x14ac:dyDescent="0.3">
      <c r="B5" s="1894" t="s">
        <v>1118</v>
      </c>
      <c r="C5" s="1895">
        <f>'R&amp;C-Painel de Controle'!D33</f>
        <v>1396.7092707049733</v>
      </c>
      <c r="D5" s="1896" t="s">
        <v>342</v>
      </c>
      <c r="E5" s="1897"/>
      <c r="F5" s="1897"/>
      <c r="G5" s="1897"/>
      <c r="H5" s="1898"/>
      <c r="I5" s="1192"/>
    </row>
    <row r="6" spans="1:60" s="1998" customFormat="1" ht="19.95" customHeight="1" x14ac:dyDescent="0.3">
      <c r="A6" s="383"/>
      <c r="B6" s="1894" t="s">
        <v>1119</v>
      </c>
      <c r="C6" s="1895">
        <f>'R&amp;C-Painel de Controle'!H33</f>
        <v>1491.675405776728</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80" t="s">
        <v>1092</v>
      </c>
      <c r="C10" s="2381"/>
      <c r="D10" s="2384" t="s">
        <v>1088</v>
      </c>
      <c r="E10" s="2385"/>
      <c r="F10" s="2385"/>
      <c r="G10" s="2385"/>
      <c r="H10" s="2386"/>
      <c r="J10" s="1842" t="s">
        <v>1089</v>
      </c>
      <c r="K10" s="1842" t="s">
        <v>1087</v>
      </c>
      <c r="L10" s="1842" t="s">
        <v>1090</v>
      </c>
      <c r="M10" s="1842" t="s">
        <v>1088</v>
      </c>
      <c r="AI10" s="1734"/>
    </row>
    <row r="11" spans="1:60" s="1079" customFormat="1" ht="19.95" customHeight="1" thickBot="1" x14ac:dyDescent="0.35">
      <c r="A11" s="1734"/>
      <c r="B11" s="2382"/>
      <c r="C11" s="2383"/>
      <c r="D11" s="2387"/>
      <c r="E11" s="2388"/>
      <c r="F11" s="2388"/>
      <c r="G11" s="2388"/>
      <c r="H11" s="2389"/>
      <c r="AI11" s="1734"/>
    </row>
    <row r="12" spans="1:60" ht="4.95" customHeight="1" thickTop="1" thickBot="1" x14ac:dyDescent="0.35"/>
    <row r="13" spans="1:60" s="42" customFormat="1" ht="25.2" customHeight="1" collapsed="1" thickTop="1" thickBot="1" x14ac:dyDescent="0.35">
      <c r="A13" s="1740"/>
      <c r="B13" s="2394" t="s">
        <v>1084</v>
      </c>
      <c r="C13" s="2395"/>
      <c r="D13" s="2395"/>
      <c r="E13" s="2395"/>
      <c r="F13" s="2395"/>
      <c r="G13" s="2395"/>
      <c r="H13" s="2396"/>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6"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6"/>
      <c r="B16" s="1792" t="str">
        <f>'C-FCL Real'!B35</f>
        <v>Dados Quantitativos RSU</v>
      </c>
      <c r="C16" s="1807">
        <f>SUMIF($D$15:$BG$15,1,D16:BG16)</f>
        <v>866526.61433096475</v>
      </c>
      <c r="D16" s="1802">
        <f>'C-FCL Real'!C35</f>
        <v>23025.599999999999</v>
      </c>
      <c r="E16" s="1787">
        <f>'C-FCL Real'!D35</f>
        <v>23133.820319999995</v>
      </c>
      <c r="F16" s="1787">
        <f>'C-FCL Real'!E35</f>
        <v>23242.549275503992</v>
      </c>
      <c r="G16" s="1787">
        <f>'C-FCL Real'!F35</f>
        <v>23351.789257098859</v>
      </c>
      <c r="H16" s="1787">
        <f>'C-FCL Real'!G35</f>
        <v>23461.542666607224</v>
      </c>
      <c r="I16" s="1787">
        <f>'C-FCL Real'!H35</f>
        <v>23571.811917140276</v>
      </c>
      <c r="J16" s="1787">
        <f>'C-FCL Real'!I35</f>
        <v>23682.599433150834</v>
      </c>
      <c r="K16" s="1787">
        <f>'C-FCL Real'!J35</f>
        <v>23793.907650486643</v>
      </c>
      <c r="L16" s="1787">
        <f>'C-FCL Real'!K35</f>
        <v>23905.739016443928</v>
      </c>
      <c r="M16" s="1787">
        <f>'C-FCL Real'!L35</f>
        <v>24018.095989821213</v>
      </c>
      <c r="N16" s="1787">
        <f>'C-FCL Real'!M35</f>
        <v>24130.981040973373</v>
      </c>
      <c r="O16" s="1787">
        <f>'C-FCL Real'!N35</f>
        <v>24244.396651865947</v>
      </c>
      <c r="P16" s="1787">
        <f>'C-FCL Real'!O35</f>
        <v>24358.345316129715</v>
      </c>
      <c r="Q16" s="1787">
        <f>'C-FCL Real'!P35</f>
        <v>24472.829539115522</v>
      </c>
      <c r="R16" s="1787">
        <f>'C-FCL Real'!Q35</f>
        <v>24587.851837949365</v>
      </c>
      <c r="S16" s="1787">
        <f>'C-FCL Real'!O35</f>
        <v>24358.345316129715</v>
      </c>
      <c r="T16" s="1787">
        <f>'C-FCL Real'!P35</f>
        <v>24472.829539115522</v>
      </c>
      <c r="U16" s="1787">
        <f>'C-FCL Real'!Q35</f>
        <v>24587.851837949365</v>
      </c>
      <c r="V16" s="1787">
        <f>'C-FCL Real'!R35</f>
        <v>24703.414741587727</v>
      </c>
      <c r="W16" s="1787">
        <f>'C-FCL Real'!S35</f>
        <v>24819.520790873186</v>
      </c>
      <c r="X16" s="1787">
        <f>'C-FCL Real'!T35</f>
        <v>24936.17253859029</v>
      </c>
      <c r="Y16" s="1787">
        <f>'C-FCL Real'!U35</f>
        <v>25053.372549521664</v>
      </c>
      <c r="Z16" s="1787">
        <f>'C-FCL Real'!V35</f>
        <v>25171.123400504413</v>
      </c>
      <c r="AA16" s="1787">
        <f>'C-FCL Real'!W35</f>
        <v>25289.427680486784</v>
      </c>
      <c r="AB16" s="1787">
        <f>'C-FCL Real'!X35</f>
        <v>25408.287990585071</v>
      </c>
      <c r="AC16" s="1787">
        <f>'C-FCL Real'!Y35</f>
        <v>25527.70694414082</v>
      </c>
      <c r="AD16" s="1787">
        <f>'C-FCL Real'!Z35</f>
        <v>25647.68716677828</v>
      </c>
      <c r="AE16" s="1787">
        <f>'C-FCL Real'!AA35</f>
        <v>25768.231296462134</v>
      </c>
      <c r="AF16" s="1787">
        <f>'C-FCL Real'!AB35</f>
        <v>25889.341983555503</v>
      </c>
      <c r="AG16" s="1787">
        <f>'C-FCL Real'!AC35</f>
        <v>26011.021890878212</v>
      </c>
      <c r="AH16" s="1787">
        <f>'C-FCL Real'!AD35</f>
        <v>26133.273693765339</v>
      </c>
      <c r="AI16" s="1787">
        <f>'C-FCL Real'!AE35</f>
        <v>26256.100080126034</v>
      </c>
      <c r="AJ16" s="1787">
        <f>'C-FCL Real'!AF35</f>
        <v>26379.503750502623</v>
      </c>
      <c r="AK16" s="1787">
        <f>'C-FCL Real'!AG35</f>
        <v>26503.487418129982</v>
      </c>
      <c r="AL16" s="1787">
        <f>'C-FCL Real'!AH35</f>
        <v>26628.053808995192</v>
      </c>
      <c r="AM16" s="1787">
        <f>'C-FCL Real'!AI35</f>
        <v>26753.205661897468</v>
      </c>
      <c r="AN16" s="1787">
        <f>'C-FCL Real'!AJ35</f>
        <v>26878.945728508384</v>
      </c>
      <c r="AO16" s="1787">
        <f>'C-FCL Real'!AK35</f>
        <v>27005.276773432372</v>
      </c>
      <c r="AP16" s="1787">
        <f>'C-FCL Real'!AL35</f>
        <v>27132.201574267503</v>
      </c>
      <c r="AQ16" s="1787">
        <f>'C-FCL Real'!AM35</f>
        <v>27259.722921666558</v>
      </c>
      <c r="AR16" s="1787">
        <f>'C-FCL Real'!AN35</f>
        <v>27387.843619398391</v>
      </c>
      <c r="AS16" s="1787">
        <f>'C-FCL Real'!AO35</f>
        <v>27516.566484409563</v>
      </c>
      <c r="AT16" s="1787">
        <f>'C-FCL Real'!AP35</f>
        <v>27645.894346886285</v>
      </c>
      <c r="AU16" s="1787">
        <f>'C-FCL Real'!AQ35</f>
        <v>27775.83005031665</v>
      </c>
      <c r="AV16" s="1787">
        <f>'C-FCL Real'!AR35</f>
        <v>27906.376451553137</v>
      </c>
      <c r="AW16" s="1787">
        <f>'C-FCL Real'!AS35</f>
        <v>28037.536420875433</v>
      </c>
      <c r="AX16" s="1787">
        <f>'C-FCL Real'!AT35</f>
        <v>28169.312842053547</v>
      </c>
      <c r="AY16" s="1787">
        <f>'C-FCL Real'!AU35</f>
        <v>28301.708612411196</v>
      </c>
      <c r="AZ16" s="1787">
        <f>'C-FCL Real'!AV35</f>
        <v>28434.726642889527</v>
      </c>
      <c r="BA16" s="1787">
        <f>'C-FCL Real'!AW35</f>
        <v>28568.369858111106</v>
      </c>
      <c r="BB16" s="1787">
        <f>'C-FCL Real'!AX35</f>
        <v>28702.641196444227</v>
      </c>
      <c r="BC16" s="1787">
        <f>'C-FCL Real'!AY35</f>
        <v>28837.543610067514</v>
      </c>
      <c r="BD16" s="1787">
        <f>'C-FCL Real'!AZ35</f>
        <v>28973.080065034828</v>
      </c>
      <c r="BE16" s="1787">
        <f>'C-FCL Real'!BA35</f>
        <v>29109.253541340491</v>
      </c>
      <c r="BF16" s="1787">
        <f>'C-FCL Real'!BB35</f>
        <v>29246.067032984789</v>
      </c>
      <c r="BG16" s="1787">
        <f>'C-FCL Real'!BC35</f>
        <v>29383.523548039815</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100.07606648779982</v>
      </c>
      <c r="B18" s="1794" t="str">
        <f>'C-FCL Real'!B63</f>
        <v>Dados de Capex</v>
      </c>
      <c r="C18" s="1809">
        <f>SUMIF($D$15:$BG$15,1,D18:BG18)</f>
        <v>86.718575069233708</v>
      </c>
      <c r="D18" s="1804">
        <f>'C-FCL Real'!C63</f>
        <v>23.022329775588723</v>
      </c>
      <c r="E18" s="51">
        <f>'C-FCL Real'!D63</f>
        <v>34.093760247647126</v>
      </c>
      <c r="F18" s="51">
        <f>'C-FCL Real'!E63</f>
        <v>29.602485045997867</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91.193791222708086</v>
      </c>
      <c r="B19" s="1847" t="s">
        <v>1008</v>
      </c>
      <c r="C19" s="1808">
        <f>SUMIF($D$15:$BG$15,1,D19:BG19)</f>
        <v>79.021847156218087</v>
      </c>
      <c r="D19" s="1804">
        <f t="shared" ref="D19:AJ19" si="0">NPV($C$8,D18:D18)</f>
        <v>20.978977378885297</v>
      </c>
      <c r="E19" s="51">
        <f t="shared" si="0"/>
        <v>31.067760386046224</v>
      </c>
      <c r="F19" s="51">
        <f t="shared" si="0"/>
        <v>26.975109391286558</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102">
        <f>C18*1000000/(C16/C43)</f>
        <v>3502.6623270729933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796.50696820756377</v>
      </c>
      <c r="B21" s="1794" t="str">
        <f>'C-FCL Real'!B119</f>
        <v>Dados de Opex + Gestão do Contrato</v>
      </c>
      <c r="C21" s="1809">
        <f>SUMIF($D$15:$BG$15,1,D21:BG21)</f>
        <v>690.19448645192153</v>
      </c>
      <c r="D21" s="1804">
        <f>'C-FCL Real'!C119</f>
        <v>1.1691467915409994</v>
      </c>
      <c r="E21" s="51">
        <f>'C-FCL Real'!D119</f>
        <v>1.1691467915409994</v>
      </c>
      <c r="F21" s="51">
        <f>'C-FCL Real'!E119</f>
        <v>1.1691467915409994</v>
      </c>
      <c r="G21" s="51">
        <f>'C-FCL Real'!F119</f>
        <v>21.458970189915565</v>
      </c>
      <c r="H21" s="51">
        <f>'C-FCL Real'!G119</f>
        <v>21.458970189915565</v>
      </c>
      <c r="I21" s="51">
        <f>'C-FCL Real'!H119</f>
        <v>21.458970189915565</v>
      </c>
      <c r="J21" s="51">
        <f>'C-FCL Real'!I119</f>
        <v>21.458970189915565</v>
      </c>
      <c r="K21" s="51">
        <f>'C-FCL Real'!J119</f>
        <v>21.458970189915565</v>
      </c>
      <c r="L21" s="51">
        <f>'C-FCL Real'!K119</f>
        <v>21.458970189915565</v>
      </c>
      <c r="M21" s="51">
        <f>'C-FCL Real'!L119</f>
        <v>21.458970189915565</v>
      </c>
      <c r="N21" s="51">
        <f>'C-FCL Real'!M119</f>
        <v>21.458970189915565</v>
      </c>
      <c r="O21" s="51">
        <f>'C-FCL Real'!N119</f>
        <v>21.458970189915565</v>
      </c>
      <c r="P21" s="51">
        <f>'C-FCL Real'!O119</f>
        <v>21.458970189915565</v>
      </c>
      <c r="Q21" s="51">
        <f>'C-FCL Real'!P119</f>
        <v>21.458970189915565</v>
      </c>
      <c r="R21" s="51">
        <f>'C-FCL Real'!Q119</f>
        <v>21.458970189915565</v>
      </c>
      <c r="S21" s="51">
        <f>'C-FCL Real'!O119</f>
        <v>21.458970189915565</v>
      </c>
      <c r="T21" s="51">
        <f>'C-FCL Real'!P119</f>
        <v>21.458970189915565</v>
      </c>
      <c r="U21" s="51">
        <f>'C-FCL Real'!Q119</f>
        <v>21.458970189915565</v>
      </c>
      <c r="V21" s="51">
        <f>'C-FCL Real'!R119</f>
        <v>21.458970189915565</v>
      </c>
      <c r="W21" s="51">
        <f>'C-FCL Real'!S119</f>
        <v>21.458970189915565</v>
      </c>
      <c r="X21" s="51">
        <f>'C-FCL Real'!T119</f>
        <v>21.458970189915565</v>
      </c>
      <c r="Y21" s="51">
        <f>'C-FCL Real'!U119</f>
        <v>21.458970189915565</v>
      </c>
      <c r="Z21" s="51">
        <f>'C-FCL Real'!V119</f>
        <v>21.458970189915565</v>
      </c>
      <c r="AA21" s="51">
        <f>'C-FCL Real'!W119</f>
        <v>21.458970189915565</v>
      </c>
      <c r="AB21" s="51">
        <f>'C-FCL Real'!X119</f>
        <v>21.458970189915565</v>
      </c>
      <c r="AC21" s="51">
        <f>'C-FCL Real'!Y119</f>
        <v>21.458970189915565</v>
      </c>
      <c r="AD21" s="51">
        <f>'C-FCL Real'!Z119</f>
        <v>21.458970189915565</v>
      </c>
      <c r="AE21" s="51">
        <f>'C-FCL Real'!AA119</f>
        <v>21.458970189915565</v>
      </c>
      <c r="AF21" s="51">
        <f>'C-FCL Real'!AB119</f>
        <v>21.458970189915565</v>
      </c>
      <c r="AG21" s="51">
        <f>'C-FCL Real'!AC119</f>
        <v>21.458970189915565</v>
      </c>
      <c r="AH21" s="51">
        <f>'C-FCL Real'!AD119</f>
        <v>21.458970189915565</v>
      </c>
      <c r="AI21" s="51">
        <f>'C-FCL Real'!AE119</f>
        <v>21.458970189915565</v>
      </c>
      <c r="AJ21" s="1739">
        <f>'C-FCL Real'!AF119</f>
        <v>21.458970189915565</v>
      </c>
      <c r="AK21" s="51">
        <f>'C-FCL Real'!AG119</f>
        <v>21.458970189915565</v>
      </c>
      <c r="AL21" s="51">
        <f>'C-FCL Real'!AH119</f>
        <v>21.458970189915565</v>
      </c>
      <c r="AM21" s="51">
        <f>'C-FCL Real'!AI119</f>
        <v>21.458970189915565</v>
      </c>
      <c r="AN21" s="51">
        <f>'C-FCL Real'!AJ119</f>
        <v>21.458970189915565</v>
      </c>
      <c r="AO21" s="51">
        <f>'C-FCL Real'!AK119</f>
        <v>21.458970189915565</v>
      </c>
      <c r="AP21" s="51">
        <f>'C-FCL Real'!AL119</f>
        <v>21.458970189915565</v>
      </c>
      <c r="AQ21" s="51">
        <f>'C-FCL Real'!AM119</f>
        <v>21.458970189915565</v>
      </c>
      <c r="AR21" s="51">
        <f>'C-FCL Real'!AN119</f>
        <v>21.458970189915565</v>
      </c>
      <c r="AS21" s="51">
        <f>'C-FCL Real'!AO119</f>
        <v>21.458970189915565</v>
      </c>
      <c r="AT21" s="51">
        <f>'C-FCL Real'!AP119</f>
        <v>21.458970189915565</v>
      </c>
      <c r="AU21" s="51">
        <f>'C-FCL Real'!AQ119</f>
        <v>21.458970189915565</v>
      </c>
      <c r="AV21" s="51">
        <f>'C-FCL Real'!AR119</f>
        <v>21.458970189915565</v>
      </c>
      <c r="AW21" s="51">
        <f>'C-FCL Real'!AS119</f>
        <v>21.458970189915565</v>
      </c>
      <c r="AX21" s="51">
        <f>'C-FCL Real'!AT119</f>
        <v>21.458970189915565</v>
      </c>
      <c r="AY21" s="51">
        <f>'C-FCL Real'!AU119</f>
        <v>21.458970189915565</v>
      </c>
      <c r="AZ21" s="51">
        <f>'C-FCL Real'!AV119</f>
        <v>21.458970189915565</v>
      </c>
      <c r="BA21" s="51">
        <f>'C-FCL Real'!AW119</f>
        <v>21.458970189915565</v>
      </c>
      <c r="BB21" s="51">
        <f>'C-FCL Real'!AX119</f>
        <v>21.458970189915565</v>
      </c>
      <c r="BC21" s="51">
        <f>'C-FCL Real'!AY119</f>
        <v>21.458970189915565</v>
      </c>
      <c r="BD21" s="51">
        <f>'C-FCL Real'!AZ119</f>
        <v>21.458970189915565</v>
      </c>
      <c r="BE21" s="51">
        <f>'C-FCL Real'!BA119</f>
        <v>21.458970189915565</v>
      </c>
      <c r="BF21" s="51">
        <f>'C-FCL Real'!BB119</f>
        <v>21.458970189915565</v>
      </c>
      <c r="BG21" s="51">
        <f>'C-FCL Real'!BC119</f>
        <v>21.458970189915565</v>
      </c>
      <c r="BH21" s="51">
        <f>'C-FCL Real'!BD119</f>
        <v>0</v>
      </c>
    </row>
    <row r="22" spans="1:60" ht="15" hidden="1" customHeight="1" outlineLevel="1" x14ac:dyDescent="0.3">
      <c r="A22" s="1823">
        <f>C22*1000000/$C$16</f>
        <v>680.68002914863087</v>
      </c>
      <c r="B22" s="1847" t="s">
        <v>1009</v>
      </c>
      <c r="C22" s="1808">
        <f>SUMIF($D$15:$BG$15,1,D22:BG22)</f>
        <v>589.82736110086546</v>
      </c>
      <c r="D22" s="1804">
        <f t="shared" ref="D22:AJ22" si="1">NPV($C$8,D21:D21)</f>
        <v>1.0653788878631305</v>
      </c>
      <c r="E22" s="51">
        <f t="shared" si="1"/>
        <v>1.0653788878631305</v>
      </c>
      <c r="F22" s="51">
        <f t="shared" si="1"/>
        <v>1.0653788878631305</v>
      </c>
      <c r="G22" s="51">
        <f t="shared" si="1"/>
        <v>19.554374147909208</v>
      </c>
      <c r="H22" s="51">
        <f t="shared" si="1"/>
        <v>19.554374147909208</v>
      </c>
      <c r="I22" s="51">
        <f t="shared" si="1"/>
        <v>19.554374147909208</v>
      </c>
      <c r="J22" s="51">
        <f t="shared" si="1"/>
        <v>19.554374147909208</v>
      </c>
      <c r="K22" s="51">
        <f t="shared" si="1"/>
        <v>19.554374147909208</v>
      </c>
      <c r="L22" s="51">
        <f t="shared" si="1"/>
        <v>19.554374147909208</v>
      </c>
      <c r="M22" s="51">
        <f t="shared" si="1"/>
        <v>19.554374147909208</v>
      </c>
      <c r="N22" s="51">
        <f t="shared" si="1"/>
        <v>19.554374147909208</v>
      </c>
      <c r="O22" s="51">
        <f t="shared" si="1"/>
        <v>19.554374147909208</v>
      </c>
      <c r="P22" s="51">
        <f t="shared" si="1"/>
        <v>19.554374147909208</v>
      </c>
      <c r="Q22" s="51">
        <f t="shared" si="1"/>
        <v>19.554374147909208</v>
      </c>
      <c r="R22" s="51">
        <f t="shared" si="1"/>
        <v>19.554374147909208</v>
      </c>
      <c r="S22" s="51">
        <f t="shared" si="1"/>
        <v>19.554374147909208</v>
      </c>
      <c r="T22" s="51">
        <f t="shared" si="1"/>
        <v>19.554374147909208</v>
      </c>
      <c r="U22" s="51">
        <f t="shared" si="1"/>
        <v>19.554374147909208</v>
      </c>
      <c r="V22" s="51">
        <f t="shared" si="1"/>
        <v>19.554374147909208</v>
      </c>
      <c r="W22" s="51">
        <f t="shared" si="1"/>
        <v>19.554374147909208</v>
      </c>
      <c r="X22" s="51">
        <f t="shared" si="1"/>
        <v>19.554374147909208</v>
      </c>
      <c r="Y22" s="51">
        <f t="shared" si="1"/>
        <v>19.554374147909208</v>
      </c>
      <c r="Z22" s="51">
        <f t="shared" si="1"/>
        <v>19.554374147909208</v>
      </c>
      <c r="AA22" s="51">
        <f t="shared" si="1"/>
        <v>19.554374147909208</v>
      </c>
      <c r="AB22" s="51">
        <f t="shared" si="1"/>
        <v>19.554374147909208</v>
      </c>
      <c r="AC22" s="51">
        <f t="shared" si="1"/>
        <v>19.554374147909208</v>
      </c>
      <c r="AD22" s="51">
        <f t="shared" si="1"/>
        <v>19.554374147909208</v>
      </c>
      <c r="AE22" s="51">
        <f t="shared" si="1"/>
        <v>19.554374147909208</v>
      </c>
      <c r="AF22" s="51">
        <f t="shared" si="1"/>
        <v>19.554374147909208</v>
      </c>
      <c r="AG22" s="51">
        <f t="shared" si="1"/>
        <v>19.554374147909208</v>
      </c>
      <c r="AH22" s="51">
        <f t="shared" si="1"/>
        <v>19.554374147909208</v>
      </c>
      <c r="AI22" s="51">
        <f t="shared" si="1"/>
        <v>19.554374147909208</v>
      </c>
      <c r="AJ22" s="1739">
        <f t="shared" si="1"/>
        <v>19.554374147909208</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103">
        <f>C21*1000000/C16</f>
        <v>796.50696820756377</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1197.6781996295149</v>
      </c>
      <c r="B27" s="1794" t="str">
        <f>'C-FCL Real'!B148</f>
        <v>Dados de Receitas Diretas</v>
      </c>
      <c r="C27" s="1809">
        <f>SUMIF($D$15:$BG$15,1,D27:BG27)</f>
        <v>1037.8200353829689</v>
      </c>
      <c r="D27" s="1804">
        <f>'C-FCL Real'!C148-D30</f>
        <v>27.577259153389349</v>
      </c>
      <c r="E27" s="51">
        <f>'C-FCL Real'!D148-E30</f>
        <v>27.706872271410276</v>
      </c>
      <c r="F27" s="51">
        <f>'C-FCL Real'!E148-F30</f>
        <v>27.837094571085895</v>
      </c>
      <c r="G27" s="51">
        <f>'C-FCL Real'!F148-G30</f>
        <v>27.967928915569999</v>
      </c>
      <c r="H27" s="51">
        <f>'C-FCL Real'!G148-H30</f>
        <v>28.099378181473181</v>
      </c>
      <c r="I27" s="51">
        <f>'C-FCL Real'!H148-I30</f>
        <v>28.231445258926101</v>
      </c>
      <c r="J27" s="51">
        <f>'C-FCL Real'!I148-J30</f>
        <v>28.364133051643051</v>
      </c>
      <c r="K27" s="51">
        <f>'C-FCL Real'!J148-K30</f>
        <v>28.497444476985773</v>
      </c>
      <c r="L27" s="51">
        <f>'C-FCL Real'!K148-L30</f>
        <v>28.631382466027603</v>
      </c>
      <c r="M27" s="51">
        <f>'C-FCL Real'!L148-M30</f>
        <v>28.765949963617931</v>
      </c>
      <c r="N27" s="51">
        <f>'C-FCL Real'!M148-N30</f>
        <v>28.901149928446937</v>
      </c>
      <c r="O27" s="51">
        <f>'C-FCL Real'!N148-O30</f>
        <v>29.036985333110636</v>
      </c>
      <c r="P27" s="51">
        <f>'C-FCL Real'!O148-P30</f>
        <v>29.173459164176254</v>
      </c>
      <c r="Q27" s="51">
        <f>'C-FCL Real'!P148-Q30</f>
        <v>29.310574422247875</v>
      </c>
      <c r="R27" s="51">
        <f>'C-FCL Real'!Q148-R30</f>
        <v>29.448334122032442</v>
      </c>
      <c r="S27" s="51">
        <f>'C-FCL Real'!O148-S30</f>
        <v>29.173459164176254</v>
      </c>
      <c r="T27" s="51">
        <f>'C-FCL Real'!P148-T30</f>
        <v>29.310574422247875</v>
      </c>
      <c r="U27" s="51">
        <f>'C-FCL Real'!Q148-U30</f>
        <v>29.448334122032442</v>
      </c>
      <c r="V27" s="51">
        <f>'C-FCL Real'!R148-V30</f>
        <v>29.586741292406</v>
      </c>
      <c r="W27" s="51">
        <f>'C-FCL Real'!S148-W30</f>
        <v>29.725798976480309</v>
      </c>
      <c r="X27" s="51">
        <f>'C-FCL Real'!T148-X30</f>
        <v>29.865510231669756</v>
      </c>
      <c r="Y27" s="51">
        <f>'C-FCL Real'!U148-Y30</f>
        <v>30.005878129758607</v>
      </c>
      <c r="Z27" s="51">
        <f>'C-FCL Real'!V148-Z30</f>
        <v>30.146905756968472</v>
      </c>
      <c r="AA27" s="51">
        <f>'C-FCL Real'!W148-AA30</f>
        <v>30.288596214026221</v>
      </c>
      <c r="AB27" s="51">
        <f>'C-FCL Real'!X148-AB30</f>
        <v>30.430952616232144</v>
      </c>
      <c r="AC27" s="51">
        <f>'C-FCL Real'!Y148-AC30</f>
        <v>30.573978093528435</v>
      </c>
      <c r="AD27" s="51">
        <f>'C-FCL Real'!Z148-AD30</f>
        <v>30.717675790568006</v>
      </c>
      <c r="AE27" s="51">
        <f>'C-FCL Real'!AA148-AE30</f>
        <v>30.862048866783677</v>
      </c>
      <c r="AF27" s="51">
        <f>'C-FCL Real'!AB148-AF30</f>
        <v>31.007100496457561</v>
      </c>
      <c r="AG27" s="51">
        <f>'C-FCL Real'!AC148-AG30</f>
        <v>31.152833868790914</v>
      </c>
      <c r="AH27" s="51">
        <f>'C-FCL Real'!AD148-AH30</f>
        <v>31.299252187974218</v>
      </c>
      <c r="AI27" s="51">
        <f>'C-FCL Real'!AE148-AI30</f>
        <v>31.446358673257699</v>
      </c>
      <c r="AJ27" s="1739">
        <f>'C-FCL Real'!AF148-AJ30</f>
        <v>31.594156559022011</v>
      </c>
      <c r="AK27" s="51">
        <f>'C-FCL Real'!AG148-AK30</f>
        <v>31.742649094849405</v>
      </c>
      <c r="AL27" s="51">
        <f>'C-FCL Real'!AH148-AL30</f>
        <v>31.891839545595197</v>
      </c>
      <c r="AM27" s="51">
        <f>'C-FCL Real'!AI148-AM30</f>
        <v>32.041731191459498</v>
      </c>
      <c r="AN27" s="51">
        <f>'C-FCL Real'!AJ148-AN30</f>
        <v>32.192327328059356</v>
      </c>
      <c r="AO27" s="51">
        <f>'C-FCL Real'!AK148-AO30</f>
        <v>32.343631266501227</v>
      </c>
      <c r="AP27" s="51">
        <f>'C-FCL Real'!AL148-AP30</f>
        <v>32.495646333453784</v>
      </c>
      <c r="AQ27" s="51">
        <f>'C-FCL Real'!AM148-AQ30</f>
        <v>32.648375871221006</v>
      </c>
      <c r="AR27" s="51">
        <f>'C-FCL Real'!AN148-AR30</f>
        <v>32.801823237815746</v>
      </c>
      <c r="AS27" s="51">
        <f>'C-FCL Real'!AO148-AS30</f>
        <v>32.955991807033485</v>
      </c>
      <c r="AT27" s="51">
        <f>'C-FCL Real'!AP148-AT30</f>
        <v>33.110884968526541</v>
      </c>
      <c r="AU27" s="51">
        <f>'C-FCL Real'!AQ148-AU30</f>
        <v>33.266506127878607</v>
      </c>
      <c r="AV27" s="51">
        <f>'C-FCL Real'!AR148-AV30</f>
        <v>33.422858706679641</v>
      </c>
      <c r="AW27" s="51">
        <f>'C-FCL Real'!AS148-AW30</f>
        <v>33.579946142601031</v>
      </c>
      <c r="AX27" s="51">
        <f>'C-FCL Real'!AT148-AX30</f>
        <v>33.737771889471254</v>
      </c>
      <c r="AY27" s="51">
        <f>'C-FCL Real'!AU148-AY30</f>
        <v>33.896339417351761</v>
      </c>
      <c r="AZ27" s="51">
        <f>'C-FCL Real'!AV148-AZ30</f>
        <v>34.055652212613317</v>
      </c>
      <c r="BA27" s="51">
        <f>'C-FCL Real'!AW148-BA30</f>
        <v>34.215713778012606</v>
      </c>
      <c r="BB27" s="51">
        <f>'C-FCL Real'!AX148-BB30</f>
        <v>34.37652763276926</v>
      </c>
      <c r="BC27" s="51">
        <f>'C-FCL Real'!AY148-BC30</f>
        <v>34.538097312643266</v>
      </c>
      <c r="BD27" s="51">
        <f>'C-FCL Real'!AZ148-BD30</f>
        <v>34.700426370012686</v>
      </c>
      <c r="BE27" s="51">
        <f>'C-FCL Real'!BA148-BE30</f>
        <v>34.863518373951749</v>
      </c>
      <c r="BF27" s="51">
        <f>'C-FCL Real'!BB148-BF30</f>
        <v>35.027376910309314</v>
      </c>
      <c r="BG27" s="51">
        <f>'C-FCL Real'!BC148-BG30</f>
        <v>35.192005581787775</v>
      </c>
      <c r="BH27" s="51">
        <f>'C-FCL Real'!BD148-BH30</f>
        <v>0</v>
      </c>
    </row>
    <row r="28" spans="1:60" ht="15" hidden="1" customHeight="1" outlineLevel="1" x14ac:dyDescent="0.3">
      <c r="A28" s="1823">
        <f>C28*1000000/$C$16</f>
        <v>1024.4595611827144</v>
      </c>
      <c r="B28" s="1847" t="s">
        <v>1010</v>
      </c>
      <c r="C28" s="1808">
        <f>SUMIF($D$15:$BG$15,1,D28:BG28)</f>
        <v>887.72147507064335</v>
      </c>
      <c r="D28" s="1804">
        <f t="shared" ref="D28:AJ28" si="3">NPV($C$8,D27:D27)</f>
        <v>25.129632908136823</v>
      </c>
      <c r="E28" s="51">
        <f t="shared" si="3"/>
        <v>25.247742182805066</v>
      </c>
      <c r="F28" s="51">
        <f t="shared" si="3"/>
        <v>25.366406571064239</v>
      </c>
      <c r="G28" s="51">
        <f t="shared" si="3"/>
        <v>25.485628681948242</v>
      </c>
      <c r="H28" s="51">
        <f t="shared" si="3"/>
        <v>25.6054111367534</v>
      </c>
      <c r="I28" s="51">
        <f t="shared" si="3"/>
        <v>25.725756569096138</v>
      </c>
      <c r="J28" s="51">
        <f t="shared" si="3"/>
        <v>25.846667624970888</v>
      </c>
      <c r="K28" s="51">
        <f t="shared" si="3"/>
        <v>25.968146962808252</v>
      </c>
      <c r="L28" s="51">
        <f t="shared" si="3"/>
        <v>26.090197253533447</v>
      </c>
      <c r="M28" s="51">
        <f t="shared" si="3"/>
        <v>26.212821180625053</v>
      </c>
      <c r="N28" s="51">
        <f t="shared" si="3"/>
        <v>26.336021440173994</v>
      </c>
      <c r="O28" s="51">
        <f t="shared" si="3"/>
        <v>26.459800740942807</v>
      </c>
      <c r="P28" s="51">
        <f t="shared" si="3"/>
        <v>26.584161804425239</v>
      </c>
      <c r="Q28" s="51">
        <f t="shared" si="3"/>
        <v>26.709107364906028</v>
      </c>
      <c r="R28" s="51">
        <f t="shared" si="3"/>
        <v>26.834640169521091</v>
      </c>
      <c r="S28" s="51">
        <f t="shared" si="3"/>
        <v>26.584161804425239</v>
      </c>
      <c r="T28" s="51">
        <f t="shared" si="3"/>
        <v>26.709107364906028</v>
      </c>
      <c r="U28" s="51">
        <f t="shared" si="3"/>
        <v>26.834640169521091</v>
      </c>
      <c r="V28" s="51">
        <f t="shared" si="3"/>
        <v>26.960762978317845</v>
      </c>
      <c r="W28" s="51">
        <f t="shared" si="3"/>
        <v>27.087478564315937</v>
      </c>
      <c r="X28" s="51">
        <f t="shared" si="3"/>
        <v>27.214789713568212</v>
      </c>
      <c r="Y28" s="51">
        <f t="shared" si="3"/>
        <v>27.342699225221988</v>
      </c>
      <c r="Z28" s="51">
        <f t="shared" si="3"/>
        <v>27.47120991158053</v>
      </c>
      <c r="AA28" s="51">
        <f t="shared" si="3"/>
        <v>27.600324598164956</v>
      </c>
      <c r="AB28" s="51">
        <f t="shared" si="3"/>
        <v>27.730046123776333</v>
      </c>
      <c r="AC28" s="51">
        <f t="shared" si="3"/>
        <v>27.860377340558081</v>
      </c>
      <c r="AD28" s="51">
        <f t="shared" si="3"/>
        <v>27.991321114058692</v>
      </c>
      <c r="AE28" s="51">
        <f t="shared" si="3"/>
        <v>28.122880323294769</v>
      </c>
      <c r="AF28" s="51">
        <f t="shared" si="3"/>
        <v>28.255057860814254</v>
      </c>
      <c r="AG28" s="51">
        <f t="shared" si="3"/>
        <v>28.387856632760084</v>
      </c>
      <c r="AH28" s="51">
        <f t="shared" si="3"/>
        <v>28.521279558934044</v>
      </c>
      <c r="AI28" s="51">
        <f t="shared" si="3"/>
        <v>28.655329572861035</v>
      </c>
      <c r="AJ28" s="1739">
        <f t="shared" si="3"/>
        <v>28.790009621853482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115.65110195457139</v>
      </c>
      <c r="B30" s="1794" t="str">
        <f>'C-FCL Real'!B149</f>
        <v>Receita do Ente Público pela disposição do RPU</v>
      </c>
      <c r="C30" s="1809">
        <f>SUMIF($D$15:$BG$15,1,D30:BG30)</f>
        <v>100.21475782033997</v>
      </c>
      <c r="D30" s="1804">
        <f>'C-FCL Real'!C149</f>
        <v>2.6629360131651798</v>
      </c>
      <c r="E30" s="51">
        <f>'C-FCL Real'!D149</f>
        <v>2.6754518124270561</v>
      </c>
      <c r="F30" s="51">
        <f>'C-FCL Real'!E149</f>
        <v>2.6880264359454631</v>
      </c>
      <c r="G30" s="51">
        <f>'C-FCL Real'!F149</f>
        <v>2.7006601601944067</v>
      </c>
      <c r="H30" s="51">
        <f>'C-FCL Real'!G149</f>
        <v>2.71335326294732</v>
      </c>
      <c r="I30" s="51">
        <f>'C-FCL Real'!H149</f>
        <v>2.7261060232831724</v>
      </c>
      <c r="J30" s="51">
        <f>'C-FCL Real'!I149</f>
        <v>2.738918721592603</v>
      </c>
      <c r="K30" s="51">
        <f>'C-FCL Real'!J149</f>
        <v>2.7517916395840878</v>
      </c>
      <c r="L30" s="51">
        <f>'C-FCL Real'!K149</f>
        <v>2.7647250602901328</v>
      </c>
      <c r="M30" s="51">
        <f>'C-FCL Real'!L149</f>
        <v>2.7777192680734961</v>
      </c>
      <c r="N30" s="51">
        <f>'C-FCL Real'!M149</f>
        <v>2.7907745486334412</v>
      </c>
      <c r="O30" s="51">
        <f>'C-FCL Real'!N149</f>
        <v>2.8038911890120182</v>
      </c>
      <c r="P30" s="51">
        <f>'C-FCL Real'!O149</f>
        <v>2.8170694776003744</v>
      </c>
      <c r="Q30" s="51">
        <f>'C-FCL Real'!P149</f>
        <v>2.8303097041450958</v>
      </c>
      <c r="R30" s="51">
        <f>'C-FCL Real'!Q149</f>
        <v>2.8436121597545774</v>
      </c>
      <c r="S30" s="51">
        <f>'C-FCL Real'!O149</f>
        <v>2.8170694776003744</v>
      </c>
      <c r="T30" s="51">
        <f>'C-FCL Real'!P149</f>
        <v>2.8303097041450958</v>
      </c>
      <c r="U30" s="51">
        <f>'C-FCL Real'!Q149</f>
        <v>2.8436121597545774</v>
      </c>
      <c r="V30" s="51">
        <f>'C-FCL Real'!R149</f>
        <v>2.8569771369054235</v>
      </c>
      <c r="W30" s="51">
        <f>'C-FCL Real'!S149</f>
        <v>2.8704049294488789</v>
      </c>
      <c r="X30" s="51">
        <f>'C-FCL Real'!T149</f>
        <v>2.8838958326172883</v>
      </c>
      <c r="Y30" s="51">
        <f>'C-FCL Real'!U149</f>
        <v>2.8974501430305892</v>
      </c>
      <c r="Z30" s="51">
        <f>'C-FCL Real'!V149</f>
        <v>2.9110681587028329</v>
      </c>
      <c r="AA30" s="51">
        <f>'C-FCL Real'!W149</f>
        <v>2.9247501790487358</v>
      </c>
      <c r="AB30" s="51">
        <f>'C-FCL Real'!X149</f>
        <v>2.9384965048902645</v>
      </c>
      <c r="AC30" s="51">
        <f>'C-FCL Real'!Y149</f>
        <v>2.9523074384632486</v>
      </c>
      <c r="AD30" s="51">
        <f>'C-FCL Real'!Z149</f>
        <v>2.9661832834240256</v>
      </c>
      <c r="AE30" s="51">
        <f>'C-FCL Real'!AA149</f>
        <v>2.9801243448561183</v>
      </c>
      <c r="AF30" s="51">
        <f>'C-FCL Real'!AB149</f>
        <v>2.9941309292769418</v>
      </c>
      <c r="AG30" s="51">
        <f>'C-FCL Real'!AC149</f>
        <v>3.0082033446445431</v>
      </c>
      <c r="AH30" s="51">
        <f>'C-FCL Real'!AD149</f>
        <v>3.0223419003643723</v>
      </c>
      <c r="AI30" s="51">
        <f>'C-FCL Real'!AE149</f>
        <v>3.0365469072960845</v>
      </c>
      <c r="AJ30" s="1739">
        <f>'C-FCL Real'!AF149</f>
        <v>3.0508186777603759</v>
      </c>
      <c r="AK30" s="51">
        <f>'C-FCL Real'!AG149</f>
        <v>3.0651575255458492</v>
      </c>
      <c r="AL30" s="51">
        <f>'C-FCL Real'!AH149</f>
        <v>3.0795637659159145</v>
      </c>
      <c r="AM30" s="51">
        <f>'C-FCL Real'!AI149</f>
        <v>3.0940377156157193</v>
      </c>
      <c r="AN30" s="51">
        <f>'C-FCL Real'!AJ149</f>
        <v>3.108579692879113</v>
      </c>
      <c r="AO30" s="51">
        <f>'C-FCL Real'!AK149</f>
        <v>3.1231900174356446</v>
      </c>
      <c r="AP30" s="51">
        <f>'C-FCL Real'!AL149</f>
        <v>3.1378690105175919</v>
      </c>
      <c r="AQ30" s="51">
        <f>'C-FCL Real'!AM149</f>
        <v>3.1526169948670244</v>
      </c>
      <c r="AR30" s="51">
        <f>'C-FCL Real'!AN149</f>
        <v>3.1674342947428991</v>
      </c>
      <c r="AS30" s="51">
        <f>'C-FCL Real'!AO149</f>
        <v>3.1823212359281903</v>
      </c>
      <c r="AT30" s="51">
        <f>'C-FCL Real'!AP149</f>
        <v>3.1972781457370525</v>
      </c>
      <c r="AU30" s="51">
        <f>'C-FCL Real'!AQ149</f>
        <v>3.2123053530220163</v>
      </c>
      <c r="AV30" s="51">
        <f>'C-FCL Real'!AR149</f>
        <v>3.2274031881812193</v>
      </c>
      <c r="AW30" s="51">
        <f>'C-FCL Real'!AS149</f>
        <v>3.242571983165671</v>
      </c>
      <c r="AX30" s="51">
        <f>'C-FCL Real'!AT149</f>
        <v>3.2578120714865495</v>
      </c>
      <c r="AY30" s="51">
        <f>'C-FCL Real'!AU149</f>
        <v>3.2731237882225361</v>
      </c>
      <c r="AZ30" s="51">
        <f>'C-FCL Real'!AV149</f>
        <v>3.2885074700271817</v>
      </c>
      <c r="BA30" s="51">
        <f>'C-FCL Real'!AW149</f>
        <v>3.3039634551363091</v>
      </c>
      <c r="BB30" s="51">
        <f>'C-FCL Real'!AX149</f>
        <v>3.3194920833754495</v>
      </c>
      <c r="BC30" s="51">
        <f>'C-FCL Real'!AY149</f>
        <v>3.3350936961673141</v>
      </c>
      <c r="BD30" s="51">
        <f>'C-FCL Real'!AZ149</f>
        <v>3.3507686365393003</v>
      </c>
      <c r="BE30" s="51">
        <f>'C-FCL Real'!BA149</f>
        <v>3.3665172491310349</v>
      </c>
      <c r="BF30" s="51">
        <f>'C-FCL Real'!BB149</f>
        <v>3.3823398802019504</v>
      </c>
      <c r="BG30" s="51">
        <f>'C-FCL Real'!BC149</f>
        <v>3.3982368776388991</v>
      </c>
      <c r="BH30" s="51">
        <f>'C-FCL Real'!BD149</f>
        <v>0</v>
      </c>
    </row>
    <row r="31" spans="1:60" ht="15" hidden="1" customHeight="1" outlineLevel="1" x14ac:dyDescent="0.3">
      <c r="A31" s="1823">
        <f>C31*1000000/$C$16</f>
        <v>98.924633674828272</v>
      </c>
      <c r="B31" s="1847" t="s">
        <v>1011</v>
      </c>
      <c r="C31" s="1808">
        <f>SUMIF($D$15:$BG$15,1,D31:BG31)</f>
        <v>85.720827892179898</v>
      </c>
      <c r="D31" s="1804">
        <f t="shared" ref="D31:AJ31" si="4">NPV($C$8,D30:D30)</f>
        <v>2.4265864891244577</v>
      </c>
      <c r="E31" s="51">
        <f t="shared" si="4"/>
        <v>2.4379914456233425</v>
      </c>
      <c r="F31" s="51">
        <f t="shared" si="4"/>
        <v>2.4494500054177721</v>
      </c>
      <c r="G31" s="51">
        <f t="shared" si="4"/>
        <v>2.4609624204432357</v>
      </c>
      <c r="H31" s="51">
        <f t="shared" si="4"/>
        <v>2.4725289438193188</v>
      </c>
      <c r="I31" s="51">
        <f t="shared" si="4"/>
        <v>2.4841498298552693</v>
      </c>
      <c r="J31" s="51">
        <f t="shared" si="4"/>
        <v>2.4958253340555889</v>
      </c>
      <c r="K31" s="51">
        <f t="shared" si="4"/>
        <v>2.5075557131256496</v>
      </c>
      <c r="L31" s="51">
        <f t="shared" si="4"/>
        <v>2.5193412249773401</v>
      </c>
      <c r="M31" s="51">
        <f t="shared" si="4"/>
        <v>2.5311821287347334</v>
      </c>
      <c r="N31" s="51">
        <f t="shared" si="4"/>
        <v>2.5430786847397862</v>
      </c>
      <c r="O31" s="51">
        <f t="shared" si="4"/>
        <v>2.5550311545580628</v>
      </c>
      <c r="P31" s="51">
        <f t="shared" si="4"/>
        <v>2.5670398009844857</v>
      </c>
      <c r="Q31" s="51">
        <f t="shared" si="4"/>
        <v>2.5791048880491125</v>
      </c>
      <c r="R31" s="51">
        <f t="shared" si="4"/>
        <v>2.5912266810229427</v>
      </c>
      <c r="S31" s="51">
        <f t="shared" si="4"/>
        <v>2.5670398009844857</v>
      </c>
      <c r="T31" s="51">
        <f t="shared" si="4"/>
        <v>2.5791048880491125</v>
      </c>
      <c r="U31" s="51">
        <f t="shared" si="4"/>
        <v>2.5912266810229427</v>
      </c>
      <c r="V31" s="51">
        <f t="shared" si="4"/>
        <v>2.6034054464237504</v>
      </c>
      <c r="W31" s="51">
        <f t="shared" si="4"/>
        <v>2.6156414520219418</v>
      </c>
      <c r="X31" s="51">
        <f t="shared" si="4"/>
        <v>2.6279349668464449</v>
      </c>
      <c r="Y31" s="51">
        <f t="shared" si="4"/>
        <v>2.6402862611906226</v>
      </c>
      <c r="Z31" s="51">
        <f t="shared" si="4"/>
        <v>2.6526956066182183</v>
      </c>
      <c r="AA31" s="51">
        <f t="shared" si="4"/>
        <v>2.665163275969324</v>
      </c>
      <c r="AB31" s="51">
        <f t="shared" si="4"/>
        <v>2.6776895433663794</v>
      </c>
      <c r="AC31" s="51">
        <f t="shared" si="4"/>
        <v>2.690274684220201</v>
      </c>
      <c r="AD31" s="51">
        <f t="shared" si="4"/>
        <v>2.7029189752360359</v>
      </c>
      <c r="AE31" s="51">
        <f t="shared" si="4"/>
        <v>2.7156226944196451</v>
      </c>
      <c r="AF31" s="51">
        <f t="shared" si="4"/>
        <v>2.728386121083417</v>
      </c>
      <c r="AG31" s="51">
        <f t="shared" si="4"/>
        <v>2.741209535852509</v>
      </c>
      <c r="AH31" s="51">
        <f t="shared" si="4"/>
        <v>2.7540932206710158</v>
      </c>
      <c r="AI31" s="51">
        <f t="shared" si="4"/>
        <v>2.767037458808169</v>
      </c>
      <c r="AJ31" s="1739">
        <f t="shared" si="4"/>
        <v>2.7800425348645672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416.7462668887228</v>
      </c>
      <c r="B33" s="1794" t="s">
        <v>1004</v>
      </c>
      <c r="C33" s="1809">
        <f>SUMIF($D$15:$BG$15,1,D33:BG33)</f>
        <v>361.12173168215361</v>
      </c>
      <c r="D33" s="1804">
        <f>'C-FCL Real'!C153</f>
        <v>6.0487185994248058</v>
      </c>
      <c r="E33" s="51">
        <f>'C-FCL Real'!D153</f>
        <v>-4.8805829553507927</v>
      </c>
      <c r="F33" s="51">
        <f>'C-FCL Real'!E153</f>
        <v>-0.24651083050750699</v>
      </c>
      <c r="G33" s="51">
        <f>'C-FCL Real'!F153</f>
        <v>9.2096188858488404</v>
      </c>
      <c r="H33" s="51">
        <f>'C-FCL Real'!G153</f>
        <v>9.3537612545049349</v>
      </c>
      <c r="I33" s="51">
        <f>'C-FCL Real'!H153</f>
        <v>9.4985810922937084</v>
      </c>
      <c r="J33" s="51">
        <f>'C-FCL Real'!I153</f>
        <v>9.6440815833200908</v>
      </c>
      <c r="K33" s="51">
        <f>'C-FCL Real'!J153</f>
        <v>9.7902659266542962</v>
      </c>
      <c r="L33" s="51">
        <f>'C-FCL Real'!K153</f>
        <v>9.93713733640217</v>
      </c>
      <c r="M33" s="51">
        <f>'C-FCL Real'!L153</f>
        <v>10.084699041775863</v>
      </c>
      <c r="N33" s="51">
        <f>'C-FCL Real'!M153</f>
        <v>10.232954287164812</v>
      </c>
      <c r="O33" s="51">
        <f>'C-FCL Real'!N153</f>
        <v>10.381906332207087</v>
      </c>
      <c r="P33" s="51">
        <f>'C-FCL Real'!O153</f>
        <v>10.531558451861063</v>
      </c>
      <c r="Q33" s="51">
        <f>'C-FCL Real'!P153</f>
        <v>10.681913936477404</v>
      </c>
      <c r="R33" s="51">
        <f>'C-FCL Real'!Q153</f>
        <v>10.832976091871455</v>
      </c>
      <c r="S33" s="51">
        <f>'C-FCL Real'!O153</f>
        <v>10.531558451861063</v>
      </c>
      <c r="T33" s="51">
        <f>'C-FCL Real'!P153</f>
        <v>10.681913936477404</v>
      </c>
      <c r="U33" s="51">
        <f>'C-FCL Real'!Q153</f>
        <v>10.832976091871455</v>
      </c>
      <c r="V33" s="51">
        <f>'C-FCL Real'!R153</f>
        <v>10.984748239395859</v>
      </c>
      <c r="W33" s="51">
        <f>'C-FCL Real'!S153</f>
        <v>11.137233716013622</v>
      </c>
      <c r="X33" s="51">
        <f>'C-FCL Real'!T153</f>
        <v>11.290435874371479</v>
      </c>
      <c r="Y33" s="51">
        <f>'C-FCL Real'!U153</f>
        <v>11.444358082873631</v>
      </c>
      <c r="Z33" s="51">
        <f>'C-FCL Real'!V153</f>
        <v>11.59900372575574</v>
      </c>
      <c r="AA33" s="51">
        <f>'C-FCL Real'!W153</f>
        <v>11.754376203159392</v>
      </c>
      <c r="AB33" s="51">
        <f>'C-FCL Real'!X153</f>
        <v>11.910478931206843</v>
      </c>
      <c r="AC33" s="51">
        <f>'C-FCL Real'!Y153</f>
        <v>12.067315342076117</v>
      </c>
      <c r="AD33" s="51">
        <f>'C-FCL Real'!Z153</f>
        <v>12.224888884076467</v>
      </c>
      <c r="AE33" s="51">
        <f>'C-FCL Real'!AA153</f>
        <v>12.383203021724231</v>
      </c>
      <c r="AF33" s="51">
        <f>'C-FCL Real'!AB153</f>
        <v>12.542261235818938</v>
      </c>
      <c r="AG33" s="51">
        <f>'C-FCL Real'!AC153</f>
        <v>12.702067023519891</v>
      </c>
      <c r="AH33" s="51">
        <f>'C-FCL Real'!AD153</f>
        <v>12.862623898423028</v>
      </c>
      <c r="AI33" s="51">
        <f>'C-FCL Real'!AE153</f>
        <v>13.023935390638218</v>
      </c>
      <c r="AJ33" s="1739">
        <f>'C-FCL Real'!AF153</f>
        <v>13.186005046866821</v>
      </c>
      <c r="AK33" s="51">
        <f>'C-FCL Real'!AG153</f>
        <v>13.34883643047969</v>
      </c>
      <c r="AL33" s="51">
        <f>'C-FCL Real'!AH153</f>
        <v>13.512433121595546</v>
      </c>
      <c r="AM33" s="51">
        <f>'C-FCL Real'!AI153</f>
        <v>13.676798717159652</v>
      </c>
      <c r="AN33" s="51">
        <f>'C-FCL Real'!AJ153</f>
        <v>13.841936831022903</v>
      </c>
      <c r="AO33" s="51">
        <f>'C-FCL Real'!AK153</f>
        <v>14.007851094021309</v>
      </c>
      <c r="AP33" s="51">
        <f>'C-FCL Real'!AL153</f>
        <v>14.17454515405581</v>
      </c>
      <c r="AQ33" s="51">
        <f>'C-FCL Real'!AM153</f>
        <v>14.342022676172466</v>
      </c>
      <c r="AR33" s="51">
        <f>'C-FCL Real'!AN153</f>
        <v>14.510287342643078</v>
      </c>
      <c r="AS33" s="51">
        <f>'C-FCL Real'!AO153</f>
        <v>14.679342853046112</v>
      </c>
      <c r="AT33" s="51">
        <f>'C-FCL Real'!AP153</f>
        <v>14.849192924348028</v>
      </c>
      <c r="AU33" s="51">
        <f>'C-FCL Real'!AQ153</f>
        <v>15.01984129098506</v>
      </c>
      <c r="AV33" s="51">
        <f>'C-FCL Real'!AR153</f>
        <v>15.191291704945296</v>
      </c>
      <c r="AW33" s="51">
        <f>'C-FCL Real'!AS153</f>
        <v>15.363547935851134</v>
      </c>
      <c r="AX33" s="51">
        <f>'C-FCL Real'!AT153</f>
        <v>15.536613771042237</v>
      </c>
      <c r="AY33" s="51">
        <f>'C-FCL Real'!AU153</f>
        <v>15.710493015658731</v>
      </c>
      <c r="AZ33" s="51">
        <f>'C-FCL Real'!AV153</f>
        <v>15.885189492724937</v>
      </c>
      <c r="BA33" s="51">
        <f>'C-FCL Real'!AW153</f>
        <v>16.060707043233354</v>
      </c>
      <c r="BB33" s="51">
        <f>'C-FCL Real'!AX153</f>
        <v>16.237049526229146</v>
      </c>
      <c r="BC33" s="51">
        <f>'C-FCL Real'!AY153</f>
        <v>16.414220818895014</v>
      </c>
      <c r="BD33" s="51">
        <f>'C-FCL Real'!AZ153</f>
        <v>16.592224816636421</v>
      </c>
      <c r="BE33" s="51">
        <f>'C-FCL Real'!BA153</f>
        <v>16.77106543316722</v>
      </c>
      <c r="BF33" s="51">
        <f>'C-FCL Real'!BB153</f>
        <v>16.950746600595703</v>
      </c>
      <c r="BG33" s="51">
        <f>'C-FCL Real'!BC153</f>
        <v>17.131272269511111</v>
      </c>
      <c r="BH33" s="51">
        <f>'C-FCL Real'!BD153</f>
        <v>0</v>
      </c>
    </row>
    <row r="34" spans="1:60" ht="15" hidden="1" customHeight="1" outlineLevel="1" x14ac:dyDescent="0.3">
      <c r="A34" s="1823">
        <f>C34*1000000/$C$16</f>
        <v>351.51037448620349</v>
      </c>
      <c r="B34" s="1847" t="s">
        <v>1012</v>
      </c>
      <c r="C34" s="1808">
        <f>SUMIF($D$15:$BG$15,1,D34:BG34)</f>
        <v>304.59309470573942</v>
      </c>
      <c r="D34" s="1804">
        <f t="shared" ref="D34:AJ34" si="5">NPV($C$8,D33:D33)</f>
        <v>5.5118631305128538</v>
      </c>
      <c r="E34" s="51">
        <f t="shared" si="5"/>
        <v>-4.4474056454809485</v>
      </c>
      <c r="F34" s="51">
        <f t="shared" si="5"/>
        <v>-0.22463170266767543</v>
      </c>
      <c r="G34" s="51">
        <f t="shared" si="5"/>
        <v>8.3922169544822687</v>
      </c>
      <c r="H34" s="51">
        <f t="shared" si="5"/>
        <v>8.5235659326635105</v>
      </c>
      <c r="I34" s="51">
        <f t="shared" si="5"/>
        <v>8.6555322510421995</v>
      </c>
      <c r="J34" s="51">
        <f t="shared" si="5"/>
        <v>8.7881188111172701</v>
      </c>
      <c r="K34" s="51">
        <f t="shared" si="5"/>
        <v>8.9213285280246915</v>
      </c>
      <c r="L34" s="51">
        <f t="shared" si="5"/>
        <v>9.0551643306015777</v>
      </c>
      <c r="M34" s="51">
        <f t="shared" si="5"/>
        <v>9.1896291614505774</v>
      </c>
      <c r="N34" s="51">
        <f t="shared" si="5"/>
        <v>9.3247259770045687</v>
      </c>
      <c r="O34" s="51">
        <f t="shared" si="5"/>
        <v>9.4604577475916596</v>
      </c>
      <c r="P34" s="51">
        <f t="shared" si="5"/>
        <v>9.5968274575005132</v>
      </c>
      <c r="Q34" s="51">
        <f t="shared" si="5"/>
        <v>9.7338381050459315</v>
      </c>
      <c r="R34" s="51">
        <f t="shared" si="5"/>
        <v>9.8714927026348231</v>
      </c>
      <c r="S34" s="51">
        <f t="shared" si="5"/>
        <v>9.5968274575005132</v>
      </c>
      <c r="T34" s="51">
        <f t="shared" si="5"/>
        <v>9.7338381050459315</v>
      </c>
      <c r="U34" s="51">
        <f t="shared" si="5"/>
        <v>9.8714927026348231</v>
      </c>
      <c r="V34" s="51">
        <f t="shared" si="5"/>
        <v>10.009794276832386</v>
      </c>
      <c r="W34" s="51">
        <f t="shared" si="5"/>
        <v>10.148745868428669</v>
      </c>
      <c r="X34" s="51">
        <f t="shared" si="5"/>
        <v>10.288350532505449</v>
      </c>
      <c r="Y34" s="51">
        <f t="shared" si="5"/>
        <v>10.4286113385034</v>
      </c>
      <c r="Z34" s="51">
        <f t="shared" si="5"/>
        <v>10.569531370289539</v>
      </c>
      <c r="AA34" s="51">
        <f t="shared" si="5"/>
        <v>10.71111372622507</v>
      </c>
      <c r="AB34" s="51">
        <f t="shared" si="5"/>
        <v>10.8533615192335</v>
      </c>
      <c r="AC34" s="51">
        <f t="shared" si="5"/>
        <v>10.996277876869071</v>
      </c>
      <c r="AD34" s="51">
        <f t="shared" si="5"/>
        <v>11.139865941385519</v>
      </c>
      <c r="AE34" s="51">
        <f t="shared" si="5"/>
        <v>11.284128869805205</v>
      </c>
      <c r="AF34" s="51">
        <f t="shared" si="5"/>
        <v>11.429069833988462</v>
      </c>
      <c r="AG34" s="51">
        <f t="shared" si="5"/>
        <v>11.574692020703383</v>
      </c>
      <c r="AH34" s="51">
        <f t="shared" si="5"/>
        <v>11.720998631695853</v>
      </c>
      <c r="AI34" s="51">
        <f t="shared" si="5"/>
        <v>11.867992883759996</v>
      </c>
      <c r="AJ34" s="1739">
        <f t="shared" si="5"/>
        <v>12.015678008808841</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143.70545416573043</v>
      </c>
      <c r="B36" s="1795" t="s">
        <v>1014</v>
      </c>
      <c r="C36" s="1809">
        <f>SUMIF($D$15:$BG$15,1,D36:BG36)</f>
        <v>124.52460065912403</v>
      </c>
      <c r="D36" s="1804">
        <f>IF(D33&gt;0,D33*0.34,0)</f>
        <v>2.0565643238044342</v>
      </c>
      <c r="E36" s="51">
        <f t="shared" ref="E36:BG36" si="6">IF(E33&gt;0,E33*0.34,0)</f>
        <v>0</v>
      </c>
      <c r="F36" s="51">
        <f t="shared" si="6"/>
        <v>0</v>
      </c>
      <c r="G36" s="51">
        <f t="shared" si="6"/>
        <v>3.131270421188606</v>
      </c>
      <c r="H36" s="51">
        <f t="shared" si="6"/>
        <v>3.1802788265316781</v>
      </c>
      <c r="I36" s="51">
        <f t="shared" si="6"/>
        <v>3.2295175713798612</v>
      </c>
      <c r="J36" s="51">
        <f t="shared" si="6"/>
        <v>3.2789877383288313</v>
      </c>
      <c r="K36" s="51">
        <f t="shared" si="6"/>
        <v>3.3286904150624608</v>
      </c>
      <c r="L36" s="51">
        <f t="shared" si="6"/>
        <v>3.378626694376738</v>
      </c>
      <c r="M36" s="51">
        <f t="shared" si="6"/>
        <v>3.4287976742037936</v>
      </c>
      <c r="N36" s="51">
        <f t="shared" si="6"/>
        <v>3.4792044576360364</v>
      </c>
      <c r="O36" s="51">
        <f t="shared" si="6"/>
        <v>3.52984815295041</v>
      </c>
      <c r="P36" s="51">
        <f>IF(P33&gt;0,P33*0.34,0)</f>
        <v>3.5807298736327615</v>
      </c>
      <c r="Q36" s="51">
        <f>IF(Q33&gt;0,Q33*0.34,0)</f>
        <v>3.6318507384023175</v>
      </c>
      <c r="R36" s="51">
        <f>IF(R33&gt;0,R33*0.34,0)</f>
        <v>3.6832118712362951</v>
      </c>
      <c r="S36" s="51">
        <f t="shared" si="6"/>
        <v>3.5807298736327615</v>
      </c>
      <c r="T36" s="51">
        <f t="shared" si="6"/>
        <v>3.6318507384023175</v>
      </c>
      <c r="U36" s="51">
        <f t="shared" si="6"/>
        <v>3.6832118712362951</v>
      </c>
      <c r="V36" s="51">
        <f t="shared" si="6"/>
        <v>3.7348144013945923</v>
      </c>
      <c r="W36" s="51">
        <f t="shared" si="6"/>
        <v>3.7866594634446318</v>
      </c>
      <c r="X36" s="51">
        <f t="shared" si="6"/>
        <v>3.8387481972863031</v>
      </c>
      <c r="Y36" s="51">
        <f t="shared" si="6"/>
        <v>3.8910817481770348</v>
      </c>
      <c r="Z36" s="51">
        <f t="shared" si="6"/>
        <v>3.9436612667569517</v>
      </c>
      <c r="AA36" s="51">
        <f t="shared" si="6"/>
        <v>3.9964879090741938</v>
      </c>
      <c r="AB36" s="51">
        <f t="shared" si="6"/>
        <v>4.0495628366103267</v>
      </c>
      <c r="AC36" s="51">
        <f t="shared" si="6"/>
        <v>4.1028872163058798</v>
      </c>
      <c r="AD36" s="51">
        <f t="shared" si="6"/>
        <v>4.1564622205859987</v>
      </c>
      <c r="AE36" s="51">
        <f t="shared" si="6"/>
        <v>4.2102890273862386</v>
      </c>
      <c r="AF36" s="51">
        <f t="shared" si="6"/>
        <v>4.2643688201784391</v>
      </c>
      <c r="AG36" s="51">
        <f t="shared" si="6"/>
        <v>4.318702787996763</v>
      </c>
      <c r="AH36" s="51">
        <f t="shared" si="6"/>
        <v>4.3732921254638297</v>
      </c>
      <c r="AI36" s="51">
        <f t="shared" si="6"/>
        <v>4.428138032816995</v>
      </c>
      <c r="AJ36" s="1739">
        <f t="shared" si="6"/>
        <v>4.48324171593472</v>
      </c>
      <c r="AK36" s="51">
        <f t="shared" si="6"/>
        <v>4.5386043863630947</v>
      </c>
      <c r="AL36" s="51">
        <f t="shared" si="6"/>
        <v>4.5942272613424855</v>
      </c>
      <c r="AM36" s="51">
        <f t="shared" si="6"/>
        <v>4.6501115638342823</v>
      </c>
      <c r="AN36" s="51">
        <f t="shared" si="6"/>
        <v>4.7062585225477873</v>
      </c>
      <c r="AO36" s="51">
        <f t="shared" si="6"/>
        <v>4.7626693719672453</v>
      </c>
      <c r="AP36" s="51">
        <f t="shared" si="6"/>
        <v>4.819345352378976</v>
      </c>
      <c r="AQ36" s="51">
        <f t="shared" si="6"/>
        <v>4.876287709898639</v>
      </c>
      <c r="AR36" s="51">
        <f t="shared" si="6"/>
        <v>4.9334976964986472</v>
      </c>
      <c r="AS36" s="51">
        <f t="shared" si="6"/>
        <v>4.9909765700356781</v>
      </c>
      <c r="AT36" s="51">
        <f t="shared" si="6"/>
        <v>5.0487255942783298</v>
      </c>
      <c r="AU36" s="51">
        <f t="shared" si="6"/>
        <v>5.1067460389349204</v>
      </c>
      <c r="AV36" s="51">
        <f t="shared" si="6"/>
        <v>5.1650391796814015</v>
      </c>
      <c r="AW36" s="51">
        <f t="shared" si="6"/>
        <v>5.2236062981893863</v>
      </c>
      <c r="AX36" s="51">
        <f t="shared" si="6"/>
        <v>5.282448682154361</v>
      </c>
      <c r="AY36" s="51">
        <f t="shared" si="6"/>
        <v>5.341567625323969</v>
      </c>
      <c r="AZ36" s="51">
        <f t="shared" si="6"/>
        <v>5.4009644275264792</v>
      </c>
      <c r="BA36" s="51">
        <f t="shared" si="6"/>
        <v>5.4606403946993405</v>
      </c>
      <c r="BB36" s="51">
        <f t="shared" si="6"/>
        <v>5.5205968389179105</v>
      </c>
      <c r="BC36" s="51">
        <f t="shared" si="6"/>
        <v>5.5808350784243048</v>
      </c>
      <c r="BD36" s="51">
        <f t="shared" si="6"/>
        <v>5.6413564376563832</v>
      </c>
      <c r="BE36" s="51">
        <f t="shared" si="6"/>
        <v>5.7021622472768554</v>
      </c>
      <c r="BF36" s="51">
        <f t="shared" si="6"/>
        <v>5.7632538442025396</v>
      </c>
      <c r="BG36" s="51">
        <f t="shared" si="6"/>
        <v>5.8246325716337779</v>
      </c>
      <c r="BH36" s="51">
        <f>BH33*0.34</f>
        <v>0</v>
      </c>
    </row>
    <row r="37" spans="1:60" ht="15" hidden="1" customHeight="1" outlineLevel="1" x14ac:dyDescent="0.3">
      <c r="A37" s="1823">
        <f>C37*1000000/$C$16</f>
        <v>121.34669975429108</v>
      </c>
      <c r="B37" s="1847" t="s">
        <v>1013</v>
      </c>
      <c r="C37" s="1808">
        <f>SUMIF($D$15:$BG$15,1,D37:BG37)</f>
        <v>105.15014489832195</v>
      </c>
      <c r="D37" s="1804">
        <f t="shared" ref="D37:AJ37" si="7">NPV($C$8,D36:D36)</f>
        <v>1.8740334643743706</v>
      </c>
      <c r="E37" s="51">
        <f t="shared" si="7"/>
        <v>0</v>
      </c>
      <c r="F37" s="51">
        <f t="shared" si="7"/>
        <v>0</v>
      </c>
      <c r="G37" s="51">
        <f t="shared" si="7"/>
        <v>2.8533537645239715</v>
      </c>
      <c r="H37" s="51">
        <f t="shared" si="7"/>
        <v>2.8980124171055937</v>
      </c>
      <c r="I37" s="51">
        <f t="shared" si="7"/>
        <v>2.9428809653543477</v>
      </c>
      <c r="J37" s="51">
        <f t="shared" si="7"/>
        <v>2.9879603957798722</v>
      </c>
      <c r="K37" s="51">
        <f t="shared" si="7"/>
        <v>3.0332516995283951</v>
      </c>
      <c r="L37" s="51">
        <f t="shared" si="7"/>
        <v>3.0787558724045363</v>
      </c>
      <c r="M37" s="51">
        <f t="shared" si="7"/>
        <v>3.1244739148931964</v>
      </c>
      <c r="N37" s="51">
        <f t="shared" si="7"/>
        <v>3.1704068321815533</v>
      </c>
      <c r="O37" s="51">
        <f t="shared" si="7"/>
        <v>3.216555634181165</v>
      </c>
      <c r="P37" s="51">
        <f t="shared" si="7"/>
        <v>3.2629213355501747</v>
      </c>
      <c r="Q37" s="51">
        <f t="shared" si="7"/>
        <v>3.3095049557156169</v>
      </c>
      <c r="R37" s="51">
        <f t="shared" si="7"/>
        <v>3.3563075188958407</v>
      </c>
      <c r="S37" s="51">
        <f t="shared" si="7"/>
        <v>3.2629213355501747</v>
      </c>
      <c r="T37" s="51">
        <f t="shared" si="7"/>
        <v>3.3095049557156169</v>
      </c>
      <c r="U37" s="51">
        <f t="shared" si="7"/>
        <v>3.3563075188958407</v>
      </c>
      <c r="V37" s="51">
        <f t="shared" si="7"/>
        <v>3.4033300541230114</v>
      </c>
      <c r="W37" s="51">
        <f t="shared" si="7"/>
        <v>3.4505735952657481</v>
      </c>
      <c r="X37" s="51">
        <f t="shared" si="7"/>
        <v>3.498039181051853</v>
      </c>
      <c r="Y37" s="51">
        <f t="shared" si="7"/>
        <v>3.5457278550911564</v>
      </c>
      <c r="Z37" s="51">
        <f t="shared" si="7"/>
        <v>3.5936406658984437</v>
      </c>
      <c r="AA37" s="51">
        <f t="shared" si="7"/>
        <v>3.6417786669165246</v>
      </c>
      <c r="AB37" s="51">
        <f t="shared" si="7"/>
        <v>3.6901429165393904</v>
      </c>
      <c r="AC37" s="51">
        <f t="shared" si="7"/>
        <v>3.7387344781354841</v>
      </c>
      <c r="AD37" s="51">
        <f t="shared" si="7"/>
        <v>3.7875544200710762</v>
      </c>
      <c r="AE37" s="51">
        <f t="shared" si="7"/>
        <v>3.8366038157337696</v>
      </c>
      <c r="AF37" s="51">
        <f t="shared" si="7"/>
        <v>3.8858837435560774</v>
      </c>
      <c r="AG37" s="51">
        <f t="shared" si="7"/>
        <v>3.93539528703915</v>
      </c>
      <c r="AH37" s="51">
        <f t="shared" si="7"/>
        <v>3.9851395347765903</v>
      </c>
      <c r="AI37" s="51">
        <f t="shared" si="7"/>
        <v>4.0351175804783992</v>
      </c>
      <c r="AJ37" s="1739">
        <f t="shared" si="7"/>
        <v>4.0853305229950063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273.04081272299243</v>
      </c>
      <c r="B39" s="1794" t="s">
        <v>1002</v>
      </c>
      <c r="C39" s="1809">
        <f>SUMIF($D$15:$BG$15,1,D39:BG39)</f>
        <v>236.59713102302962</v>
      </c>
      <c r="D39" s="1804">
        <f>'C-FCL Real'!C156</f>
        <v>3.9921542756203721</v>
      </c>
      <c r="E39" s="51">
        <f>'C-FCL Real'!D156</f>
        <v>-4.8805829553507927</v>
      </c>
      <c r="F39" s="51">
        <f>'C-FCL Real'!E156</f>
        <v>-0.24651083050750699</v>
      </c>
      <c r="G39" s="51">
        <f>'C-FCL Real'!F156</f>
        <v>6.0783484646602348</v>
      </c>
      <c r="H39" s="51">
        <f>'C-FCL Real'!G156</f>
        <v>6.1734824279732576</v>
      </c>
      <c r="I39" s="51">
        <f>'C-FCL Real'!H156</f>
        <v>6.2690635209138481</v>
      </c>
      <c r="J39" s="51">
        <f>'C-FCL Real'!I156</f>
        <v>6.36509384499126</v>
      </c>
      <c r="K39" s="51">
        <f>'C-FCL Real'!J156</f>
        <v>6.4615755115918354</v>
      </c>
      <c r="L39" s="51">
        <f>'C-FCL Real'!K156</f>
        <v>6.5585106420254329</v>
      </c>
      <c r="M39" s="51">
        <f>'C-FCL Real'!L156</f>
        <v>6.6559013675720697</v>
      </c>
      <c r="N39" s="51">
        <f>'C-FCL Real'!M156</f>
        <v>6.7537498295287763</v>
      </c>
      <c r="O39" s="51">
        <f>'C-FCL Real'!N156</f>
        <v>6.8520581792566784</v>
      </c>
      <c r="P39" s="51">
        <f>'C-FCL Real'!O156</f>
        <v>6.9508285782283021</v>
      </c>
      <c r="Q39" s="51">
        <f>'C-FCL Real'!P156</f>
        <v>7.0500631980750867</v>
      </c>
      <c r="R39" s="51">
        <f>'C-FCL Real'!Q156</f>
        <v>7.1497642206351602</v>
      </c>
      <c r="S39" s="51">
        <f>'C-FCL Real'!O156</f>
        <v>6.9508285782283021</v>
      </c>
      <c r="T39" s="51">
        <f>'C-FCL Real'!P156</f>
        <v>7.0500631980750867</v>
      </c>
      <c r="U39" s="51">
        <f>'C-FCL Real'!Q156</f>
        <v>7.1497642206351602</v>
      </c>
      <c r="V39" s="51">
        <f>'C-FCL Real'!R156</f>
        <v>7.2499338380012679</v>
      </c>
      <c r="W39" s="51">
        <f>'C-FCL Real'!S156</f>
        <v>7.3505742525689906</v>
      </c>
      <c r="X39" s="51">
        <f>'C-FCL Real'!T156</f>
        <v>7.4516876770851761</v>
      </c>
      <c r="Y39" s="51">
        <f>'C-FCL Real'!U156</f>
        <v>7.553276334696597</v>
      </c>
      <c r="Z39" s="51">
        <f>'C-FCL Real'!V156</f>
        <v>7.6553424589987884</v>
      </c>
      <c r="AA39" s="51">
        <f>'C-FCL Real'!W156</f>
        <v>7.7578882940851992</v>
      </c>
      <c r="AB39" s="51">
        <f>'C-FCL Real'!X156</f>
        <v>7.8609160945965169</v>
      </c>
      <c r="AC39" s="51">
        <f>'C-FCL Real'!Y156</f>
        <v>7.9644281257702376</v>
      </c>
      <c r="AD39" s="51">
        <f>'C-FCL Real'!Z156</f>
        <v>8.0684266634904684</v>
      </c>
      <c r="AE39" s="51">
        <f>'C-FCL Real'!AA156</f>
        <v>8.1729139943379927</v>
      </c>
      <c r="AF39" s="51">
        <f>'C-FCL Real'!AB156</f>
        <v>8.2778924156404994</v>
      </c>
      <c r="AG39" s="51">
        <f>'C-FCL Real'!AC156</f>
        <v>8.3833642355231284</v>
      </c>
      <c r="AH39" s="51">
        <f>'C-FCL Real'!AD156</f>
        <v>8.4893317729591988</v>
      </c>
      <c r="AI39" s="51">
        <f>'C-FCL Real'!AE156</f>
        <v>8.5957973578212243</v>
      </c>
      <c r="AJ39" s="1739">
        <f>'C-FCL Real'!AF156</f>
        <v>8.7027633309321022</v>
      </c>
      <c r="AK39" s="51">
        <f>'C-FCL Real'!AG156</f>
        <v>8.8102320441165958</v>
      </c>
      <c r="AL39" s="51">
        <f>'C-FCL Real'!AH156</f>
        <v>8.9182058602530603</v>
      </c>
      <c r="AM39" s="51">
        <f>'C-FCL Real'!AI156</f>
        <v>9.026687153325371</v>
      </c>
      <c r="AN39" s="51">
        <f>'C-FCL Real'!AJ156</f>
        <v>9.1356783084751161</v>
      </c>
      <c r="AO39" s="51">
        <f>'C-FCL Real'!AK156</f>
        <v>9.2451817220540633</v>
      </c>
      <c r="AP39" s="51">
        <f>'C-FCL Real'!AL156</f>
        <v>9.3551998016768358</v>
      </c>
      <c r="AQ39" s="51">
        <f>'C-FCL Real'!AM156</f>
        <v>9.4657349662738284</v>
      </c>
      <c r="AR39" s="51">
        <f>'C-FCL Real'!AN156</f>
        <v>9.576789646144432</v>
      </c>
      <c r="AS39" s="51">
        <f>'C-FCL Real'!AO156</f>
        <v>9.6883662830104349</v>
      </c>
      <c r="AT39" s="51">
        <f>'C-FCL Real'!AP156</f>
        <v>9.8004673300696989</v>
      </c>
      <c r="AU39" s="51">
        <f>'C-FCL Real'!AQ156</f>
        <v>9.9130952520501392</v>
      </c>
      <c r="AV39" s="51">
        <f>'C-FCL Real'!AR156</f>
        <v>10.026252525263896</v>
      </c>
      <c r="AW39" s="51">
        <f>'C-FCL Real'!AS156</f>
        <v>10.139941637661749</v>
      </c>
      <c r="AX39" s="51">
        <f>'C-FCL Real'!AT156</f>
        <v>10.254165088887877</v>
      </c>
      <c r="AY39" s="51">
        <f>'C-FCL Real'!AU156</f>
        <v>10.368925390334763</v>
      </c>
      <c r="AZ39" s="51">
        <f>'C-FCL Real'!AV156</f>
        <v>10.484225065198459</v>
      </c>
      <c r="BA39" s="51">
        <f>'C-FCL Real'!AW156</f>
        <v>10.600066648534014</v>
      </c>
      <c r="BB39" s="51">
        <f>'C-FCL Real'!AX156</f>
        <v>10.716452687311238</v>
      </c>
      <c r="BC39" s="51">
        <f>'C-FCL Real'!AY156</f>
        <v>10.83338574047071</v>
      </c>
      <c r="BD39" s="51">
        <f>'C-FCL Real'!AZ156</f>
        <v>10.950868378980038</v>
      </c>
      <c r="BE39" s="51">
        <f>'C-FCL Real'!BA156</f>
        <v>11.068903185890365</v>
      </c>
      <c r="BF39" s="51">
        <f>'C-FCL Real'!BB156</f>
        <v>11.187492756393166</v>
      </c>
      <c r="BG39" s="51">
        <f>'C-FCL Real'!BC156</f>
        <v>11.306639697877333</v>
      </c>
      <c r="BH39" s="51">
        <f>'C-FCL Real'!BD156</f>
        <v>0</v>
      </c>
    </row>
    <row r="40" spans="1:60" ht="15" hidden="1" customHeight="1" outlineLevel="1" x14ac:dyDescent="0.3">
      <c r="A40" s="1823">
        <f>C40*1000000/$C$16</f>
        <v>239.42856937545722</v>
      </c>
      <c r="B40" s="1847" t="s">
        <v>1015</v>
      </c>
      <c r="C40" s="1808">
        <f>SUMIF($D$15:$BG$15,1,D40:BG40)</f>
        <v>207.47122759502145</v>
      </c>
      <c r="D40" s="1804">
        <f t="shared" ref="D40:AK40" si="8">NPV($C$8,D39:D39)</f>
        <v>3.6378296661384839</v>
      </c>
      <c r="E40" s="51">
        <f t="shared" si="8"/>
        <v>-4.4474056454809485</v>
      </c>
      <c r="F40" s="51">
        <f t="shared" si="8"/>
        <v>-0.22463170266767543</v>
      </c>
      <c r="G40" s="51">
        <f t="shared" si="8"/>
        <v>5.5388631899582972</v>
      </c>
      <c r="H40" s="51">
        <f t="shared" si="8"/>
        <v>5.6255535155579173</v>
      </c>
      <c r="I40" s="51">
        <f t="shared" si="8"/>
        <v>5.7126512856878513</v>
      </c>
      <c r="J40" s="51">
        <f t="shared" si="8"/>
        <v>5.800158415337398</v>
      </c>
      <c r="K40" s="51">
        <f t="shared" si="8"/>
        <v>5.8880768284962963</v>
      </c>
      <c r="L40" s="51">
        <f t="shared" si="8"/>
        <v>5.9764084581970414</v>
      </c>
      <c r="M40" s="51">
        <f t="shared" si="8"/>
        <v>6.0651552465573815</v>
      </c>
      <c r="N40" s="51">
        <f t="shared" si="8"/>
        <v>6.154319144823015</v>
      </c>
      <c r="O40" s="51">
        <f t="shared" si="8"/>
        <v>6.2439021134104964</v>
      </c>
      <c r="P40" s="51">
        <f t="shared" si="8"/>
        <v>6.3339061219503394</v>
      </c>
      <c r="Q40" s="51">
        <f t="shared" si="8"/>
        <v>6.4243331493303142</v>
      </c>
      <c r="R40" s="51">
        <f t="shared" si="8"/>
        <v>6.5151851837389838</v>
      </c>
      <c r="S40" s="51">
        <f t="shared" si="8"/>
        <v>6.3339061219503394</v>
      </c>
      <c r="T40" s="51">
        <f t="shared" si="8"/>
        <v>6.4243331493303142</v>
      </c>
      <c r="U40" s="51">
        <f t="shared" si="8"/>
        <v>6.5151851837389838</v>
      </c>
      <c r="V40" s="51">
        <f t="shared" si="8"/>
        <v>6.6064642227093753</v>
      </c>
      <c r="W40" s="51">
        <f t="shared" si="8"/>
        <v>6.6981722731629221</v>
      </c>
      <c r="X40" s="51">
        <f t="shared" si="8"/>
        <v>6.790311351453596</v>
      </c>
      <c r="Y40" s="51">
        <f t="shared" si="8"/>
        <v>6.882883483412245</v>
      </c>
      <c r="Z40" s="51">
        <f t="shared" si="8"/>
        <v>6.9758907043910963</v>
      </c>
      <c r="AA40" s="51">
        <f t="shared" si="8"/>
        <v>7.0693350593085471</v>
      </c>
      <c r="AB40" s="51">
        <f t="shared" si="8"/>
        <v>7.1632186026941111</v>
      </c>
      <c r="AC40" s="51">
        <f t="shared" si="8"/>
        <v>7.2575433987335867</v>
      </c>
      <c r="AD40" s="51">
        <f t="shared" si="8"/>
        <v>7.3523115213144425</v>
      </c>
      <c r="AE40" s="51">
        <f t="shared" si="8"/>
        <v>7.4475250540714351</v>
      </c>
      <c r="AF40" s="51">
        <f t="shared" si="8"/>
        <v>7.5431860904323855</v>
      </c>
      <c r="AG40" s="51">
        <f t="shared" si="8"/>
        <v>7.6392967336642323</v>
      </c>
      <c r="AH40" s="51">
        <f t="shared" si="8"/>
        <v>7.7358590969192633</v>
      </c>
      <c r="AI40" s="51">
        <f t="shared" si="8"/>
        <v>7.8328753032815976</v>
      </c>
      <c r="AJ40" s="1739">
        <f t="shared" si="8"/>
        <v>7.9303474858138348</v>
      </c>
      <c r="AK40" s="51">
        <f t="shared" si="8"/>
        <v>8.0282777876039688</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1313.3293015840864</v>
      </c>
      <c r="B42" s="1793" t="s">
        <v>1003</v>
      </c>
      <c r="C42" s="1810"/>
      <c r="D42" s="1804">
        <f>'C-FCL Real'!C157</f>
        <v>3.9921542756203721</v>
      </c>
      <c r="E42" s="51">
        <f>'C-FCL Real'!D157</f>
        <v>-0.88842867973042061</v>
      </c>
      <c r="F42" s="51">
        <f>'C-FCL Real'!E157</f>
        <v>-1.1349395102379276</v>
      </c>
      <c r="G42" s="51">
        <f>'C-FCL Real'!F157</f>
        <v>4.9434089544223072</v>
      </c>
      <c r="H42" s="51">
        <f>'C-FCL Real'!G157</f>
        <v>11.116891382395565</v>
      </c>
      <c r="I42" s="51">
        <f>'C-FCL Real'!H157</f>
        <v>17.385954903309411</v>
      </c>
      <c r="J42" s="51">
        <f>'C-FCL Real'!I157</f>
        <v>23.751048748300672</v>
      </c>
      <c r="K42" s="51">
        <f>'C-FCL Real'!J157</f>
        <v>30.212624259892507</v>
      </c>
      <c r="L42" s="51">
        <f>'C-FCL Real'!K157</f>
        <v>36.771134901917939</v>
      </c>
      <c r="M42" s="51">
        <f>'C-FCL Real'!L157</f>
        <v>43.42703626949001</v>
      </c>
      <c r="N42" s="51">
        <f>'C-FCL Real'!M157</f>
        <v>50.180786099018789</v>
      </c>
      <c r="O42" s="51">
        <f>'C-FCL Real'!N157</f>
        <v>57.032844278275469</v>
      </c>
      <c r="P42" s="51">
        <f>'C-FCL Real'!O157</f>
        <v>63.983672856503773</v>
      </c>
      <c r="Q42" s="51">
        <f>'C-FCL Real'!P157</f>
        <v>71.033736054578867</v>
      </c>
      <c r="R42" s="51">
        <f>'C-FCL Real'!Q157</f>
        <v>78.18350027521403</v>
      </c>
      <c r="S42" s="51">
        <f>'C-FCL Real'!O157</f>
        <v>63.983672856503773</v>
      </c>
      <c r="T42" s="51">
        <f>'C-FCL Real'!P157</f>
        <v>71.033736054578867</v>
      </c>
      <c r="U42" s="51">
        <f>'C-FCL Real'!Q157</f>
        <v>78.18350027521403</v>
      </c>
      <c r="V42" s="51">
        <f>'C-FCL Real'!R157</f>
        <v>85.433434113215299</v>
      </c>
      <c r="W42" s="51">
        <f>'C-FCL Real'!S157</f>
        <v>92.784008365784288</v>
      </c>
      <c r="X42" s="51">
        <f>'C-FCL Real'!T157</f>
        <v>100.23569604286946</v>
      </c>
      <c r="Y42" s="51">
        <f>'C-FCL Real'!U157</f>
        <v>107.78897237756605</v>
      </c>
      <c r="Z42" s="51">
        <f>'C-FCL Real'!V157</f>
        <v>115.44431483656484</v>
      </c>
      <c r="AA42" s="51">
        <f>'C-FCL Real'!W157</f>
        <v>123.20220313065005</v>
      </c>
      <c r="AB42" s="51">
        <f>'C-FCL Real'!X157</f>
        <v>131.06311922524657</v>
      </c>
      <c r="AC42" s="51">
        <f>'C-FCL Real'!Y157</f>
        <v>139.02754735101681</v>
      </c>
      <c r="AD42" s="51">
        <f>'C-FCL Real'!Z157</f>
        <v>147.09597401450728</v>
      </c>
      <c r="AE42" s="51">
        <f>'C-FCL Real'!AA157</f>
        <v>155.26888800884527</v>
      </c>
      <c r="AF42" s="51">
        <f>'C-FCL Real'!AB157</f>
        <v>163.54678042448577</v>
      </c>
      <c r="AG42" s="51">
        <f>'C-FCL Real'!AC157</f>
        <v>171.93014466000889</v>
      </c>
      <c r="AH42" s="51">
        <f>'C-FCL Real'!AD157</f>
        <v>180.41947643296808</v>
      </c>
      <c r="AI42" s="51">
        <f>'C-FCL Real'!AE157</f>
        <v>189.01527379078931</v>
      </c>
      <c r="AJ42" s="1739">
        <f>'C-FCL Real'!AF157</f>
        <v>197.71803712172141</v>
      </c>
      <c r="AK42" s="51">
        <f>'C-FCL Real'!AG157</f>
        <v>206.528269165838</v>
      </c>
      <c r="AL42" s="51">
        <f>'C-FCL Real'!AH157</f>
        <v>215.44647502609106</v>
      </c>
      <c r="AM42" s="51">
        <f>'C-FCL Real'!AI157</f>
        <v>224.47316217941645</v>
      </c>
      <c r="AN42" s="51">
        <f>'C-FCL Real'!AJ157</f>
        <v>233.60884048789157</v>
      </c>
      <c r="AO42" s="51">
        <f>'C-FCL Real'!AK157</f>
        <v>242.85402220994564</v>
      </c>
      <c r="AP42" s="51">
        <f>'C-FCL Real'!AL157</f>
        <v>252.20922201162247</v>
      </c>
      <c r="AQ42" s="51">
        <f>'C-FCL Real'!AM157</f>
        <v>261.67495697789627</v>
      </c>
      <c r="AR42" s="51">
        <f>'C-FCL Real'!AN157</f>
        <v>271.25174662404072</v>
      </c>
      <c r="AS42" s="51">
        <f>'C-FCL Real'!AO157</f>
        <v>280.94011290705117</v>
      </c>
      <c r="AT42" s="51">
        <f>'C-FCL Real'!AP157</f>
        <v>290.74058023712087</v>
      </c>
      <c r="AU42" s="51">
        <f>'C-FCL Real'!AQ157</f>
        <v>300.65367548917101</v>
      </c>
      <c r="AV42" s="51">
        <f>'C-FCL Real'!AR157</f>
        <v>310.67992801443489</v>
      </c>
      <c r="AW42" s="51">
        <f>'C-FCL Real'!AS157</f>
        <v>320.81986965209666</v>
      </c>
      <c r="AX42" s="51">
        <f>'C-FCL Real'!AT157</f>
        <v>331.07403474098453</v>
      </c>
      <c r="AY42" s="51">
        <f>'C-FCL Real'!AU157</f>
        <v>341.4429601313193</v>
      </c>
      <c r="AZ42" s="51">
        <f>'C-FCL Real'!AV157</f>
        <v>351.92718519651777</v>
      </c>
      <c r="BA42" s="51">
        <f>'C-FCL Real'!AW157</f>
        <v>362.52725184505181</v>
      </c>
      <c r="BB42" s="51">
        <f>'C-FCL Real'!AX157</f>
        <v>373.24370453236304</v>
      </c>
      <c r="BC42" s="51">
        <f>'C-FCL Real'!AY157</f>
        <v>384.07709027283374</v>
      </c>
      <c r="BD42" s="51">
        <f>'C-FCL Real'!AZ157</f>
        <v>395.02795865181378</v>
      </c>
      <c r="BE42" s="51">
        <f>'C-FCL Real'!BA157</f>
        <v>406.09686183770413</v>
      </c>
      <c r="BF42" s="51">
        <f>'C-FCL Real'!BB157</f>
        <v>417.28435459409729</v>
      </c>
      <c r="BG42" s="51">
        <f>'C-FCL Real'!BC157</f>
        <v>428.59099429197465</v>
      </c>
      <c r="BH42" s="51">
        <f>'C-FCL Real'!BD157</f>
        <v>0</v>
      </c>
    </row>
    <row r="43" spans="1:60" ht="15" hidden="1" customHeight="1" outlineLevel="1" x14ac:dyDescent="0.3">
      <c r="A43" s="1823">
        <f>A18+A21+A36</f>
        <v>1040.288488861094</v>
      </c>
      <c r="B43" s="1793" t="s">
        <v>1042</v>
      </c>
      <c r="C43" s="1811">
        <f>'R&amp;C-Painel de Controle'!D32</f>
        <v>35</v>
      </c>
      <c r="D43" s="1796" t="s">
        <v>309</v>
      </c>
    </row>
    <row r="44" spans="1:60" ht="15" hidden="1" customHeight="1" outlineLevel="1" x14ac:dyDescent="0.3">
      <c r="A44" s="1823">
        <f>A42-A43</f>
        <v>273.04081272299231</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1037.8200353829689</v>
      </c>
      <c r="D46" s="1758" t="s">
        <v>1061</v>
      </c>
      <c r="E46" s="1758"/>
      <c r="F46" s="1775">
        <f>A27</f>
        <v>1197.6781996295149</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100.21475782033997</v>
      </c>
      <c r="D48" s="1758" t="s">
        <v>1061</v>
      </c>
      <c r="E48" s="1758"/>
      <c r="F48" s="1775">
        <f>A30</f>
        <v>115.65110195457139</v>
      </c>
      <c r="G48" s="1758" t="s">
        <v>342</v>
      </c>
      <c r="H48" s="1758"/>
    </row>
    <row r="49" spans="1:35" s="42" customFormat="1" ht="15" hidden="1" customHeight="1" outlineLevel="1" thickTop="1" x14ac:dyDescent="0.3">
      <c r="A49" s="1740"/>
      <c r="B49" s="1759" t="s">
        <v>1025</v>
      </c>
      <c r="C49" s="1777">
        <f>C46+C47+C48</f>
        <v>1138.0347932033087</v>
      </c>
      <c r="D49" s="1760" t="s">
        <v>1061</v>
      </c>
      <c r="E49" s="1760"/>
      <c r="F49" s="1761">
        <f>F46+F47+F48</f>
        <v>1313.3293015840864</v>
      </c>
      <c r="G49" s="1760" t="s">
        <v>342</v>
      </c>
      <c r="H49" s="1760"/>
      <c r="AI49" s="1740"/>
    </row>
    <row r="50" spans="1:35" ht="15" hidden="1" customHeight="1" outlineLevel="1" x14ac:dyDescent="0.3">
      <c r="B50" s="1869" t="s">
        <v>1027</v>
      </c>
      <c r="C50" s="1870">
        <f>F50*$C$16/1000000</f>
        <v>776.91306152115533</v>
      </c>
      <c r="D50" s="1871" t="s">
        <v>1061</v>
      </c>
      <c r="E50" s="1871"/>
      <c r="F50" s="1872">
        <f>A18+A21</f>
        <v>896.58303469536361</v>
      </c>
      <c r="G50" s="1871" t="s">
        <v>342</v>
      </c>
      <c r="H50" s="1871"/>
    </row>
    <row r="51" spans="1:35" ht="15" hidden="1" customHeight="1" outlineLevel="1" x14ac:dyDescent="0.3">
      <c r="B51" s="1738" t="s">
        <v>1028</v>
      </c>
      <c r="C51" s="1821">
        <f>F51*$C$16/1000000</f>
        <v>124.52460065912402</v>
      </c>
      <c r="D51" s="1758" t="s">
        <v>1061</v>
      </c>
      <c r="E51" s="1758"/>
      <c r="F51" s="1776">
        <f>A36</f>
        <v>143.70545416573043</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236.59713102302936</v>
      </c>
      <c r="D53" s="1845" t="s">
        <v>1061</v>
      </c>
      <c r="E53" s="1845"/>
      <c r="F53" s="1846">
        <f>F49-F50-F51</f>
        <v>273.04081272299231</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7" t="s">
        <v>1082</v>
      </c>
      <c r="C55" s="2398"/>
      <c r="D55" s="2398"/>
      <c r="E55" s="2398"/>
      <c r="F55" s="2398"/>
      <c r="G55" s="2398"/>
      <c r="H55" s="2399"/>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3291785.2349473191</v>
      </c>
      <c r="D57" s="1752" t="s">
        <v>1016</v>
      </c>
      <c r="E57" s="1752"/>
      <c r="F57" s="1753">
        <f>C57/'R&amp;C-Painel de Controle'!$D$8</f>
        <v>142.96197427851257</v>
      </c>
      <c r="G57" s="1752" t="s">
        <v>342</v>
      </c>
      <c r="H57" s="1754">
        <f>F57/$F$99</f>
        <v>0.14743438908622317</v>
      </c>
      <c r="AI57" s="925"/>
    </row>
    <row r="58" spans="1:35" s="1735" customFormat="1" ht="15" hidden="1" customHeight="1" outlineLevel="1" x14ac:dyDescent="0.3">
      <c r="A58" s="1745"/>
      <c r="B58" s="1747" t="s">
        <v>1034</v>
      </c>
      <c r="C58" s="1813">
        <f>('R&amp;C-Painel de Controle'!D8-'R&amp;C-Painel de Controle'!D9)</f>
        <v>18466.387289999999</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178.25821495306241</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787866.44193981669</v>
      </c>
      <c r="D61" s="1849" t="s">
        <v>1016</v>
      </c>
      <c r="E61" s="1849"/>
      <c r="F61" s="1850">
        <f>C61/'R&amp;C-Painel de Controle'!$D$8</f>
        <v>34.216977709150541</v>
      </c>
      <c r="G61" s="1849" t="s">
        <v>342</v>
      </c>
      <c r="H61" s="1851">
        <f>F61/$F$99</f>
        <v>3.5287419821843927E-2</v>
      </c>
      <c r="AI61" s="925"/>
    </row>
    <row r="62" spans="1:35" s="1735" customFormat="1" ht="15" hidden="1" customHeight="1" outlineLevel="1" x14ac:dyDescent="0.3">
      <c r="A62" s="1745"/>
      <c r="B62" s="1741" t="str">
        <f>'R&amp;C-Painel de Controle'!J36</f>
        <v>Mat. Recicl.: Papel/Papelão — Triagem Mecanizada</v>
      </c>
      <c r="C62" s="1816">
        <f>'R&amp;C-Painel de Controle'!L36</f>
        <v>102.19696166965241</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69.431523577092108</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35.885956006137491</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18.723107481463035</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121.26411270482701</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464.84576536850358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758" t="s">
        <v>1016</v>
      </c>
      <c r="E78" s="1758"/>
      <c r="F78" s="1776">
        <f>C78/'R&amp;C-Painel de Controle'!$D$8</f>
        <v>179.80820472161696</v>
      </c>
      <c r="G78" s="1758" t="s">
        <v>342</v>
      </c>
      <c r="H78" s="1852">
        <f>F78/$F$99</f>
        <v>0.18543331504485686</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758" t="s">
        <v>1016</v>
      </c>
      <c r="E79" s="1758"/>
      <c r="F79" s="1776">
        <f>C79/'R&amp;C-Painel de Controle'!$D$8</f>
        <v>251.73148661026372</v>
      </c>
      <c r="G79" s="1758" t="s">
        <v>342</v>
      </c>
      <c r="H79" s="1852">
        <f>F79/$F$99</f>
        <v>0.25960664106279957</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1763276.6860964743</v>
      </c>
      <c r="D81" s="1855" t="s">
        <v>1016</v>
      </c>
      <c r="E81" s="1855"/>
      <c r="F81" s="1856">
        <f>C81/'R&amp;C-Painel de Controle'!$D$8</f>
        <v>76.578968022395699</v>
      </c>
      <c r="G81" s="1855" t="s">
        <v>342</v>
      </c>
      <c r="H81" s="1857">
        <f>F81/$F$99</f>
        <v>7.8974660389341672E-2</v>
      </c>
    </row>
    <row r="82" spans="1:35" ht="15" hidden="1" customHeight="1" outlineLevel="1" x14ac:dyDescent="0.3">
      <c r="B82" s="1755" t="s">
        <v>1037</v>
      </c>
      <c r="C82" s="1786">
        <f>'R&amp;C-Painel de Controle'!D8</f>
        <v>23025.599999999999</v>
      </c>
      <c r="D82" s="1745" t="s">
        <v>298</v>
      </c>
      <c r="E82" s="1745"/>
      <c r="F82" s="1771"/>
      <c r="G82" s="1745"/>
      <c r="H82" s="1772"/>
    </row>
    <row r="83" spans="1:35" ht="15" hidden="1" customHeight="1" outlineLevel="1" x14ac:dyDescent="0.3">
      <c r="B83" s="1755" t="s">
        <v>1038</v>
      </c>
      <c r="C83" s="1786">
        <f>'R&amp;C-Painel de Controle'!D33</f>
        <v>1396.7092707049733</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165.89021038381674</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15078.783577795535</v>
      </c>
      <c r="D88" s="1855" t="s">
        <v>1016</v>
      </c>
      <c r="E88" s="1855"/>
      <c r="F88" s="1856">
        <f>C88/'R&amp;C-Painel de Controle'!$D$8</f>
        <v>0.6548703867780008</v>
      </c>
      <c r="G88" s="1855" t="s">
        <v>342</v>
      </c>
      <c r="H88" s="1857">
        <f>F88/$F$99</f>
        <v>6.753573171644771E-4</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6532652.1140956897</v>
      </c>
      <c r="D92" s="1855" t="s">
        <v>1016</v>
      </c>
      <c r="E92" s="1858"/>
      <c r="F92" s="1859">
        <f>C92/'R&amp;C-Painel de Controle'!$D$8</f>
        <v>283.71256836285221</v>
      </c>
      <c r="G92" s="1858" t="s">
        <v>342</v>
      </c>
      <c r="H92" s="1860">
        <f>F92/$F$99</f>
        <v>0.29258821727777029</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23025.599999999999</v>
      </c>
      <c r="D94" s="1745" t="s">
        <v>298</v>
      </c>
      <c r="E94" s="1745"/>
      <c r="F94" s="1771"/>
      <c r="G94" s="1745"/>
      <c r="H94" s="1772"/>
    </row>
    <row r="95" spans="1:35" ht="15" hidden="1" customHeight="1" outlineLevel="1" x14ac:dyDescent="0.3">
      <c r="B95" s="1755" t="s">
        <v>1038</v>
      </c>
      <c r="C95" s="1786">
        <f>C83</f>
        <v>1396.7092707049733</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165.89021038381674</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22327119.577388447</v>
      </c>
      <c r="D99" s="1863" t="s">
        <v>1016</v>
      </c>
      <c r="E99" s="1864"/>
      <c r="F99" s="1865">
        <f>C99/'R&amp;C-Painel de Controle'!$D$8</f>
        <v>969.6650500915697</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7" t="s">
        <v>1083</v>
      </c>
      <c r="C101" s="2398"/>
      <c r="D101" s="2398"/>
      <c r="E101" s="2398"/>
      <c r="F101" s="2398"/>
      <c r="G101" s="2398"/>
      <c r="H101" s="2399"/>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23025.599999999999</v>
      </c>
      <c r="D103" s="1875" t="s">
        <v>298</v>
      </c>
      <c r="E103" s="1876"/>
      <c r="F103" s="1876"/>
      <c r="G103" s="1876"/>
      <c r="H103" s="1876"/>
    </row>
    <row r="104" spans="1:35" s="1783" customFormat="1" ht="15" hidden="1" customHeight="1" outlineLevel="1" x14ac:dyDescent="0.3">
      <c r="A104" s="383"/>
      <c r="B104" s="1873" t="s">
        <v>1069</v>
      </c>
      <c r="C104" s="1874">
        <f>C103/312</f>
        <v>73.8</v>
      </c>
      <c r="D104" s="1875" t="s">
        <v>21</v>
      </c>
      <c r="E104" s="1876"/>
      <c r="F104" s="1876"/>
      <c r="G104" s="1876"/>
      <c r="H104" s="1876"/>
      <c r="AI104" s="383"/>
    </row>
    <row r="105" spans="1:35" ht="15" hidden="1" customHeight="1" outlineLevel="1" x14ac:dyDescent="0.3">
      <c r="B105" s="1877" t="s">
        <v>1071</v>
      </c>
      <c r="C105" s="1874">
        <f>'R&amp;C-Painel de Controle'!D48</f>
        <v>24964.143308617382</v>
      </c>
      <c r="D105" s="1875" t="s">
        <v>298</v>
      </c>
      <c r="E105" s="1876"/>
      <c r="F105" s="1876"/>
      <c r="G105" s="1876"/>
      <c r="H105" s="1876"/>
    </row>
    <row r="106" spans="1:35" s="1783" customFormat="1" ht="15" hidden="1" customHeight="1" outlineLevel="1" x14ac:dyDescent="0.3">
      <c r="A106" s="383"/>
      <c r="B106" s="1877" t="s">
        <v>1086</v>
      </c>
      <c r="C106" s="1874">
        <f>C105/312</f>
        <v>80.013279835312119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56.78564476091077</v>
      </c>
      <c r="D112" s="1884" t="s">
        <v>1065</v>
      </c>
      <c r="E112" s="1885"/>
      <c r="F112" s="1885"/>
      <c r="G112" s="1885"/>
      <c r="H112" s="1885"/>
      <c r="AI112" s="1745"/>
    </row>
    <row r="113" spans="1:35" ht="15" hidden="1" customHeight="1" outlineLevel="1" x14ac:dyDescent="0.3">
      <c r="B113" s="1793"/>
      <c r="C113" s="1809">
        <f>C112*312*$C$106/$C$104/1000</f>
        <v>19.208739480807779</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14.612861249999996</v>
      </c>
      <c r="D115" s="1884" t="s">
        <v>1065</v>
      </c>
      <c r="E115" s="1885"/>
      <c r="F115" s="1885"/>
      <c r="G115" s="1885"/>
      <c r="H115" s="1885"/>
      <c r="AI115" s="1745"/>
    </row>
    <row r="116" spans="1:35" ht="15" hidden="1" customHeight="1" outlineLevel="1" x14ac:dyDescent="0.3">
      <c r="B116" s="1834"/>
      <c r="C116" s="1809">
        <f>C115*312*$C$106/$C$104/1000</f>
        <v>4.9430564010019191</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2.4014939890892175</v>
      </c>
      <c r="D118" s="1884" t="s">
        <v>1065</v>
      </c>
      <c r="E118" s="1885"/>
      <c r="F118" s="1885"/>
      <c r="G118" s="1885"/>
      <c r="H118" s="1885"/>
      <c r="AI118" s="1745"/>
    </row>
    <row r="119" spans="1:35" ht="15" hidden="1" customHeight="1" outlineLevel="1" thickBot="1" x14ac:dyDescent="0.35">
      <c r="B119" s="1829"/>
      <c r="C119" s="1913">
        <f>C118*312*$C$106/$C$104/1000</f>
        <v>0.81234742680767558</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3" t="s">
        <v>1075</v>
      </c>
      <c r="C121" s="1840"/>
      <c r="D121" s="1826"/>
      <c r="E121" s="1826"/>
      <c r="F121" s="1826"/>
      <c r="G121" s="1826"/>
      <c r="H121" s="1826"/>
    </row>
    <row r="122" spans="1:35" s="1783" customFormat="1" ht="15" hidden="1" customHeight="1" outlineLevel="1" x14ac:dyDescent="0.3">
      <c r="A122" s="383"/>
      <c r="B122" s="2391"/>
      <c r="C122" s="1888">
        <f>'R-Resumo Bal. Massa'!D64</f>
        <v>2.4014939890892175</v>
      </c>
      <c r="D122" s="1880" t="s">
        <v>1065</v>
      </c>
      <c r="E122" s="1876"/>
      <c r="F122" s="1876"/>
      <c r="G122" s="1876"/>
      <c r="H122" s="1876"/>
      <c r="AI122" s="383"/>
    </row>
    <row r="123" spans="1:35" s="1783" customFormat="1" ht="15" hidden="1" customHeight="1" outlineLevel="1" x14ac:dyDescent="0.3">
      <c r="A123" s="383"/>
      <c r="B123" s="2392"/>
      <c r="C123" s="1809">
        <f>C122*312*$C$106/$C$104/1000</f>
        <v>0.81234742680767558</v>
      </c>
      <c r="D123" s="1827" t="s">
        <v>1063</v>
      </c>
      <c r="E123" s="1192"/>
      <c r="F123" s="1192"/>
      <c r="G123" s="1192"/>
      <c r="H123" s="1192"/>
      <c r="AI123" s="383"/>
    </row>
    <row r="124" spans="1:35" ht="15" hidden="1" customHeight="1" outlineLevel="1" x14ac:dyDescent="0.3">
      <c r="B124" s="2390" t="s">
        <v>1081</v>
      </c>
      <c r="C124" s="1839"/>
      <c r="D124" s="1833"/>
      <c r="E124" s="1833"/>
      <c r="F124" s="1833"/>
      <c r="G124" s="1833"/>
      <c r="H124" s="1833"/>
    </row>
    <row r="125" spans="1:35" s="1783" customFormat="1" ht="15" hidden="1" customHeight="1" outlineLevel="1" x14ac:dyDescent="0.3">
      <c r="A125" s="383"/>
      <c r="B125" s="2391"/>
      <c r="C125" s="1888">
        <f>'R-Resumo Bal. Massa'!D73</f>
        <v>0</v>
      </c>
      <c r="D125" s="1880" t="s">
        <v>1065</v>
      </c>
      <c r="E125" s="1876"/>
      <c r="F125" s="1876"/>
      <c r="G125" s="1876"/>
      <c r="H125" s="1876"/>
      <c r="AI125" s="383"/>
    </row>
    <row r="126" spans="1:35" s="1783" customFormat="1" ht="15" hidden="1" customHeight="1" outlineLevel="1" x14ac:dyDescent="0.3">
      <c r="A126" s="383"/>
      <c r="B126" s="2392"/>
      <c r="C126" s="1809">
        <f>C125*312*$C$106/$C$104/1000</f>
        <v>0</v>
      </c>
      <c r="D126" s="1827" t="s">
        <v>1063</v>
      </c>
      <c r="E126" s="1192"/>
      <c r="F126" s="1192"/>
      <c r="G126" s="1192"/>
      <c r="H126" s="1192"/>
      <c r="AI126" s="383"/>
    </row>
    <row r="127" spans="1:35" ht="15" hidden="1" customHeight="1" outlineLevel="1" x14ac:dyDescent="0.3">
      <c r="B127" s="2390" t="s">
        <v>1064</v>
      </c>
      <c r="C127" s="1839"/>
      <c r="D127" s="1833"/>
      <c r="E127" s="1833"/>
      <c r="F127" s="1833"/>
      <c r="G127" s="1833"/>
      <c r="H127" s="1833"/>
    </row>
    <row r="128" spans="1:35" s="1783" customFormat="1" ht="15" hidden="1" customHeight="1" outlineLevel="1" x14ac:dyDescent="0.3">
      <c r="A128" s="383"/>
      <c r="B128" s="2391"/>
      <c r="C128" s="1888">
        <f>'R-Resumo Bal. Massa'!D69</f>
        <v>0</v>
      </c>
      <c r="D128" s="1880" t="s">
        <v>1065</v>
      </c>
      <c r="E128" s="1876"/>
      <c r="F128" s="1876"/>
      <c r="G128" s="1876"/>
      <c r="H128" s="1876"/>
      <c r="AI128" s="383"/>
    </row>
    <row r="129" spans="1:35" s="1783" customFormat="1" ht="15" hidden="1" customHeight="1" outlineLevel="1" x14ac:dyDescent="0.3">
      <c r="A129" s="383"/>
      <c r="B129" s="2392"/>
      <c r="C129" s="1809">
        <f>C128*312*$C$106/$C$104/1000</f>
        <v>0</v>
      </c>
      <c r="D129" s="1835" t="s">
        <v>1063</v>
      </c>
      <c r="E129" s="1836"/>
      <c r="F129" s="1836"/>
      <c r="G129" s="1836"/>
      <c r="H129" s="1836"/>
      <c r="AI129" s="383"/>
    </row>
    <row r="130" spans="1:35" ht="15" hidden="1" customHeight="1" outlineLevel="1" x14ac:dyDescent="0.3">
      <c r="B130" s="2390" t="s">
        <v>1122</v>
      </c>
      <c r="C130" s="2100">
        <f>IF('R-Definição'!E112&gt;0,'R-Definição'!O111/'R-Definição'!E112,0)</f>
        <v>677.95413101682368</v>
      </c>
      <c r="D130" s="1796" t="s">
        <v>1121</v>
      </c>
      <c r="E130" s="1192"/>
      <c r="F130" s="1192"/>
      <c r="G130" s="1192"/>
      <c r="H130" s="1192"/>
    </row>
    <row r="131" spans="1:35" s="1783" customFormat="1" ht="15" hidden="1" customHeight="1" outlineLevel="1" x14ac:dyDescent="0.3">
      <c r="A131" s="383"/>
      <c r="B131" s="2391"/>
      <c r="C131" s="2101">
        <f>C130*C106</f>
        <v>54245.333600554972</v>
      </c>
      <c r="D131" s="1880" t="s">
        <v>1067</v>
      </c>
      <c r="E131" s="1876"/>
      <c r="F131" s="1876"/>
      <c r="G131" s="1876"/>
      <c r="H131" s="1876"/>
      <c r="AI131" s="383"/>
    </row>
    <row r="132" spans="1:35" s="1783" customFormat="1" ht="15" hidden="1" customHeight="1" outlineLevel="1" x14ac:dyDescent="0.3">
      <c r="A132" s="383"/>
      <c r="B132" s="2392"/>
      <c r="C132" s="1867">
        <f>C130*C105/1000</f>
        <v>16924.544083373152</v>
      </c>
      <c r="D132" s="1835" t="s">
        <v>306</v>
      </c>
      <c r="E132" s="1836"/>
      <c r="F132" s="1836"/>
      <c r="G132" s="1836"/>
      <c r="H132" s="1836"/>
      <c r="AI132" s="383"/>
    </row>
    <row r="133" spans="1:35" s="2099" customFormat="1" ht="15" hidden="1" customHeight="1" outlineLevel="1" x14ac:dyDescent="0.3">
      <c r="A133" s="383"/>
      <c r="B133" s="2390"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91"/>
      <c r="C134" s="1916">
        <f>C133*C106*C107</f>
        <v>0</v>
      </c>
      <c r="D134" s="1880" t="s">
        <v>1067</v>
      </c>
      <c r="E134" s="1876"/>
      <c r="F134" s="1876"/>
      <c r="G134" s="1876"/>
      <c r="H134" s="1876"/>
      <c r="AI134" s="383"/>
    </row>
    <row r="135" spans="1:35" s="2099" customFormat="1" ht="15" hidden="1" customHeight="1" outlineLevel="1" x14ac:dyDescent="0.3">
      <c r="A135" s="383"/>
      <c r="B135" s="2392"/>
      <c r="C135" s="1867">
        <f>C133*C105*C107/1000</f>
        <v>0</v>
      </c>
      <c r="D135" s="1835" t="s">
        <v>306</v>
      </c>
      <c r="E135" s="1836"/>
      <c r="F135" s="1836"/>
      <c r="G135" s="1836"/>
      <c r="H135" s="1836"/>
      <c r="AI135" s="383"/>
    </row>
    <row r="136" spans="1:35" ht="15" hidden="1" customHeight="1" outlineLevel="1" x14ac:dyDescent="0.3">
      <c r="B136" s="2390"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91"/>
      <c r="C137" s="1916">
        <f>C136*C106*C107</f>
        <v>0</v>
      </c>
      <c r="D137" s="1880" t="s">
        <v>1068</v>
      </c>
      <c r="E137" s="1876"/>
      <c r="F137" s="1876"/>
      <c r="G137" s="1876"/>
      <c r="H137" s="1876"/>
      <c r="AI137" s="383"/>
    </row>
    <row r="138" spans="1:35" s="1783" customFormat="1" ht="15" hidden="1" customHeight="1" outlineLevel="1" x14ac:dyDescent="0.3">
      <c r="A138" s="383"/>
      <c r="B138" s="2391"/>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8"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8"/>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6" t="str">
        <f>'R-Definição'!D2</f>
        <v>CIRSOP - Consórcio RSU Oeste Paulista</v>
      </c>
      <c r="R2" s="2407"/>
      <c r="S2" s="1051"/>
      <c r="T2" s="1053" t="s">
        <v>486</v>
      </c>
      <c r="U2" s="2406" t="str">
        <f>'R-Definição'!D3</f>
        <v>Biodigestão c/ Prod. E. Elétrica</v>
      </c>
      <c r="V2" s="2407"/>
      <c r="W2" s="353"/>
      <c r="X2" s="353"/>
      <c r="Y2" s="353"/>
      <c r="Z2" s="353"/>
      <c r="AA2" s="353"/>
      <c r="AB2" s="353"/>
    </row>
    <row r="3" spans="1:28" s="352" customFormat="1" ht="19.95" customHeight="1" x14ac:dyDescent="0.3">
      <c r="A3" s="478"/>
      <c r="B3" s="2408"/>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00" t="s">
        <v>691</v>
      </c>
      <c r="C9" s="1099"/>
      <c r="D9" s="2403" t="s">
        <v>696</v>
      </c>
      <c r="E9" s="2404"/>
      <c r="F9" s="2404"/>
      <c r="G9" s="2404"/>
      <c r="H9" s="2404"/>
      <c r="I9" s="2404"/>
      <c r="J9" s="2404"/>
      <c r="K9" s="2404"/>
      <c r="L9" s="2404"/>
      <c r="M9" s="2404"/>
      <c r="N9" s="2404"/>
      <c r="O9" s="2404"/>
      <c r="P9" s="2404"/>
      <c r="Q9" s="2404"/>
      <c r="R9" s="2404"/>
      <c r="S9" s="2404"/>
      <c r="T9" s="2404"/>
      <c r="U9" s="2404"/>
      <c r="V9" s="2405"/>
      <c r="W9" s="1046"/>
      <c r="X9" s="1046"/>
      <c r="Y9" s="1046"/>
      <c r="Z9" s="1046"/>
      <c r="AA9" s="1046"/>
      <c r="AB9" s="1046"/>
    </row>
    <row r="10" spans="1:28" s="352" customFormat="1" ht="7.5" customHeight="1" x14ac:dyDescent="0.3">
      <c r="A10" s="478"/>
      <c r="B10" s="2401"/>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2"/>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5"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5"/>
      <c r="C2" s="487"/>
      <c r="D2" s="1097">
        <f>('R-Resumo Bal. Massa'!B20+'R-Resumo Bal. Massa'!B21)*(1+'R&amp;C-Painel de Controle'!H56)</f>
        <v>9.2249999999999979</v>
      </c>
      <c r="E2" s="1098" t="s">
        <v>21</v>
      </c>
      <c r="H2" s="1305">
        <f>D2*313</f>
        <v>2887.4249999999993</v>
      </c>
      <c r="I2" s="1304" t="s">
        <v>298</v>
      </c>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2416">
        <v>0.35</v>
      </c>
      <c r="E7" s="1254" t="str">
        <f>IF(AND(L2="Sim",$D$2&gt;D11,$D$2&lt;=F11),"SIM","NÃO")</f>
        <v>SIM</v>
      </c>
      <c r="F7" s="2416">
        <v>0.25</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9" t="s">
        <v>691</v>
      </c>
      <c r="C9" s="1099"/>
      <c r="D9" s="2412" t="s">
        <v>695</v>
      </c>
      <c r="E9" s="2413"/>
      <c r="F9" s="2413"/>
      <c r="G9" s="2413"/>
      <c r="H9" s="2413"/>
      <c r="I9" s="2413"/>
      <c r="J9" s="2413"/>
      <c r="K9" s="2413"/>
      <c r="L9" s="2413"/>
      <c r="M9" s="2413"/>
      <c r="N9" s="2413"/>
      <c r="O9" s="2413"/>
      <c r="P9" s="2413"/>
      <c r="Q9" s="2413"/>
      <c r="R9" s="2413"/>
      <c r="S9" s="2413"/>
      <c r="T9" s="2413"/>
      <c r="U9" s="2413"/>
      <c r="V9" s="2414"/>
      <c r="W9" s="1269"/>
      <c r="X9" s="1079"/>
      <c r="Y9" s="1079"/>
      <c r="Z9" s="1079"/>
      <c r="AA9" s="1079"/>
      <c r="AB9" s="1079"/>
    </row>
    <row r="10" spans="1:28" s="1076" customFormat="1" ht="7.5" customHeight="1" x14ac:dyDescent="0.35">
      <c r="A10" s="118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1"/>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IF('R-Definição'!$I$34="Alta",(14961570+179440+150030)/313000,(14961570+179440+150030)/313000*0.85)*D7</f>
        <v>14.533815974440891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6.9457024171450978</v>
      </c>
      <c r="F15" s="1115">
        <v>0.1</v>
      </c>
      <c r="G15" s="1058"/>
      <c r="H15" s="1275">
        <f>IF('R-Definição'!$I$34="Alta",(14961570+179440+150030)/313000,(14961570+179440+150030)/313000*0.85)*D7</f>
        <v>14.533815974440891</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IF('R-Definição'!$I$34="Alta",(14961570+179440+150030)/313000,(14961570+179440+150030)/313000*0.85)*D7</f>
        <v>14.533815974440891</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IF('R-Definição'!$I$34="Alta",(14961570+179440+150030)/313000,(14961570+179440+150030)/313000*0.85)*D7</f>
        <v>14.533815974440891</v>
      </c>
      <c r="Q15" s="1035" t="str">
        <f>IF(Q7="SIM",(((P15*$H$2/1000)*1*Q21*$D$5*(1+'R&amp;C-Painel de Controle'!$D$61)+(P15*$H$2/1000)*1*(1-Q21)*'R&amp;C-Painel de Controle'!$D$52*(1+'R&amp;C-Painel de Controle'!$D$54))/1000), "-")</f>
        <v>-</v>
      </c>
      <c r="R15" s="1115">
        <v>0.1</v>
      </c>
      <c r="S15" s="1191"/>
      <c r="T15" s="1275">
        <f>IF('R-Definição'!$I$34="Alta",(14961570+179440+150030)/313000,(14961570+179440+150030)/313000*0.85)*D7</f>
        <v>14.533815974440891</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Controle'!$D$60)+(((75)+(15+E30/5*30)+(25+E30/10*25))*D16)))/1000000*D7,"-"))</f>
        <v>4.0232019756340405</v>
      </c>
      <c r="F16" s="1117">
        <v>0.05</v>
      </c>
      <c r="G16" s="1058"/>
      <c r="H16" s="1116">
        <v>2000</v>
      </c>
      <c r="I16" s="1035" t="str">
        <f>(IF(I$7="SIM",(((H17-J17)*'R&amp;C-Painel de Controle'!$D$57+J17*('R&amp;C-Painel de Controle'!$D$60)+(((150)+(15+I30/5*30)+(25+I30/10*25))*H16)))/1000000*D7,"-"))</f>
        <v>-</v>
      </c>
      <c r="J16" s="1117">
        <v>0.05</v>
      </c>
      <c r="K16" s="1058"/>
      <c r="L16" s="1116">
        <v>2000</v>
      </c>
      <c r="M16" s="1035" t="str">
        <f>(IF(M$7="SIM",(((L17-N17)*'R&amp;C-Painel de Controle'!$D$57+N17*('R&amp;C-Painel de Controle'!$D$60)+(((150)+(15+M30/5*30)+(25+M30/10*25))*L16)))/1000000*D7,"-"))</f>
        <v>-</v>
      </c>
      <c r="N16" s="1117">
        <v>0.05</v>
      </c>
      <c r="O16" s="1058"/>
      <c r="P16" s="1116">
        <v>2000</v>
      </c>
      <c r="Q16" s="1035" t="str">
        <f>(IF(Q$7="SIM",(((P17-R17)*'R&amp;C-Painel de Controle'!$D$57+R17*('R&amp;C-Painel de Controle'!$D$60)+(((250)+(15+Q30/5*30)+(25+Q30/10*25))*P16)))/1000000*D7,"-"))</f>
        <v>-</v>
      </c>
      <c r="R16" s="1117">
        <v>0.05</v>
      </c>
      <c r="S16" s="1191"/>
      <c r="T16" s="1116">
        <v>2000</v>
      </c>
      <c r="U16" s="1035" t="str">
        <f>(IF(U$7="SIM",(((T17-V17)*'R&amp;C-Painel de Controle'!$D$57+V17*('R&amp;C-Painel de Controle'!$D$60)+(((250)+(15+U30/5*30)+(25+U30/10*25))*T16)))/1000000*D7,"-"))</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0.28491400796849636</v>
      </c>
      <c r="E18" s="1035">
        <f>(IF(E$7="SIM",$H$2*D18/1000,"-"))</f>
        <v>0.82266782945843542</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12.384336198812903</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4289.0590054504992</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0.22393258512405298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collapsed="1" x14ac:dyDescent="0.3">
      <c r="A27" s="1187"/>
      <c r="B27" s="1111" t="s">
        <v>430</v>
      </c>
      <c r="C27" s="1058"/>
      <c r="D27" s="1217"/>
      <c r="E27" s="1088">
        <f>(IF(E$7="SIM",(E31)*2.4*12/$H$2,"-"))</f>
        <v>1376.4513363983483</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hidden="1"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hidden="1"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hidden="1"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hidden="1"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523.84273488368694</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207.79760513260089</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(IF(E$7="SIM",(E27+E32+E35+E38+E41)*(1+D42)*F7,"-"))</f>
        <v>583.02521101402488</v>
      </c>
      <c r="F42" s="1224"/>
      <c r="G42" s="1201"/>
      <c r="H42" s="1274">
        <v>0.1</v>
      </c>
      <c r="I42" s="1081" t="str">
        <f>(IF(I$7="SIM",(I27+I32+I35+I38+I41)*(1+H42)*F7,"-"))</f>
        <v>-</v>
      </c>
      <c r="J42" s="1224"/>
      <c r="K42" s="1201"/>
      <c r="L42" s="1274">
        <v>0.1</v>
      </c>
      <c r="M42" s="1081" t="str">
        <f>(IF(M$7="SIM",(M27+M32+M35+M38+M41)*(1+L42)*F7,"-"))</f>
        <v>-</v>
      </c>
      <c r="N42" s="1224"/>
      <c r="O42" s="1201"/>
      <c r="P42" s="1274">
        <v>0.1</v>
      </c>
      <c r="Q42" s="1081" t="str">
        <f>(IF(Q$7="SIM",(Q27+Q32+Q35+Q38+Q41)*(1+P42)*F7,"-"))</f>
        <v>-</v>
      </c>
      <c r="R42" s="1224"/>
      <c r="S42" s="1201"/>
      <c r="T42" s="1274">
        <v>0.1</v>
      </c>
      <c r="U42" s="1082" t="str">
        <f>(IF(U$7="SIM",(U27+U32+U35+U38+U41)*(1+T42)*F7,"-"))</f>
        <v>-</v>
      </c>
      <c r="V42" s="1240"/>
      <c r="W42" s="1205"/>
      <c r="X42" s="1075"/>
      <c r="Y42" s="1075"/>
      <c r="Z42" s="1075"/>
      <c r="AA42" s="1075"/>
      <c r="AB42" s="1083"/>
    </row>
    <row r="43" spans="1:28" s="1076" customFormat="1" ht="19.95" customHeight="1" x14ac:dyDescent="0.35">
      <c r="A43" s="1188"/>
      <c r="B43" s="1212" t="s">
        <v>436</v>
      </c>
      <c r="C43" s="1102"/>
      <c r="D43" s="1225"/>
      <c r="E43" s="1080">
        <f>(IF(E$7="SIM",E42*$H$2/1000000,"-"))</f>
        <v>1.6834415699121703</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-362.86948754957439</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5"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5"/>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5"/>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9" t="s">
        <v>691</v>
      </c>
      <c r="C9" s="1099"/>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1"/>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5"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5"/>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9" t="s">
        <v>691</v>
      </c>
      <c r="C9" s="1099"/>
      <c r="D9" s="2412" t="s">
        <v>698</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1"/>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5"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5"/>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198"/>
    </row>
    <row r="3" spans="1:61" ht="19.95" customHeight="1" x14ac:dyDescent="0.3">
      <c r="A3" s="939"/>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9" t="s">
        <v>691</v>
      </c>
      <c r="C9" s="1099"/>
      <c r="D9" s="2412" t="s">
        <v>699</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row>
    <row r="10" spans="1:61" ht="7.5" customHeight="1" x14ac:dyDescent="0.3">
      <c r="A10" s="93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1"/>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5"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5"/>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341"/>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9" t="s">
        <v>691</v>
      </c>
      <c r="C9" s="1099"/>
      <c r="D9" s="2412" t="s">
        <v>702</v>
      </c>
      <c r="E9" s="2413"/>
      <c r="F9" s="2413"/>
      <c r="G9" s="2413"/>
      <c r="H9" s="2413"/>
      <c r="I9" s="2413"/>
      <c r="J9" s="2413"/>
      <c r="K9" s="2413"/>
      <c r="L9" s="2413"/>
      <c r="M9" s="2413"/>
      <c r="N9" s="2413"/>
      <c r="O9" s="2413"/>
      <c r="P9" s="2413"/>
      <c r="Q9" s="2413"/>
      <c r="R9" s="2413"/>
      <c r="S9" s="2413"/>
      <c r="T9" s="2413"/>
      <c r="U9" s="2413"/>
      <c r="V9" s="2414"/>
      <c r="W9" s="1299"/>
      <c r="X9" s="1299"/>
      <c r="Y9" s="1299"/>
      <c r="Z9" s="1299"/>
      <c r="AA9" s="1313"/>
      <c r="AB9" s="1079"/>
    </row>
    <row r="10" spans="1:28" ht="7.5" customHeight="1" x14ac:dyDescent="0.3">
      <c r="A10" s="448"/>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1"/>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U17" sqref="U17"/>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5"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5"/>
      <c r="C2" s="487"/>
      <c r="D2" s="1097">
        <f>'R-Resumo Bal. Massa'!B39*(1+'R&amp;C-Painel de Controle'!H71)</f>
        <v>73.064306249999987</v>
      </c>
      <c r="E2" s="1098" t="s">
        <v>21</v>
      </c>
      <c r="F2" s="1307"/>
      <c r="G2" s="1307"/>
      <c r="H2" s="1305">
        <f>D2*313</f>
        <v>22869.127856249997</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5"/>
      <c r="C3" s="478"/>
      <c r="D3" s="2417">
        <v>0.35</v>
      </c>
      <c r="E3" s="568"/>
      <c r="F3" s="2417">
        <v>0.25</v>
      </c>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9" t="s">
        <v>691</v>
      </c>
      <c r="C9" s="1099"/>
      <c r="D9" s="2412" t="s">
        <v>448</v>
      </c>
      <c r="E9" s="2413"/>
      <c r="F9" s="2413"/>
      <c r="G9" s="2413"/>
      <c r="H9" s="2413"/>
      <c r="I9" s="2413"/>
      <c r="J9" s="2413"/>
      <c r="K9" s="2413"/>
      <c r="L9" s="2413"/>
      <c r="M9" s="2413"/>
      <c r="N9" s="2413"/>
      <c r="O9" s="2413"/>
      <c r="P9" s="2413"/>
      <c r="Q9" s="2413"/>
      <c r="R9" s="2413"/>
      <c r="S9" s="2413"/>
      <c r="T9" s="2413"/>
      <c r="U9" s="2413"/>
      <c r="V9" s="2414"/>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1"/>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572.251338598527))*F7*D3</f>
        <v>145.20877716937622</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24.649116543358545</v>
      </c>
      <c r="F15" s="1115">
        <v>0.15</v>
      </c>
      <c r="G15" s="1058"/>
      <c r="H15" s="1275">
        <f>(IF('R&amp;C-Painel de Controle'!$C$58="Tecnologia Chinesa",525.884311407721*H$22, 525.884311407721))*F7*D3</f>
        <v>133.44314401970919</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476.115698784112))*F7*D3</f>
        <v>120.8143585664684</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442.933814489642))*F7*D3</f>
        <v>112.39445542674665</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426.037265400051))*F7*D3</f>
        <v>108.10695609526293</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4.0600797942536442</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3.1384227372018188E-2</v>
      </c>
      <c r="E18" s="1035">
        <f>(IF(E$7="SIM",$H$2*D18/1000,""))</f>
        <v>0.71772990844030482</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30.923472558355122</v>
      </c>
      <c r="F19" s="1303">
        <f>IF(E7="SIM",(E16)/E19,"-")</f>
        <v>0.13129443294545726</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1352.1929105794002</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0.14293204910156249</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1.0559727814620112</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227.97007935590599</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181023.50320103028</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95.085084595737555</v>
      </c>
      <c r="F35" s="868">
        <f>D35*(1+F34)</f>
        <v>4.0625000000000001E-2</v>
      </c>
      <c r="G35" s="935"/>
      <c r="H35" s="1703">
        <f>D35*95%</f>
        <v>3.0875E-2</v>
      </c>
      <c r="I35" s="338">
        <f>(1-'R&amp;C-Painel de Controle'!$D$58)*J35*'R-Definição'!$E$114+('R&amp;C-Painel de Controle'!$D$58)*H35*'R-Definição'!$E$114</f>
        <v>90.330830365950675</v>
      </c>
      <c r="J35" s="868">
        <f>H35*(1+J34)</f>
        <v>3.8593749999999996E-2</v>
      </c>
      <c r="K35" s="935"/>
      <c r="L35" s="1703">
        <f>H35*95%</f>
        <v>2.933125E-2</v>
      </c>
      <c r="M35" s="338">
        <f>(1-'R&amp;C-Painel de Controle'!$D$58)*N35*'R-Definição'!$E$114+('R&amp;C-Painel de Controle'!$D$58)*L35*'R-Definição'!$E$114</f>
        <v>85.814288847653145</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81.532520063609226</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272.85692918519607</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642.99581133871402</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14.704753420538252</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10.653206407682474</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177.16228788097462</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5"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5"/>
      <c r="C2" s="487"/>
      <c r="D2" s="1097">
        <f>IF('R-Definição'!E121="Novo",('R-Resumo Bal. Massa'!B47+'R&amp;C-Painel de Controle'!D31)*(1+'R&amp;C-Painel de Controle'!H74),0)</f>
        <v>74.612861249999995</v>
      </c>
      <c r="E2" s="1098" t="s">
        <v>21</v>
      </c>
      <c r="F2" s="1307"/>
      <c r="G2" s="1307"/>
      <c r="H2" s="1305">
        <f>D2*313</f>
        <v>23353.825571249999</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5"/>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9" t="s">
        <v>691</v>
      </c>
      <c r="C9" s="1099"/>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A10" s="476"/>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1"/>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f>(IF(I$7="SIM",H15*(1-(($D$2-H$11)/(J$11-H$11)))+J15*(1-((J$11-$D$2)/(J$11-H$11))),"-"))</f>
        <v>1.0713487524968834</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f>(IF(I$7="SIM",H16*(1-(($D$2-H$11)/(J$11-H$11)))+J16*(1-((J$11-$D$2)/(J$11-H$11))),"-"))</f>
        <v>7.2358619586452324</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f>(IF(I$7="SIM",(H17*(1-(($D$2-H$11)/(J$11-H$11)))+J17*(1-((J$11-$D$2)/(J$11-H$11))))*10000*('R&amp;C-Painel de Controle'!$D$56+0.18)/1000000,"-"))</f>
        <v>1.8021970369683888</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f>IF(I7="SIM",SUM(I15:I17),"-")</f>
        <v>10.109407748110504</v>
      </c>
      <c r="J18" s="1459"/>
      <c r="K18" s="1454"/>
      <c r="L18" s="1458"/>
      <c r="M18" s="1456" t="str">
        <f>IF(M7="SIM",SUM(M15:M17),"-")</f>
        <v>-</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f>IF(I7="SIM",I18*1000000/$H$2,"-")</f>
        <v>432.88015992359766</v>
      </c>
      <c r="J19" s="1438"/>
      <c r="K19" s="724"/>
      <c r="L19" s="1437"/>
      <c r="M19" s="338" t="str">
        <f>IF(M7="SIM",M18*1000000/$H$2,"-")</f>
        <v>-</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f>(IF(I$7="SIM",H21*(1-(($D$2-H11)/(J11-H11)))+J21*(1-((J11-$D$2)/(J11-H11))),"-"))</f>
        <v>3.9982814630842496</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f>(IF(I$7="SIM",H22*(1-(($D$2-H11)/(J11-H11)))+J22*(1-((J11-$D$2)/(J11-H11))),"-"))</f>
        <v>9.9114448214030269</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f>(IF(I$7="SIM",I27+I28,"-"))</f>
        <v>0.74858342454167826</v>
      </c>
      <c r="J26" s="1401"/>
      <c r="K26" s="1384"/>
      <c r="L26" s="1400"/>
      <c r="M26" s="412" t="str">
        <f>(IF(M$7="SIM",M27+M28,"-"))</f>
        <v>-</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f>(IF(I$7="SIM",(H27*(1-(($D$2-H$11)/(J$11-H$11)))+J27*(1-((J$11-$D$2)/(J$11-H$11))))/1000000,"-"))</f>
        <v>0.37436038201377753</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f>(IF(I$7="SIM",(H28*(1-(($D$2-H$11)/(J$11-H$11)))+J28*(1-((J$11-$D$2)/(J$11-H$11))))/1000000,"-"))</f>
        <v>0.37422304252790078</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f>(IF(I$7="SIM",I30,"-"))</f>
        <v>6.7972197553352797E-3</v>
      </c>
      <c r="J29" s="1403"/>
      <c r="K29" s="1387"/>
      <c r="L29" s="1402"/>
      <c r="M29" s="412" t="str">
        <f>(IF(M$7="SIM",M30,"-"))</f>
        <v>-</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f>(IF(I$7="SIM",(H30*(1-(($D$2-H$11)/(J$11-H$11)))+J30*(1-((J$11-$D$2)/(J$11-H$11))))/1000000,"-"))</f>
        <v>6.7972197553352797E-3</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f>(IF(I$7="SIM",I32+I33+I34+I35,"-"))</f>
        <v>0.11494044948138582</v>
      </c>
      <c r="J31" s="1403"/>
      <c r="K31" s="1388"/>
      <c r="L31" s="1402"/>
      <c r="M31" s="412" t="str">
        <f>(IF(M$7="SIM",M32+M33+M34+M35,"-"))</f>
        <v>-</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f>(IF(I$7="SIM",(H32*(1-(($D$2-H$11)/(J$11-H$11)))+J32*(1-((J$11-$D$2)/(J$11-H$11))))/1000000,"-"))</f>
        <v>1.9636840602679811E-2</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f>(IF(I$7="SIM",(H33*(1-(($D$2-H$11)/(J$11-H$11)))+J33*(1-((J$11-$D$2)/(J$11-H$11))))/1000000,"-"))</f>
        <v>2.6604978476291528E-2</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f>(IF(I$7="SIM",(H34*(1-(($D$2-H$11)/(J$11-H$11)))+J34*(1-((J$11-$D$2)/(J$11-H$11))))/1000000,"-"))</f>
        <v>9.5247539718749995E-4</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f>(IF(I$7="SIM",(H35*(1-(($D$2-H$11)/(J$11-H$11)))+J35*(1-((J$11-$D$2)/(J$11-H$11))))/1000000,"-"))</f>
        <v>6.7746155005226988E-2</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f>(IF(I$7="SIM",I37+I38+I39+I40,"-"))</f>
        <v>1.1812455866896672</v>
      </c>
      <c r="J36" s="1403"/>
      <c r="K36" s="1387"/>
      <c r="L36" s="1402"/>
      <c r="M36" s="412" t="str">
        <f>(IF(M$7="SIM",M37+M38+M39+M40,"-"))</f>
        <v>-</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f>(IF(I$7="SIM",(H37*(1-(($D$2-H$11)/(J$11-H$11)))+J37*(1-((J$11-$D$2)/(J$11-H$11))))/1000000,"-"))</f>
        <v>0.79848519572643184</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f>(IF(I$7="SIM",(H38*(1-(($D$2-H$11)/(J$11-H$11)))+J38*(1-((J$11-$D$2)/(J$11-H$11))))/1000000,"-"))</f>
        <v>1.2943875642942209E-2</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f>(IF(I$7="SIM",(H39*(1-(($D$2-H$11)/(J$11-H$11)))+J39*(1-((J$11-$D$2)/(J$11-H$11))))/1000000,"-"))</f>
        <v>3.3625000000000002E-2</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f>(IF(I$7="SIM",(H40*(1-(($D$2-H$11)/(J$11-H$11)))+J40*(1-((J$11-$D$2)/(J$11-H$11))))/1000000,"-"))</f>
        <v>0.33619151532029312</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f>(IF(I$7="SIM",I42+I43+I44,"-"))</f>
        <v>1.4704069897879533</v>
      </c>
      <c r="J41" s="1403"/>
      <c r="K41" s="1390"/>
      <c r="L41" s="1402"/>
      <c r="M41" s="412" t="str">
        <f>(IF(M$7="SIM",M42+M43+M44,"-"))</f>
        <v>-</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f>(IF(I$7="SIM",(H42*(1-(($D$2-H$11)/(J$11-H$11)))+J42*(1-((J$11-$D$2)/(J$11-H$11))))/1000000,"-"))</f>
        <v>1.3027414342854979</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f>(IF(I$7="SIM",(H43*(1-(($D$2-H$11)/(J$11-H$11)))+J43*(1-((J$11-$D$2)/(J$11-H$11))))/1000000,"-"))</f>
        <v>4.5551151793124994E-2</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f>(IF(I$7="SIM",(H44*(1-(($D$2-H$11)/(J$11-H$11)))+J44*(1-((J$11-$D$2)/(J$11-H$11))))/1000000,"-"))</f>
        <v>0.12211440370933026</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f>(IF(I$7="SIM",I46*1000000/$H$2,"-"))</f>
        <v>165.89021038381674</v>
      </c>
      <c r="J45" s="1405"/>
      <c r="K45" s="1391"/>
      <c r="L45" s="1413"/>
      <c r="M45" s="1375" t="str">
        <f>(IF(M$7="SIM",M46*1000000/$H$2,"-"))</f>
        <v>-</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f>(IF(I$7="SIM",(I26+I29+I31+I36+I41)*(1+H46),"-"))</f>
        <v>3.8741710372816218</v>
      </c>
      <c r="J46" s="1407"/>
      <c r="K46" s="1382"/>
      <c r="L46" s="1406">
        <v>0.1</v>
      </c>
      <c r="M46" s="1377" t="str">
        <f>(IF(M$7="SIM",(M26+M29+M31+M36+M41)*(1+L46),"-"))</f>
        <v>-</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f>(IF(I$7="SIM",((I27+I34+I35+I30+I39+I40+I44)*(1+H46)),"-"))</f>
        <v>1.0359658663212659</v>
      </c>
      <c r="J47" s="1409"/>
      <c r="K47" s="728"/>
      <c r="L47" s="1408"/>
      <c r="M47" s="1378" t="str">
        <f>(IF(M$7="SIM",((M27+M34+M35+M30+M39+M40+M44)*(1+L46)),"-"))</f>
        <v>-</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f>(IF(I$7="SIM",((I37+I28+I38+I32+I33+I42+I43)*1000000/$H$2)*(1+H46),"-"))</f>
        <v>121.5306315576135</v>
      </c>
      <c r="J48" s="1412"/>
      <c r="K48" s="728"/>
      <c r="L48" s="1410"/>
      <c r="M48" s="1411" t="str">
        <f>(IF(M$7="SIM",((M37+M28+M38+M32+M33+M42+M43)*1000000/$H$2)*(1+L46),"-"))</f>
        <v>-</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2022-07-13T21:39:18Z</dcterms:modified>
</cp:coreProperties>
</file>