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EstaPastaDeTrabalho"/>
  <mc:AlternateContent xmlns:mc="http://schemas.openxmlformats.org/markup-compatibility/2006">
    <mc:Choice Requires="x15">
      <x15ac:absPath xmlns:x15ac="http://schemas.microsoft.com/office/spreadsheetml/2010/11/ac" url="C:\Backup 05 Abr 2023\02 - UNIDO\Contrato 03\Tool Development\Version 4 04\SEMAD-GO\templates\"/>
    </mc:Choice>
  </mc:AlternateContent>
  <xr:revisionPtr revIDLastSave="0" documentId="13_ncr:1_{A07B9E89-77C3-4DCA-934A-98F04CE7A577}" xr6:coauthVersionLast="47" xr6:coauthVersionMax="47" xr10:uidLastSave="{00000000-0000-0000-0000-000000000000}"/>
  <bookViews>
    <workbookView xWindow="-120" yWindow="-120" windowWidth="29040" windowHeight="15720" tabRatio="882" firstSheet="6"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s>
  <externalReferences>
    <externalReference r:id="rId19"/>
  </externalReferences>
  <definedNames>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T15" i="19"/>
  <c r="P15" i="19"/>
  <c r="L15" i="19"/>
  <c r="H15" i="19"/>
  <c r="D15" i="19"/>
  <c r="T15" i="14"/>
  <c r="P15" i="14"/>
  <c r="L15" i="14"/>
  <c r="H15" i="14"/>
  <c r="D15" i="14"/>
  <c r="D88" i="8"/>
  <c r="D84" i="8"/>
  <c r="E10" i="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M16" i="14" l="1"/>
  <c r="M42" i="14"/>
  <c r="Q16" i="14"/>
  <c r="Q42" i="14"/>
  <c r="I16" i="14"/>
  <c r="I42" i="14"/>
  <c r="U42" i="14"/>
  <c r="U16" i="14"/>
  <c r="E16" i="14"/>
  <c r="S12" i="9"/>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3" i="14"/>
  <c r="M45" i="14" s="1"/>
  <c r="M23" i="14"/>
  <c r="L18" i="14"/>
  <c r="M18" i="14" s="1"/>
  <c r="M19" i="14" s="1"/>
  <c r="M20" i="14" s="1"/>
  <c r="P18" i="14"/>
  <c r="Q18" i="14" s="1"/>
  <c r="Q19" i="14" s="1"/>
  <c r="Q20" i="14" s="1"/>
  <c r="I23" i="14"/>
  <c r="H18" i="14"/>
  <c r="I18" i="14" s="1"/>
  <c r="I19" i="14" s="1"/>
  <c r="I43" i="14"/>
  <c r="I45" i="14"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U16" i="19" s="1"/>
  <c r="E7" i="19"/>
  <c r="Q7" i="19"/>
  <c r="Q16" i="19" s="1"/>
  <c r="M7" i="19"/>
  <c r="M16" i="19" s="1"/>
  <c r="I7" i="19"/>
  <c r="I16" i="19" s="1"/>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E44" i="19" l="1"/>
  <c r="E16" i="19"/>
  <c r="E42" i="14"/>
  <c r="E43" i="14" s="1"/>
  <c r="E45" i="14" s="1"/>
  <c r="U44" i="19"/>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T30" i="22"/>
  <c r="T31"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O34" i="22"/>
  <c r="O36" i="22"/>
  <c r="O37" i="22" s="1"/>
  <c r="U30" i="22"/>
  <c r="U31" i="22" s="1"/>
  <c r="Q148" i="11"/>
  <c r="R27" i="22" s="1"/>
  <c r="R28" i="22" s="1"/>
  <c r="R149" i="11"/>
  <c r="N42" i="22"/>
  <c r="N157" i="11" l="1"/>
  <c r="N159" i="1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<sst xmlns="http://schemas.openxmlformats.org/spreadsheetml/2006/main" count="2486" uniqueCount="1033">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</sst>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53"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29"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145">
    <xf numFmtId="0" fontId="0" fillId="0" borderId="0" xfId="0"/>
    <xf numFmtId="0" fontId="7" fillId="0" borderId="0" xfId="0" applyFont="1"/>
    <xf numFmtId="0" fontId="13" fillId="0" borderId="0" xfId="0" applyFont="1"/>
    <xf numFmtId="0" fontId="15" fillId="0" borderId="0" xfId="0" applyFont="1"/>
    <xf numFmtId="0" fontId="15" fillId="0" borderId="0" xfId="0" applyFont="1" applyAlignment="1">
      <alignment horizontal="center"/>
    </xf>
    <xf numFmtId="0" fontId="15" fillId="0" borderId="0" xfId="0" applyFont="1" applyAlignment="1">
      <alignment horizontal="right"/>
    </xf>
    <xf numFmtId="0" fontId="13" fillId="0" borderId="0" xfId="0" applyFont="1" applyAlignment="1">
      <alignment horizontal="center"/>
    </xf>
    <xf numFmtId="0" fontId="13" fillId="0" borderId="0" xfId="0" applyFont="1" applyAlignment="1">
      <alignment horizontal="left"/>
    </xf>
    <xf numFmtId="0" fontId="18" fillId="0" borderId="0" xfId="0" applyFont="1"/>
    <xf numFmtId="4" fontId="15" fillId="0" borderId="0" xfId="0" applyNumberFormat="1" applyFont="1"/>
    <xf numFmtId="2" fontId="15" fillId="0" borderId="0" xfId="0" applyNumberFormat="1" applyFont="1" applyAlignment="1">
      <alignment horizontal="center"/>
    </xf>
    <xf numFmtId="0" fontId="13" fillId="0" borderId="0" xfId="0" applyFont="1" applyAlignment="1">
      <alignment horizontal="right"/>
    </xf>
    <xf numFmtId="0" fontId="19" fillId="0" borderId="0" xfId="0" applyFont="1"/>
    <xf numFmtId="0" fontId="14" fillId="0" borderId="0" xfId="0" applyFont="1" applyAlignment="1">
      <alignment horizontal="center" vertical="center"/>
    </xf>
    <xf numFmtId="4" fontId="13" fillId="0" borderId="0" xfId="0" applyNumberFormat="1" applyFont="1" applyAlignment="1">
      <alignment horizontal="center"/>
    </xf>
    <xf numFmtId="2" fontId="13" fillId="0" borderId="0" xfId="0" applyNumberFormat="1" applyFont="1" applyAlignment="1">
      <alignment horizontal="center" vertical="center"/>
    </xf>
    <xf numFmtId="2" fontId="15" fillId="0" borderId="0" xfId="0" applyNumberFormat="1" applyFont="1" applyAlignment="1">
      <alignment horizontal="center" vertical="center"/>
    </xf>
    <xf numFmtId="165" fontId="13" fillId="0" borderId="0" xfId="0" applyNumberFormat="1" applyFont="1" applyAlignment="1">
      <alignment horizontal="center" vertical="center"/>
    </xf>
    <xf numFmtId="2" fontId="13" fillId="0" borderId="0" xfId="0" applyNumberFormat="1" applyFont="1" applyAlignment="1">
      <alignment horizontal="right"/>
    </xf>
    <xf numFmtId="4" fontId="13" fillId="0" borderId="0" xfId="0" applyNumberFormat="1" applyFont="1"/>
    <xf numFmtId="4" fontId="15" fillId="0" borderId="0" xfId="0" applyNumberFormat="1" applyFont="1" applyAlignment="1">
      <alignment horizontal="center" vertical="center"/>
    </xf>
    <xf numFmtId="2" fontId="13" fillId="0" borderId="0" xfId="0" applyNumberFormat="1" applyFont="1"/>
    <xf numFmtId="0" fontId="13" fillId="0" borderId="0" xfId="0" applyFont="1" applyAlignment="1">
      <alignment vertical="center"/>
    </xf>
    <xf numFmtId="0" fontId="10" fillId="0" borderId="0" xfId="0" applyFont="1" applyAlignment="1">
      <alignment horizontal="right" vertical="center"/>
    </xf>
    <xf numFmtId="4" fontId="15" fillId="0" borderId="0" xfId="0" applyNumberFormat="1" applyFont="1" applyAlignment="1">
      <alignment horizontal="center"/>
    </xf>
    <xf numFmtId="4" fontId="14" fillId="0" borderId="0" xfId="0" applyNumberFormat="1" applyFont="1" applyAlignment="1">
      <alignment vertical="center"/>
    </xf>
    <xf numFmtId="0" fontId="14" fillId="0" borderId="0" xfId="0" applyFont="1" applyAlignment="1">
      <alignment vertical="center"/>
    </xf>
    <xf numFmtId="2" fontId="15" fillId="0" borderId="0" xfId="0" applyNumberFormat="1" applyFont="1"/>
    <xf numFmtId="4" fontId="15"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0" fillId="0" borderId="0" xfId="0" applyFont="1" applyAlignment="1">
      <alignment vertical="center"/>
    </xf>
    <xf numFmtId="0" fontId="0" fillId="0" borderId="0" xfId="0" applyAlignment="1">
      <alignment vertical="center"/>
    </xf>
    <xf numFmtId="0" fontId="11"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5"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6"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3"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1" fillId="0" borderId="0" xfId="0" applyFont="1" applyAlignment="1">
      <alignment vertical="center"/>
    </xf>
    <xf numFmtId="0" fontId="8" fillId="0" borderId="0" xfId="0" applyFont="1"/>
    <xf numFmtId="9" fontId="23" fillId="0" borderId="0" xfId="0" applyNumberFormat="1" applyFont="1" applyAlignment="1">
      <alignment horizontal="center"/>
    </xf>
    <xf numFmtId="179" fontId="0" fillId="0" borderId="0" xfId="0" applyNumberFormat="1" applyAlignment="1">
      <alignment horizontal="center"/>
    </xf>
    <xf numFmtId="179" fontId="22"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6" fillId="0" borderId="0" xfId="0" applyFont="1"/>
    <xf numFmtId="0" fontId="32" fillId="0" borderId="0" xfId="0" applyFont="1"/>
    <xf numFmtId="0" fontId="16" fillId="0" borderId="0" xfId="0" applyFont="1" applyAlignment="1">
      <alignment vertical="center"/>
    </xf>
    <xf numFmtId="0" fontId="16" fillId="0" borderId="0" xfId="0" applyFont="1" applyAlignment="1">
      <alignment horizontal="center" vertical="center"/>
    </xf>
    <xf numFmtId="3" fontId="16" fillId="0" borderId="0" xfId="0" applyNumberFormat="1" applyFont="1" applyAlignment="1">
      <alignment horizontal="center" vertical="center"/>
    </xf>
    <xf numFmtId="9" fontId="16" fillId="0" borderId="0" xfId="0" applyNumberFormat="1" applyFont="1" applyAlignment="1">
      <alignment horizontal="center" vertical="center"/>
    </xf>
    <xf numFmtId="170" fontId="16" fillId="0" borderId="0" xfId="0" applyNumberFormat="1" applyFont="1" applyAlignment="1">
      <alignment horizontal="center" vertical="center"/>
    </xf>
    <xf numFmtId="170" fontId="16" fillId="0" borderId="0" xfId="0" applyNumberFormat="1" applyFont="1" applyAlignment="1">
      <alignment vertical="center"/>
    </xf>
    <xf numFmtId="0" fontId="27" fillId="0" borderId="0" xfId="0" applyFont="1" applyAlignment="1">
      <alignment horizontal="right" vertical="center"/>
    </xf>
    <xf numFmtId="0" fontId="36" fillId="0" borderId="0" xfId="0" applyFont="1"/>
    <xf numFmtId="0" fontId="37" fillId="0" borderId="0" xfId="0" applyFont="1"/>
    <xf numFmtId="0" fontId="38" fillId="0" borderId="0" xfId="0" applyFont="1"/>
    <xf numFmtId="0" fontId="37" fillId="0" borderId="0" xfId="0" applyFont="1" applyAlignment="1">
      <alignment horizontal="right"/>
    </xf>
    <xf numFmtId="0" fontId="36" fillId="0" borderId="0" xfId="0" applyFont="1" applyAlignment="1">
      <alignment horizontal="right"/>
    </xf>
    <xf numFmtId="0" fontId="38" fillId="0" borderId="0" xfId="0" applyFont="1" applyAlignment="1">
      <alignment wrapText="1"/>
    </xf>
    <xf numFmtId="0" fontId="42" fillId="0" borderId="0" xfId="0" applyFont="1"/>
    <xf numFmtId="0" fontId="43" fillId="0" borderId="0" xfId="0" applyFont="1" applyAlignment="1">
      <alignment horizontal="left" vertical="center"/>
    </xf>
    <xf numFmtId="0" fontId="44" fillId="0" borderId="0" xfId="0" applyFont="1" applyAlignment="1">
      <alignment horizontal="left" vertical="center"/>
    </xf>
    <xf numFmtId="0" fontId="45" fillId="0" borderId="0" xfId="0" applyFont="1"/>
    <xf numFmtId="0" fontId="47" fillId="0" borderId="0" xfId="0" applyFont="1"/>
    <xf numFmtId="0" fontId="47" fillId="0" borderId="0" xfId="0" applyFont="1" applyAlignment="1">
      <alignment horizontal="center"/>
    </xf>
    <xf numFmtId="0" fontId="47" fillId="0" borderId="0" xfId="0" applyFont="1" applyAlignment="1">
      <alignment horizontal="right"/>
    </xf>
    <xf numFmtId="0" fontId="49" fillId="0" borderId="0" xfId="0" applyFont="1"/>
    <xf numFmtId="0" fontId="50" fillId="15" borderId="0" xfId="0" applyFont="1" applyFill="1"/>
    <xf numFmtId="0" fontId="47" fillId="15" borderId="0" xfId="0" applyFont="1" applyFill="1"/>
    <xf numFmtId="0" fontId="47" fillId="0" borderId="30" xfId="0" applyFont="1" applyBorder="1"/>
    <xf numFmtId="0" fontId="56" fillId="15" borderId="0" xfId="0" applyFont="1" applyFill="1" applyAlignment="1">
      <alignment vertical="center"/>
    </xf>
    <xf numFmtId="165" fontId="48" fillId="19" borderId="30" xfId="0" applyNumberFormat="1" applyFont="1" applyFill="1" applyBorder="1" applyAlignment="1">
      <alignment horizontal="center" vertical="center"/>
    </xf>
    <xf numFmtId="165" fontId="47" fillId="3"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8" fillId="0" borderId="30" xfId="0" applyNumberFormat="1" applyFont="1" applyBorder="1" applyAlignment="1">
      <alignment horizontal="center" vertical="center"/>
    </xf>
    <xf numFmtId="0" fontId="58" fillId="15" borderId="0" xfId="0" applyFont="1" applyFill="1" applyAlignment="1">
      <alignment vertical="center"/>
    </xf>
    <xf numFmtId="165" fontId="47" fillId="2" borderId="30" xfId="0" applyNumberFormat="1" applyFont="1" applyFill="1" applyBorder="1" applyAlignment="1" applyProtection="1">
      <alignment horizontal="center" vertical="center"/>
      <protection locked="0"/>
    </xf>
    <xf numFmtId="4" fontId="47" fillId="0" borderId="30" xfId="0" applyNumberFormat="1" applyFont="1" applyBorder="1"/>
    <xf numFmtId="4" fontId="47" fillId="19" borderId="30" xfId="0" applyNumberFormat="1" applyFont="1" applyFill="1" applyBorder="1" applyAlignment="1">
      <alignment horizontal="center"/>
    </xf>
    <xf numFmtId="0" fontId="39" fillId="0" borderId="0" xfId="0" applyFont="1"/>
    <xf numFmtId="4" fontId="45" fillId="0" borderId="0" xfId="0" applyNumberFormat="1" applyFont="1" applyAlignment="1">
      <alignment horizontal="center"/>
    </xf>
    <xf numFmtId="0" fontId="45" fillId="0" borderId="0" xfId="0" applyFont="1" applyAlignment="1">
      <alignment horizontal="center" vertical="center"/>
    </xf>
    <xf numFmtId="4" fontId="45" fillId="0" borderId="0" xfId="0" applyNumberFormat="1" applyFont="1" applyAlignment="1">
      <alignment horizontal="center" vertical="center"/>
    </xf>
    <xf numFmtId="0" fontId="73" fillId="15" borderId="0" xfId="0" applyFont="1" applyFill="1" applyAlignment="1">
      <alignment vertical="center"/>
    </xf>
    <xf numFmtId="0" fontId="72" fillId="15" borderId="0" xfId="0" applyFont="1" applyFill="1" applyAlignment="1">
      <alignment horizontal="left" vertical="center"/>
    </xf>
    <xf numFmtId="0" fontId="73" fillId="15" borderId="0" xfId="0" applyFont="1" applyFill="1" applyAlignment="1">
      <alignment horizontal="center" vertical="center"/>
    </xf>
    <xf numFmtId="0" fontId="57" fillId="0" borderId="0" xfId="0" applyFont="1" applyAlignment="1">
      <alignment horizontal="right"/>
    </xf>
    <xf numFmtId="0" fontId="57" fillId="0" borderId="0" xfId="0" applyFont="1" applyAlignment="1">
      <alignment horizontal="right" vertical="center"/>
    </xf>
    <xf numFmtId="4" fontId="47" fillId="4" borderId="32" xfId="0" applyNumberFormat="1" applyFont="1" applyFill="1" applyBorder="1" applyAlignment="1">
      <alignment horizontal="center" vertical="center"/>
    </xf>
    <xf numFmtId="4" fontId="47" fillId="3" borderId="32" xfId="0" applyNumberFormat="1" applyFont="1" applyFill="1" applyBorder="1" applyAlignment="1">
      <alignment horizontal="center" vertical="center"/>
    </xf>
    <xf numFmtId="4" fontId="48" fillId="4" borderId="32" xfId="0" applyNumberFormat="1" applyFont="1" applyFill="1" applyBorder="1" applyAlignment="1">
      <alignment horizontal="center" vertical="center"/>
    </xf>
    <xf numFmtId="0" fontId="76" fillId="0" borderId="30" xfId="0" applyFont="1" applyBorder="1" applyAlignment="1">
      <alignment horizontal="right" vertical="center"/>
    </xf>
    <xf numFmtId="0" fontId="57" fillId="0" borderId="30" xfId="0" applyFont="1" applyBorder="1" applyAlignment="1">
      <alignment horizontal="right" vertical="center"/>
    </xf>
    <xf numFmtId="0" fontId="57" fillId="0" borderId="0" xfId="0" applyFont="1" applyAlignment="1">
      <alignment vertical="center"/>
    </xf>
    <xf numFmtId="0" fontId="47" fillId="0" borderId="0" xfId="0" applyFont="1" applyAlignment="1">
      <alignment vertical="center"/>
    </xf>
    <xf numFmtId="4" fontId="47" fillId="5" borderId="30" xfId="0" applyNumberFormat="1" applyFont="1" applyFill="1" applyBorder="1" applyAlignment="1">
      <alignment horizontal="center" vertical="center"/>
    </xf>
    <xf numFmtId="4" fontId="47" fillId="3" borderId="30" xfId="0" applyNumberFormat="1" applyFont="1" applyFill="1" applyBorder="1" applyAlignment="1">
      <alignment horizontal="center" vertical="center"/>
    </xf>
    <xf numFmtId="0" fontId="59" fillId="16" borderId="29" xfId="0" applyFont="1" applyFill="1" applyBorder="1" applyAlignment="1">
      <alignment vertical="center"/>
    </xf>
    <xf numFmtId="0" fontId="47" fillId="0" borderId="31" xfId="0" applyFont="1" applyBorder="1" applyAlignment="1">
      <alignment vertical="center"/>
    </xf>
    <xf numFmtId="0" fontId="57" fillId="0" borderId="28" xfId="0" applyFont="1" applyBorder="1" applyAlignment="1">
      <alignment horizontal="right" vertical="center"/>
    </xf>
    <xf numFmtId="0" fontId="59" fillId="16" borderId="28" xfId="0" applyFont="1" applyFill="1" applyBorder="1" applyAlignment="1">
      <alignment vertical="center"/>
    </xf>
    <xf numFmtId="0" fontId="59" fillId="16" borderId="35" xfId="0" applyFont="1" applyFill="1" applyBorder="1" applyAlignment="1">
      <alignment vertical="center"/>
    </xf>
    <xf numFmtId="0" fontId="59" fillId="16" borderId="35" xfId="0" applyFont="1" applyFill="1" applyBorder="1" applyAlignment="1">
      <alignment horizontal="right" vertical="center"/>
    </xf>
    <xf numFmtId="0" fontId="47" fillId="3" borderId="30" xfId="0" applyFont="1" applyFill="1" applyBorder="1" applyAlignment="1" applyProtection="1">
      <alignment horizontal="center" vertical="center"/>
      <protection locked="0"/>
    </xf>
    <xf numFmtId="165" fontId="47" fillId="3" borderId="30" xfId="0" applyNumberFormat="1" applyFont="1" applyFill="1" applyBorder="1" applyAlignment="1" applyProtection="1">
      <alignment horizontal="center" vertical="center"/>
      <protection locked="0"/>
    </xf>
    <xf numFmtId="0" fontId="47" fillId="0" borderId="30" xfId="0" applyFont="1" applyBorder="1" applyAlignment="1">
      <alignment vertical="center"/>
    </xf>
    <xf numFmtId="0" fontId="65" fillId="5" borderId="30" xfId="0" applyFont="1" applyFill="1" applyBorder="1" applyAlignment="1">
      <alignment horizontal="center" vertical="center"/>
    </xf>
    <xf numFmtId="0" fontId="65" fillId="5" borderId="30" xfId="0" applyFont="1" applyFill="1" applyBorder="1" applyAlignment="1">
      <alignment horizontal="center" vertical="center" wrapText="1"/>
    </xf>
    <xf numFmtId="4" fontId="41" fillId="3" borderId="30" xfId="0" applyNumberFormat="1" applyFont="1" applyFill="1" applyBorder="1" applyAlignment="1">
      <alignment horizontal="center" vertical="center"/>
    </xf>
    <xf numFmtId="0" fontId="39" fillId="3" borderId="28" xfId="0" applyFont="1" applyFill="1" applyBorder="1" applyAlignment="1">
      <alignment horizontal="center" vertical="center"/>
    </xf>
    <xf numFmtId="0" fontId="39" fillId="3" borderId="28" xfId="0" applyFont="1" applyFill="1" applyBorder="1" applyAlignment="1">
      <alignment horizontal="center" vertical="center" wrapText="1"/>
    </xf>
    <xf numFmtId="0" fontId="76" fillId="0" borderId="28" xfId="0" applyFont="1" applyBorder="1" applyAlignment="1">
      <alignment horizontal="right" vertical="center"/>
    </xf>
    <xf numFmtId="0" fontId="41" fillId="0" borderId="28" xfId="0" applyFont="1" applyBorder="1" applyAlignment="1">
      <alignment vertical="center"/>
    </xf>
    <xf numFmtId="4" fontId="66" fillId="5" borderId="30" xfId="0" applyNumberFormat="1" applyFont="1" applyFill="1" applyBorder="1" applyAlignment="1">
      <alignment horizontal="center" vertical="center"/>
    </xf>
    <xf numFmtId="4" fontId="45" fillId="3" borderId="28" xfId="0" applyNumberFormat="1" applyFont="1" applyFill="1" applyBorder="1" applyAlignment="1">
      <alignment horizontal="center" vertical="center"/>
    </xf>
    <xf numFmtId="4" fontId="63" fillId="5" borderId="30" xfId="0" applyNumberFormat="1" applyFont="1" applyFill="1" applyBorder="1" applyAlignment="1">
      <alignment horizontal="center" vertical="center"/>
    </xf>
    <xf numFmtId="0" fontId="45" fillId="0" borderId="0" xfId="0" applyFont="1" applyAlignment="1">
      <alignment vertical="center"/>
    </xf>
    <xf numFmtId="0" fontId="39" fillId="0" borderId="0" xfId="0" applyFont="1" applyAlignment="1">
      <alignment horizontal="right" vertical="center"/>
    </xf>
    <xf numFmtId="0" fontId="80" fillId="16" borderId="28" xfId="0" applyFont="1" applyFill="1" applyBorder="1" applyAlignment="1">
      <alignment horizontal="right" vertical="center"/>
    </xf>
    <xf numFmtId="0" fontId="45" fillId="0" borderId="0" xfId="0" applyFont="1" applyAlignment="1">
      <alignment horizontal="right" vertical="center"/>
    </xf>
    <xf numFmtId="0" fontId="45" fillId="0" borderId="30" xfId="0" applyFont="1" applyBorder="1" applyAlignment="1">
      <alignment vertical="center"/>
    </xf>
    <xf numFmtId="165" fontId="41" fillId="3" borderId="30" xfId="0" applyNumberFormat="1" applyFont="1" applyFill="1" applyBorder="1" applyAlignment="1" applyProtection="1">
      <alignment horizontal="center" vertical="center"/>
      <protection locked="0"/>
    </xf>
    <xf numFmtId="0" fontId="41" fillId="0" borderId="0" xfId="0" applyFont="1" applyAlignment="1">
      <alignment vertical="center"/>
    </xf>
    <xf numFmtId="1" fontId="45" fillId="2" borderId="30" xfId="0" applyNumberFormat="1" applyFont="1" applyFill="1" applyBorder="1" applyAlignment="1" applyProtection="1">
      <alignment horizontal="center" vertical="center"/>
      <protection locked="0"/>
    </xf>
    <xf numFmtId="4" fontId="47" fillId="3" borderId="30" xfId="0" applyNumberFormat="1" applyFont="1" applyFill="1" applyBorder="1" applyAlignment="1">
      <alignment vertical="center"/>
    </xf>
    <xf numFmtId="4" fontId="48" fillId="20" borderId="30" xfId="0" applyNumberFormat="1" applyFont="1" applyFill="1" applyBorder="1" applyAlignment="1">
      <alignment horizontal="center" vertical="center"/>
    </xf>
    <xf numFmtId="0" fontId="82" fillId="16" borderId="28" xfId="0" applyFont="1" applyFill="1" applyBorder="1" applyAlignment="1">
      <alignment horizontal="right" vertical="center"/>
    </xf>
    <xf numFmtId="4" fontId="84" fillId="5" borderId="30" xfId="0" applyNumberFormat="1" applyFont="1" applyFill="1" applyBorder="1" applyAlignment="1">
      <alignment horizontal="center" vertical="center"/>
    </xf>
    <xf numFmtId="4" fontId="47" fillId="19" borderId="4" xfId="0" applyNumberFormat="1" applyFont="1" applyFill="1" applyBorder="1" applyAlignment="1">
      <alignment horizontal="center" vertical="center"/>
    </xf>
    <xf numFmtId="164" fontId="36" fillId="3" borderId="4" xfId="0" applyNumberFormat="1" applyFont="1" applyFill="1" applyBorder="1" applyAlignment="1">
      <alignment horizontal="center" vertical="center"/>
    </xf>
    <xf numFmtId="4" fontId="36" fillId="5" borderId="5" xfId="0" applyNumberFormat="1" applyFont="1" applyFill="1" applyBorder="1" applyAlignment="1">
      <alignment vertical="center"/>
    </xf>
    <xf numFmtId="0" fontId="36" fillId="5" borderId="5" xfId="0" applyFont="1" applyFill="1" applyBorder="1" applyAlignment="1">
      <alignment horizontal="center" vertical="center"/>
    </xf>
    <xf numFmtId="164" fontId="38" fillId="3" borderId="4" xfId="0" applyNumberFormat="1" applyFont="1" applyFill="1" applyBorder="1" applyAlignment="1">
      <alignment horizontal="center" vertical="center"/>
    </xf>
    <xf numFmtId="164" fontId="36" fillId="5" borderId="5" xfId="0" applyNumberFormat="1" applyFont="1" applyFill="1" applyBorder="1" applyAlignment="1">
      <alignment horizontal="center" vertical="center"/>
    </xf>
    <xf numFmtId="165" fontId="37" fillId="5" borderId="5" xfId="0" applyNumberFormat="1" applyFont="1" applyFill="1" applyBorder="1" applyAlignment="1">
      <alignment horizontal="center" vertical="center"/>
    </xf>
    <xf numFmtId="0" fontId="36" fillId="0" borderId="0" xfId="0" applyFont="1" applyAlignment="1">
      <alignment vertical="center"/>
    </xf>
    <xf numFmtId="0" fontId="37" fillId="0" borderId="0" xfId="0" applyFont="1" applyAlignment="1">
      <alignment vertical="center"/>
    </xf>
    <xf numFmtId="0" fontId="36" fillId="5" borderId="5" xfId="0" applyFont="1" applyFill="1" applyBorder="1" applyAlignment="1">
      <alignment vertical="center"/>
    </xf>
    <xf numFmtId="0" fontId="37" fillId="5" borderId="19" xfId="0" applyFont="1" applyFill="1" applyBorder="1" applyAlignment="1">
      <alignment horizontal="center" vertical="center"/>
    </xf>
    <xf numFmtId="0" fontId="37" fillId="5" borderId="5" xfId="0" applyFont="1" applyFill="1" applyBorder="1" applyAlignment="1">
      <alignment horizontal="center" vertical="center"/>
    </xf>
    <xf numFmtId="0" fontId="37" fillId="5" borderId="20" xfId="0" applyFont="1" applyFill="1" applyBorder="1" applyAlignment="1">
      <alignment horizontal="center" vertical="center"/>
    </xf>
    <xf numFmtId="0" fontId="36" fillId="0" borderId="23" xfId="0" applyFont="1" applyBorder="1" applyAlignment="1">
      <alignment vertical="center"/>
    </xf>
    <xf numFmtId="0" fontId="36" fillId="5" borderId="19" xfId="0" applyFont="1" applyFill="1" applyBorder="1" applyAlignment="1">
      <alignment vertical="center"/>
    </xf>
    <xf numFmtId="0" fontId="36" fillId="5" borderId="20" xfId="0" applyFont="1" applyFill="1" applyBorder="1" applyAlignment="1">
      <alignment vertical="center"/>
    </xf>
    <xf numFmtId="0" fontId="36" fillId="0" borderId="23" xfId="0" applyFont="1" applyBorder="1" applyAlignment="1">
      <alignment horizontal="right" vertical="center"/>
    </xf>
    <xf numFmtId="0" fontId="36" fillId="0" borderId="23" xfId="0" applyFont="1" applyBorder="1" applyAlignment="1">
      <alignment horizontal="center" vertical="center"/>
    </xf>
    <xf numFmtId="0" fontId="37" fillId="0" borderId="23" xfId="0" applyFont="1" applyBorder="1" applyAlignment="1">
      <alignment vertical="center"/>
    </xf>
    <xf numFmtId="4" fontId="37" fillId="0" borderId="0" xfId="0" applyNumberFormat="1" applyFont="1" applyAlignment="1">
      <alignment vertical="center"/>
    </xf>
    <xf numFmtId="2" fontId="36" fillId="0" borderId="23" xfId="0" applyNumberFormat="1" applyFont="1" applyBorder="1" applyAlignment="1">
      <alignment vertical="center"/>
    </xf>
    <xf numFmtId="4" fontId="36" fillId="0" borderId="23" xfId="0" applyNumberFormat="1" applyFont="1" applyBorder="1" applyAlignment="1">
      <alignment vertical="center"/>
    </xf>
    <xf numFmtId="2" fontId="36" fillId="5" borderId="5" xfId="0" applyNumberFormat="1" applyFont="1" applyFill="1" applyBorder="1" applyAlignment="1">
      <alignment vertical="center"/>
    </xf>
    <xf numFmtId="4" fontId="36" fillId="0" borderId="0" xfId="0" applyNumberFormat="1" applyFont="1" applyAlignment="1">
      <alignment vertical="center"/>
    </xf>
    <xf numFmtId="0" fontId="36" fillId="0" borderId="0" xfId="0" applyFont="1" applyAlignment="1">
      <alignment horizontal="right" vertical="center"/>
    </xf>
    <xf numFmtId="0" fontId="36" fillId="0" borderId="0" xfId="0" applyFont="1" applyAlignment="1">
      <alignment horizontal="center" vertical="center"/>
    </xf>
    <xf numFmtId="2" fontId="36" fillId="0" borderId="0" xfId="0" applyNumberFormat="1" applyFont="1" applyAlignment="1">
      <alignment vertical="center"/>
    </xf>
    <xf numFmtId="0" fontId="89" fillId="5" borderId="5" xfId="0" applyFont="1" applyFill="1" applyBorder="1" applyAlignment="1">
      <alignment vertical="center"/>
    </xf>
    <xf numFmtId="164" fontId="36" fillId="0" borderId="0" xfId="0" applyNumberFormat="1" applyFont="1" applyAlignment="1">
      <alignment horizontal="right" vertical="center"/>
    </xf>
    <xf numFmtId="0" fontId="38" fillId="5" borderId="5" xfId="0" applyFont="1" applyFill="1" applyBorder="1" applyAlignment="1">
      <alignment vertical="center"/>
    </xf>
    <xf numFmtId="0" fontId="38" fillId="5" borderId="5" xfId="0" applyFont="1" applyFill="1" applyBorder="1" applyAlignment="1">
      <alignment horizontal="right" vertical="center"/>
    </xf>
    <xf numFmtId="3" fontId="36" fillId="5" borderId="5" xfId="0" applyNumberFormat="1" applyFont="1" applyFill="1" applyBorder="1" applyAlignment="1">
      <alignment vertical="center"/>
    </xf>
    <xf numFmtId="167" fontId="36" fillId="0" borderId="0" xfId="0" applyNumberFormat="1" applyFont="1" applyAlignment="1">
      <alignment vertical="center"/>
    </xf>
    <xf numFmtId="0" fontId="36" fillId="5" borderId="24" xfId="0" applyFont="1" applyFill="1" applyBorder="1" applyAlignment="1">
      <alignment vertical="center"/>
    </xf>
    <xf numFmtId="0" fontId="36" fillId="5" borderId="25" xfId="0" applyFont="1" applyFill="1" applyBorder="1" applyAlignment="1">
      <alignment vertical="center"/>
    </xf>
    <xf numFmtId="0" fontId="38" fillId="5" borderId="25" xfId="0" applyFont="1" applyFill="1" applyBorder="1" applyAlignment="1">
      <alignment vertical="center"/>
    </xf>
    <xf numFmtId="0" fontId="36" fillId="5" borderId="26" xfId="0" applyFont="1" applyFill="1" applyBorder="1" applyAlignment="1">
      <alignment vertical="center"/>
    </xf>
    <xf numFmtId="0" fontId="59" fillId="16" borderId="31" xfId="0" applyFont="1" applyFill="1" applyBorder="1" applyAlignment="1">
      <alignment vertical="center"/>
    </xf>
    <xf numFmtId="0" fontId="59" fillId="16" borderId="30" xfId="0" applyFont="1" applyFill="1" applyBorder="1" applyAlignment="1">
      <alignment vertical="center"/>
    </xf>
    <xf numFmtId="164" fontId="47" fillId="21" borderId="23" xfId="0" applyNumberFormat="1" applyFont="1" applyFill="1" applyBorder="1" applyAlignment="1" applyProtection="1">
      <alignment horizontal="center" vertical="center"/>
      <protection locked="0"/>
    </xf>
    <xf numFmtId="4" fontId="48" fillId="19" borderId="32" xfId="0" applyNumberFormat="1" applyFont="1" applyFill="1" applyBorder="1" applyAlignment="1">
      <alignment horizontal="center" vertical="center"/>
    </xf>
    <xf numFmtId="4" fontId="45" fillId="19" borderId="30" xfId="0" applyNumberFormat="1" applyFont="1" applyFill="1" applyBorder="1" applyAlignment="1">
      <alignment horizontal="center" vertical="center"/>
    </xf>
    <xf numFmtId="165" fontId="41" fillId="19" borderId="30" xfId="0" applyNumberFormat="1" applyFont="1" applyFill="1" applyBorder="1" applyAlignment="1">
      <alignment horizontal="center" vertical="center"/>
    </xf>
    <xf numFmtId="3" fontId="45" fillId="19" borderId="30" xfId="0" applyNumberFormat="1" applyFont="1" applyFill="1" applyBorder="1" applyAlignment="1">
      <alignment horizontal="center" vertical="center"/>
    </xf>
    <xf numFmtId="0" fontId="91" fillId="15" borderId="0" xfId="0" applyFont="1" applyFill="1" applyAlignment="1">
      <alignment vertical="center"/>
    </xf>
    <xf numFmtId="0" fontId="56" fillId="15" borderId="0" xfId="0" applyFont="1" applyFill="1" applyAlignment="1">
      <alignment horizontal="left" vertical="center"/>
    </xf>
    <xf numFmtId="0" fontId="38" fillId="15" borderId="0" xfId="0" applyFont="1" applyFill="1" applyAlignment="1">
      <alignment vertical="center"/>
    </xf>
    <xf numFmtId="0" fontId="38" fillId="0" borderId="0" xfId="0" applyFont="1" applyAlignment="1">
      <alignment vertical="center"/>
    </xf>
    <xf numFmtId="0" fontId="61" fillId="0" borderId="0" xfId="0" applyFont="1" applyAlignment="1">
      <alignment horizontal="right" vertical="center"/>
    </xf>
    <xf numFmtId="0" fontId="92" fillId="0" borderId="0" xfId="0" applyFont="1" applyAlignment="1">
      <alignment vertical="center"/>
    </xf>
    <xf numFmtId="165" fontId="45" fillId="27" borderId="30" xfId="0" applyNumberFormat="1" applyFont="1" applyFill="1" applyBorder="1" applyAlignment="1" applyProtection="1">
      <alignment horizontal="center" vertical="center"/>
      <protection locked="0"/>
    </xf>
    <xf numFmtId="0" fontId="98" fillId="16" borderId="31" xfId="0" applyFont="1" applyFill="1" applyBorder="1" applyAlignment="1">
      <alignment vertical="center"/>
    </xf>
    <xf numFmtId="0" fontId="59" fillId="16" borderId="0" xfId="0" applyFont="1" applyFill="1" applyAlignment="1">
      <alignment horizontal="left" vertical="center"/>
    </xf>
    <xf numFmtId="165" fontId="93" fillId="3" borderId="23" xfId="0" applyNumberFormat="1" applyFont="1" applyFill="1" applyBorder="1" applyAlignment="1">
      <alignment horizontal="right" vertical="center"/>
    </xf>
    <xf numFmtId="165" fontId="93" fillId="27" borderId="30" xfId="0" applyNumberFormat="1" applyFont="1" applyFill="1" applyBorder="1" applyAlignment="1" applyProtection="1">
      <alignment horizontal="center" vertical="center"/>
      <protection locked="0"/>
    </xf>
    <xf numFmtId="165" fontId="102" fillId="3" borderId="30" xfId="0" applyNumberFormat="1" applyFont="1" applyFill="1" applyBorder="1" applyAlignment="1">
      <alignment horizontal="center" vertical="center"/>
    </xf>
    <xf numFmtId="164" fontId="92" fillId="27" borderId="30" xfId="0" applyNumberFormat="1" applyFont="1" applyFill="1" applyBorder="1" applyAlignment="1" applyProtection="1">
      <alignment horizontal="center" vertical="center"/>
      <protection locked="0"/>
    </xf>
    <xf numFmtId="4" fontId="93" fillId="27" borderId="30" xfId="0" applyNumberFormat="1" applyFont="1" applyFill="1" applyBorder="1" applyAlignment="1" applyProtection="1">
      <alignment horizontal="center" vertical="center"/>
      <protection locked="0"/>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0" fontId="39" fillId="16" borderId="30" xfId="0" applyFont="1" applyFill="1" applyBorder="1" applyAlignment="1">
      <alignment horizontal="center" vertical="center"/>
    </xf>
    <xf numFmtId="4" fontId="39" fillId="16" borderId="31" xfId="0" applyNumberFormat="1" applyFont="1" applyFill="1" applyBorder="1" applyAlignment="1">
      <alignment horizontal="center" vertical="center"/>
    </xf>
    <xf numFmtId="4" fontId="45" fillId="0" borderId="30" xfId="0" applyNumberFormat="1" applyFont="1" applyBorder="1" applyAlignment="1">
      <alignment horizontal="center" vertical="center"/>
    </xf>
    <xf numFmtId="4" fontId="45"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0" fontId="61" fillId="0" borderId="30" xfId="0" applyFont="1" applyBorder="1" applyAlignment="1">
      <alignment horizontal="center" vertical="center"/>
    </xf>
    <xf numFmtId="0" fontId="41" fillId="0" borderId="30" xfId="0" applyFont="1" applyBorder="1" applyAlignment="1">
      <alignment horizontal="left" vertical="center"/>
    </xf>
    <xf numFmtId="4" fontId="39" fillId="0" borderId="23" xfId="0" applyNumberFormat="1" applyFont="1" applyBorder="1" applyAlignment="1">
      <alignment horizontal="center" vertical="center"/>
    </xf>
    <xf numFmtId="4" fontId="45" fillId="0" borderId="23" xfId="0" applyNumberFormat="1" applyFont="1" applyBorder="1" applyAlignment="1">
      <alignment horizontal="center" vertical="center"/>
    </xf>
    <xf numFmtId="4" fontId="39" fillId="0" borderId="0" xfId="0" applyNumberFormat="1" applyFont="1" applyAlignment="1">
      <alignment horizontal="center" vertical="center"/>
    </xf>
    <xf numFmtId="4" fontId="45" fillId="0" borderId="0" xfId="0" applyNumberFormat="1" applyFont="1" applyAlignment="1">
      <alignment horizontal="right"/>
    </xf>
    <xf numFmtId="0" fontId="45" fillId="0" borderId="0" xfId="0" applyFont="1" applyAlignment="1">
      <alignment horizontal="center"/>
    </xf>
    <xf numFmtId="0" fontId="57" fillId="0" borderId="30" xfId="0" applyFont="1" applyBorder="1" applyAlignment="1">
      <alignment horizontal="left" vertical="center"/>
    </xf>
    <xf numFmtId="2" fontId="98" fillId="16" borderId="30" xfId="0" applyNumberFormat="1" applyFont="1" applyFill="1" applyBorder="1" applyAlignment="1">
      <alignment horizontal="center" vertical="center"/>
    </xf>
    <xf numFmtId="4" fontId="98" fillId="16" borderId="30" xfId="0" applyNumberFormat="1" applyFont="1" applyFill="1" applyBorder="1" applyAlignment="1">
      <alignment horizontal="center" vertical="center"/>
    </xf>
    <xf numFmtId="0" fontId="57" fillId="0" borderId="30" xfId="0" applyFont="1" applyBorder="1" applyAlignment="1">
      <alignment vertical="center" wrapText="1"/>
    </xf>
    <xf numFmtId="0" fontId="108" fillId="0" borderId="0" xfId="0" applyFont="1"/>
    <xf numFmtId="2" fontId="109" fillId="0" borderId="0" xfId="0" applyNumberFormat="1" applyFont="1"/>
    <xf numFmtId="4" fontId="45" fillId="3" borderId="30" xfId="0" applyNumberFormat="1" applyFont="1" applyFill="1" applyBorder="1" applyAlignment="1">
      <alignment horizontal="center" vertical="center"/>
    </xf>
    <xf numFmtId="4" fontId="46" fillId="16" borderId="30" xfId="0" applyNumberFormat="1" applyFont="1" applyFill="1" applyBorder="1" applyAlignment="1">
      <alignment horizontal="center" vertical="center"/>
    </xf>
    <xf numFmtId="4" fontId="46" fillId="20" borderId="30" xfId="0" applyNumberFormat="1" applyFont="1" applyFill="1" applyBorder="1" applyAlignment="1">
      <alignment horizontal="center" vertical="center"/>
    </xf>
    <xf numFmtId="4" fontId="98" fillId="20" borderId="30" xfId="0" applyNumberFormat="1" applyFont="1" applyFill="1" applyBorder="1" applyAlignment="1">
      <alignment horizontal="center" vertical="center"/>
    </xf>
    <xf numFmtId="0" fontId="41" fillId="0" borderId="0" xfId="0" applyFont="1" applyAlignment="1">
      <alignment horizontal="center" vertical="center"/>
    </xf>
    <xf numFmtId="0" fontId="57" fillId="0" borderId="0" xfId="0" applyFont="1" applyAlignment="1">
      <alignment horizontal="center" vertical="center"/>
    </xf>
    <xf numFmtId="0" fontId="48" fillId="16" borderId="30" xfId="0" applyFont="1" applyFill="1" applyBorder="1" applyAlignment="1">
      <alignment vertical="center"/>
    </xf>
    <xf numFmtId="4" fontId="47" fillId="0" borderId="30" xfId="0" applyNumberFormat="1" applyFont="1" applyBorder="1" applyAlignment="1">
      <alignment horizontal="center" vertical="center"/>
    </xf>
    <xf numFmtId="0" fontId="47" fillId="0" borderId="30" xfId="0" applyFont="1" applyBorder="1" applyAlignment="1">
      <alignment horizontal="center" vertical="center"/>
    </xf>
    <xf numFmtId="165" fontId="47" fillId="0" borderId="30" xfId="0" applyNumberFormat="1" applyFont="1" applyBorder="1" applyAlignment="1">
      <alignment horizontal="center" vertical="center"/>
    </xf>
    <xf numFmtId="0" fontId="46" fillId="16" borderId="29" xfId="0" applyFont="1" applyFill="1" applyBorder="1" applyAlignment="1">
      <alignment vertical="center"/>
    </xf>
    <xf numFmtId="0" fontId="46" fillId="16" borderId="31" xfId="0" applyFont="1" applyFill="1" applyBorder="1" applyAlignment="1">
      <alignment vertical="center"/>
    </xf>
    <xf numFmtId="0" fontId="45" fillId="0" borderId="0" xfId="0" applyFont="1" applyAlignment="1">
      <alignment horizontal="left" vertical="center"/>
    </xf>
    <xf numFmtId="0" fontId="85" fillId="0" borderId="0" xfId="0" applyFont="1" applyAlignment="1">
      <alignment vertical="center"/>
    </xf>
    <xf numFmtId="0" fontId="41" fillId="0" borderId="0" xfId="0" applyFont="1"/>
    <xf numFmtId="3" fontId="39" fillId="0" borderId="30" xfId="0" applyNumberFormat="1" applyFont="1" applyBorder="1" applyAlignment="1">
      <alignment horizontal="center" vertical="center"/>
    </xf>
    <xf numFmtId="3" fontId="45" fillId="0" borderId="30" xfId="0" applyNumberFormat="1" applyFont="1" applyBorder="1" applyAlignment="1">
      <alignment horizontal="center" vertical="center"/>
    </xf>
    <xf numFmtId="3" fontId="61" fillId="0" borderId="30" xfId="0" applyNumberFormat="1" applyFont="1" applyBorder="1" applyAlignment="1">
      <alignment horizontal="center" vertical="center"/>
    </xf>
    <xf numFmtId="0" fontId="39" fillId="19" borderId="30" xfId="0" applyFont="1" applyFill="1" applyBorder="1" applyAlignment="1">
      <alignment horizontal="center" vertical="center"/>
    </xf>
    <xf numFmtId="0" fontId="61" fillId="0" borderId="0" xfId="0" applyFont="1" applyAlignment="1">
      <alignment horizontal="center"/>
    </xf>
    <xf numFmtId="168" fontId="41" fillId="0" borderId="0" xfId="0" applyNumberFormat="1" applyFont="1" applyAlignment="1">
      <alignment horizontal="center" vertical="center"/>
    </xf>
    <xf numFmtId="0" fontId="39" fillId="0" borderId="0" xfId="0" applyFont="1" applyAlignment="1">
      <alignment vertical="center"/>
    </xf>
    <xf numFmtId="168" fontId="45" fillId="0" borderId="0" xfId="0" applyNumberFormat="1" applyFont="1" applyAlignment="1">
      <alignment horizontal="center" vertical="center"/>
    </xf>
    <xf numFmtId="168" fontId="41" fillId="0" borderId="30" xfId="0" applyNumberFormat="1" applyFont="1" applyBorder="1" applyAlignment="1">
      <alignment horizontal="center" vertical="center"/>
    </xf>
    <xf numFmtId="0" fontId="41" fillId="3" borderId="30" xfId="0" applyFont="1" applyFill="1" applyBorder="1" applyAlignment="1">
      <alignment horizontal="center" vertical="center"/>
    </xf>
    <xf numFmtId="9" fontId="39" fillId="2" borderId="30" xfId="0" applyNumberFormat="1" applyFont="1" applyFill="1" applyBorder="1" applyAlignment="1" applyProtection="1">
      <alignment horizontal="center" vertical="center"/>
      <protection locked="0"/>
    </xf>
    <xf numFmtId="0" fontId="45" fillId="0" borderId="31" xfId="0" applyFont="1" applyBorder="1" applyAlignment="1">
      <alignment vertical="center"/>
    </xf>
    <xf numFmtId="9" fontId="45" fillId="0" borderId="30" xfId="0" applyNumberFormat="1" applyFont="1" applyBorder="1" applyAlignment="1">
      <alignment horizontal="center" vertical="center"/>
    </xf>
    <xf numFmtId="168" fontId="61" fillId="0" borderId="30" xfId="0" applyNumberFormat="1" applyFont="1" applyBorder="1" applyAlignment="1">
      <alignment horizontal="center" vertical="center"/>
    </xf>
    <xf numFmtId="0" fontId="61" fillId="0" borderId="30" xfId="0" applyFont="1" applyBorder="1" applyAlignment="1">
      <alignment horizontal="right" vertical="center"/>
    </xf>
    <xf numFmtId="167" fontId="41" fillId="0" borderId="30" xfId="0" applyNumberFormat="1" applyFont="1" applyBorder="1" applyAlignment="1">
      <alignment horizontal="center" vertical="center"/>
    </xf>
    <xf numFmtId="168" fontId="112" fillId="0" borderId="30" xfId="0" applyNumberFormat="1" applyFont="1" applyBorder="1" applyAlignment="1">
      <alignment horizontal="center" vertical="center"/>
    </xf>
    <xf numFmtId="0" fontId="45" fillId="0" borderId="23" xfId="0" applyFont="1" applyBorder="1" applyAlignment="1">
      <alignment vertical="center"/>
    </xf>
    <xf numFmtId="0" fontId="39" fillId="0" borderId="23" xfId="0" applyFont="1" applyBorder="1" applyAlignment="1">
      <alignment vertical="center"/>
    </xf>
    <xf numFmtId="0" fontId="61" fillId="0" borderId="0" xfId="0" applyFont="1" applyAlignment="1">
      <alignment horizontal="center" vertical="center"/>
    </xf>
    <xf numFmtId="0" fontId="41" fillId="0" borderId="23" xfId="0" applyFont="1" applyBorder="1" applyAlignment="1">
      <alignment horizontal="center" vertical="center"/>
    </xf>
    <xf numFmtId="1" fontId="41" fillId="0" borderId="0" xfId="0" applyNumberFormat="1" applyFont="1" applyAlignment="1">
      <alignment horizontal="center" vertical="center"/>
    </xf>
    <xf numFmtId="0" fontId="61" fillId="0" borderId="30" xfId="0" applyFont="1" applyBorder="1" applyAlignment="1">
      <alignment horizontal="left" vertical="center"/>
    </xf>
    <xf numFmtId="175" fontId="41" fillId="0" borderId="30" xfId="0" applyNumberFormat="1" applyFont="1" applyBorder="1" applyAlignment="1">
      <alignment horizontal="center" vertical="center"/>
    </xf>
    <xf numFmtId="3" fontId="61" fillId="0" borderId="28" xfId="0" applyNumberFormat="1" applyFont="1" applyBorder="1" applyAlignment="1">
      <alignment horizontal="center" vertical="center"/>
    </xf>
    <xf numFmtId="0" fontId="118" fillId="0" borderId="28" xfId="0" applyFont="1" applyBorder="1" applyAlignment="1">
      <alignment horizontal="left" vertical="center" wrapText="1"/>
    </xf>
    <xf numFmtId="0" fontId="118" fillId="0" borderId="28" xfId="0" applyFont="1" applyBorder="1" applyAlignment="1">
      <alignment vertical="center" wrapText="1"/>
    </xf>
    <xf numFmtId="164" fontId="41" fillId="0" borderId="28" xfId="0" applyNumberFormat="1" applyFont="1" applyBorder="1" applyAlignment="1">
      <alignment horizontal="center" vertical="center"/>
    </xf>
    <xf numFmtId="1" fontId="41" fillId="0" borderId="28" xfId="0" applyNumberFormat="1" applyFont="1" applyBorder="1" applyAlignment="1">
      <alignment horizontal="center" vertical="center"/>
    </xf>
    <xf numFmtId="0" fontId="41" fillId="0" borderId="28" xfId="0" applyFont="1" applyBorder="1" applyAlignment="1">
      <alignment horizontal="center" vertical="center"/>
    </xf>
    <xf numFmtId="0" fontId="38" fillId="0" borderId="0" xfId="0" applyFont="1" applyAlignment="1" applyProtection="1">
      <alignment vertical="center"/>
      <protection locked="0"/>
    </xf>
    <xf numFmtId="0" fontId="38" fillId="0" borderId="0" xfId="0" applyFont="1" applyAlignment="1">
      <alignment vertical="center" wrapText="1"/>
    </xf>
    <xf numFmtId="0" fontId="38" fillId="0" borderId="0" xfId="0" applyFont="1" applyAlignment="1" applyProtection="1">
      <alignment horizontal="center" vertical="center"/>
      <protection locked="0"/>
    </xf>
    <xf numFmtId="165" fontId="38" fillId="0" borderId="0" xfId="0" applyNumberFormat="1" applyFont="1" applyAlignment="1" applyProtection="1">
      <alignment horizontal="center" vertical="center"/>
      <protection locked="0"/>
    </xf>
    <xf numFmtId="9" fontId="38" fillId="0" borderId="0" xfId="0" applyNumberFormat="1" applyFont="1" applyAlignment="1">
      <alignment horizontal="center" vertical="center"/>
    </xf>
    <xf numFmtId="166" fontId="38" fillId="0" borderId="0" xfId="0" applyNumberFormat="1" applyFont="1" applyAlignment="1" applyProtection="1">
      <alignment horizontal="center" vertical="center"/>
      <protection locked="0"/>
    </xf>
    <xf numFmtId="0" fontId="38" fillId="0" borderId="0" xfId="0" applyFont="1" applyAlignment="1">
      <alignment horizontal="center" vertical="center"/>
    </xf>
    <xf numFmtId="0" fontId="119" fillId="0" borderId="0" xfId="0" applyFont="1" applyAlignment="1">
      <alignment vertical="center"/>
    </xf>
    <xf numFmtId="0" fontId="38" fillId="0" borderId="0" xfId="0" applyFont="1" applyAlignment="1">
      <alignment horizontal="left" vertical="center"/>
    </xf>
    <xf numFmtId="0" fontId="119" fillId="0" borderId="0" xfId="0" applyFont="1" applyAlignment="1">
      <alignment horizontal="center" vertical="center"/>
    </xf>
    <xf numFmtId="0" fontId="38" fillId="0" borderId="0" xfId="0" applyFont="1" applyAlignment="1">
      <alignment horizontal="right" vertical="center"/>
    </xf>
    <xf numFmtId="3" fontId="38" fillId="0" borderId="0" xfId="0" applyNumberFormat="1" applyFont="1" applyAlignment="1">
      <alignment horizontal="center" vertical="center"/>
    </xf>
    <xf numFmtId="164" fontId="38" fillId="0" borderId="0" xfId="0" applyNumberFormat="1" applyFont="1" applyAlignment="1">
      <alignment horizontal="center" vertical="center"/>
    </xf>
    <xf numFmtId="168" fontId="38" fillId="0" borderId="0" xfId="0" applyNumberFormat="1" applyFont="1" applyAlignment="1">
      <alignment horizontal="center" vertical="center"/>
    </xf>
    <xf numFmtId="170" fontId="38" fillId="0" borderId="0" xfId="0" applyNumberFormat="1" applyFont="1" applyAlignment="1">
      <alignment horizontal="center" vertical="center"/>
    </xf>
    <xf numFmtId="170" fontId="38" fillId="0" borderId="0" xfId="0" applyNumberFormat="1" applyFont="1" applyAlignment="1">
      <alignment vertical="center"/>
    </xf>
    <xf numFmtId="0" fontId="38" fillId="0" borderId="5" xfId="0" applyFont="1" applyBorder="1" applyAlignment="1">
      <alignment vertical="center"/>
    </xf>
    <xf numFmtId="170" fontId="38" fillId="0" borderId="5" xfId="0" applyNumberFormat="1" applyFont="1" applyBorder="1" applyAlignment="1">
      <alignment horizontal="center" vertical="center"/>
    </xf>
    <xf numFmtId="0" fontId="119" fillId="0" borderId="5" xfId="0" applyFont="1" applyBorder="1" applyAlignment="1">
      <alignment vertical="center"/>
    </xf>
    <xf numFmtId="173" fontId="38" fillId="0" borderId="0" xfId="0" applyNumberFormat="1" applyFont="1" applyAlignment="1">
      <alignment horizontal="center" vertical="center"/>
    </xf>
    <xf numFmtId="0" fontId="119" fillId="0" borderId="0" xfId="0" applyFont="1" applyAlignment="1">
      <alignment horizontal="right" vertical="center"/>
    </xf>
    <xf numFmtId="9" fontId="38" fillId="0" borderId="31" xfId="0" applyNumberFormat="1" applyFont="1" applyBorder="1" applyAlignment="1">
      <alignment horizontal="center" vertical="center"/>
    </xf>
    <xf numFmtId="0" fontId="61" fillId="0" borderId="0" xfId="0" applyFont="1" applyAlignment="1">
      <alignment vertical="center"/>
    </xf>
    <xf numFmtId="3" fontId="11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64" fontId="38" fillId="0" borderId="31" xfId="0" applyNumberFormat="1" applyFont="1" applyBorder="1" applyAlignment="1">
      <alignment horizontal="center" vertical="center"/>
    </xf>
    <xf numFmtId="3" fontId="38" fillId="0" borderId="31" xfId="0" applyNumberFormat="1" applyFont="1" applyBorder="1" applyAlignment="1">
      <alignment horizontal="center" vertical="center"/>
    </xf>
    <xf numFmtId="9" fontId="38" fillId="0" borderId="29" xfId="0" applyNumberFormat="1" applyFont="1" applyBorder="1" applyAlignment="1">
      <alignment horizontal="center" vertical="center"/>
    </xf>
    <xf numFmtId="168" fontId="38" fillId="0" borderId="29" xfId="0" applyNumberFormat="1" applyFont="1" applyBorder="1" applyAlignment="1">
      <alignment horizontal="center" vertical="center"/>
    </xf>
    <xf numFmtId="168" fontId="38" fillId="0" borderId="30" xfId="0" applyNumberFormat="1" applyFont="1" applyBorder="1" applyAlignment="1">
      <alignment horizontal="center" vertical="center"/>
    </xf>
    <xf numFmtId="168" fontId="38" fillId="0" borderId="31" xfId="0" applyNumberFormat="1" applyFont="1" applyBorder="1" applyAlignment="1">
      <alignment horizontal="center" vertical="center"/>
    </xf>
    <xf numFmtId="0" fontId="38" fillId="0" borderId="28" xfId="0" applyFont="1" applyBorder="1" applyAlignment="1">
      <alignment vertical="center"/>
    </xf>
    <xf numFmtId="168" fontId="119"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3" fontId="36" fillId="0" borderId="30" xfId="0" applyNumberFormat="1" applyFont="1" applyBorder="1" applyAlignment="1">
      <alignment horizontal="center" vertical="center"/>
    </xf>
    <xf numFmtId="1" fontId="36" fillId="0" borderId="30" xfId="0" applyNumberFormat="1" applyFont="1" applyBorder="1" applyAlignment="1">
      <alignment horizontal="center" vertical="center"/>
    </xf>
    <xf numFmtId="0" fontId="36" fillId="0" borderId="30" xfId="0" applyFont="1" applyBorder="1" applyAlignment="1">
      <alignment horizontal="center" vertical="center"/>
    </xf>
    <xf numFmtId="0" fontId="126" fillId="0" borderId="0" xfId="0" applyFont="1" applyAlignment="1">
      <alignment vertical="center"/>
    </xf>
    <xf numFmtId="0" fontId="37" fillId="0" borderId="0" xfId="0" applyFont="1" applyAlignment="1">
      <alignment horizontal="center" vertical="center"/>
    </xf>
    <xf numFmtId="1" fontId="36" fillId="0" borderId="0" xfId="0" applyNumberFormat="1" applyFont="1" applyAlignment="1">
      <alignment horizontal="center" vertical="center"/>
    </xf>
    <xf numFmtId="168" fontId="36" fillId="0" borderId="0" xfId="0" applyNumberFormat="1" applyFont="1" applyAlignment="1">
      <alignment horizontal="center" vertical="center"/>
    </xf>
    <xf numFmtId="3" fontId="36" fillId="0" borderId="0" xfId="0" applyNumberFormat="1" applyFont="1" applyAlignment="1">
      <alignment horizontal="center" vertical="center"/>
    </xf>
    <xf numFmtId="9" fontId="36" fillId="0" borderId="0" xfId="0" applyNumberFormat="1" applyFont="1" applyAlignment="1">
      <alignment horizontal="center" vertical="center"/>
    </xf>
    <xf numFmtId="168" fontId="37" fillId="0" borderId="0" xfId="0" applyNumberFormat="1" applyFont="1" applyAlignment="1">
      <alignment horizontal="center" vertical="center"/>
    </xf>
    <xf numFmtId="9" fontId="89" fillId="0" borderId="0" xfId="0" applyNumberFormat="1" applyFont="1" applyAlignment="1">
      <alignment horizontal="center" vertical="center"/>
    </xf>
    <xf numFmtId="165" fontId="36" fillId="0" borderId="0" xfId="0" applyNumberFormat="1" applyFont="1" applyAlignment="1">
      <alignment horizontal="center" vertical="center"/>
    </xf>
    <xf numFmtId="0" fontId="127" fillId="0" borderId="0" xfId="0" applyFont="1" applyAlignment="1">
      <alignment vertical="center"/>
    </xf>
    <xf numFmtId="0" fontId="128" fillId="0" borderId="0" xfId="0" applyFont="1" applyAlignment="1">
      <alignment vertical="center"/>
    </xf>
    <xf numFmtId="0" fontId="127" fillId="0" borderId="0" xfId="0" applyFont="1"/>
    <xf numFmtId="0" fontId="129" fillId="0" borderId="0" xfId="0" applyFont="1" applyAlignment="1">
      <alignment vertical="center"/>
    </xf>
    <xf numFmtId="9" fontId="127" fillId="0" borderId="0" xfId="0" applyNumberFormat="1" applyFont="1" applyAlignment="1">
      <alignment horizontal="center" vertical="center"/>
    </xf>
    <xf numFmtId="1" fontId="47" fillId="0" borderId="30" xfId="0" applyNumberFormat="1" applyFont="1" applyBorder="1" applyAlignment="1">
      <alignment horizontal="center" vertical="center"/>
    </xf>
    <xf numFmtId="166" fontId="47"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9" fontId="47" fillId="0" borderId="30" xfId="0" applyNumberFormat="1" applyFont="1" applyBorder="1" applyAlignment="1">
      <alignment horizontal="center" vertical="center"/>
    </xf>
    <xf numFmtId="167" fontId="47" fillId="0" borderId="30" xfId="0" applyNumberFormat="1" applyFont="1" applyBorder="1" applyAlignment="1">
      <alignment horizontal="center" vertical="center"/>
    </xf>
    <xf numFmtId="164" fontId="47" fillId="0" borderId="30" xfId="0" applyNumberFormat="1" applyFont="1" applyBorder="1" applyAlignment="1">
      <alignment horizontal="center" vertical="center"/>
    </xf>
    <xf numFmtId="0" fontId="126" fillId="0" borderId="0" xfId="0" applyFont="1" applyAlignment="1">
      <alignment horizontal="center" vertical="center"/>
    </xf>
    <xf numFmtId="9" fontId="37" fillId="0" borderId="0" xfId="0" applyNumberFormat="1" applyFont="1" applyAlignment="1">
      <alignment horizontal="center" vertical="center"/>
    </xf>
    <xf numFmtId="167" fontId="37" fillId="0" borderId="0" xfId="0" applyNumberFormat="1" applyFont="1" applyAlignment="1">
      <alignment horizontal="center" vertical="center"/>
    </xf>
    <xf numFmtId="1" fontId="37" fillId="0" borderId="0" xfId="0" applyNumberFormat="1" applyFont="1" applyAlignment="1">
      <alignment horizontal="center" vertical="center"/>
    </xf>
    <xf numFmtId="0" fontId="127" fillId="0" borderId="30" xfId="0" applyFont="1" applyBorder="1" applyAlignment="1">
      <alignment vertical="center"/>
    </xf>
    <xf numFmtId="3" fontId="128" fillId="0" borderId="30" xfId="0" applyNumberFormat="1" applyFont="1" applyBorder="1" applyAlignment="1">
      <alignment horizontal="center" vertical="center"/>
    </xf>
    <xf numFmtId="177" fontId="128" fillId="0" borderId="30" xfId="0" applyNumberFormat="1" applyFont="1" applyBorder="1" applyAlignment="1">
      <alignment horizontal="center" vertical="center"/>
    </xf>
    <xf numFmtId="0" fontId="127" fillId="0" borderId="30" xfId="0" applyFont="1" applyBorder="1" applyAlignment="1">
      <alignment horizontal="center" vertical="center"/>
    </xf>
    <xf numFmtId="3" fontId="127" fillId="0" borderId="30" xfId="0" applyNumberFormat="1" applyFont="1" applyBorder="1" applyAlignment="1">
      <alignment horizontal="center" vertical="center"/>
    </xf>
    <xf numFmtId="9" fontId="127" fillId="0" borderId="30" xfId="0" applyNumberFormat="1" applyFont="1" applyBorder="1" applyAlignment="1">
      <alignment horizontal="center" vertical="center"/>
    </xf>
    <xf numFmtId="168" fontId="127" fillId="0" borderId="30" xfId="0" applyNumberFormat="1" applyFont="1" applyBorder="1" applyAlignment="1">
      <alignment horizontal="center" vertical="center"/>
    </xf>
    <xf numFmtId="1" fontId="127" fillId="0" borderId="30" xfId="0" applyNumberFormat="1" applyFont="1" applyBorder="1" applyAlignment="1">
      <alignment horizontal="center" vertical="center"/>
    </xf>
    <xf numFmtId="167" fontId="127" fillId="0" borderId="30" xfId="0" applyNumberFormat="1" applyFont="1" applyBorder="1" applyAlignment="1">
      <alignment horizontal="center" vertical="center"/>
    </xf>
    <xf numFmtId="166" fontId="127" fillId="0" borderId="30" xfId="0" applyNumberFormat="1" applyFont="1" applyBorder="1" applyAlignment="1">
      <alignment horizontal="center" vertical="center"/>
    </xf>
    <xf numFmtId="3" fontId="128" fillId="18" borderId="30" xfId="0" applyNumberFormat="1" applyFont="1" applyFill="1" applyBorder="1" applyAlignment="1">
      <alignment horizontal="center" vertical="center"/>
    </xf>
    <xf numFmtId="2" fontId="127" fillId="0" borderId="30" xfId="0" applyNumberFormat="1" applyFont="1" applyBorder="1" applyAlignment="1">
      <alignment horizontal="center" vertical="center"/>
    </xf>
    <xf numFmtId="0" fontId="37" fillId="0" borderId="30" xfId="0" applyFont="1" applyBorder="1" applyAlignment="1">
      <alignment vertical="center"/>
    </xf>
    <xf numFmtId="0" fontId="36" fillId="0" borderId="30" xfId="0" applyFont="1" applyBorder="1" applyAlignment="1">
      <alignment vertical="center"/>
    </xf>
    <xf numFmtId="167" fontId="37" fillId="0" borderId="30" xfId="0" applyNumberFormat="1" applyFont="1" applyBorder="1" applyAlignment="1">
      <alignment horizontal="center" vertical="center"/>
    </xf>
    <xf numFmtId="9" fontId="36" fillId="0" borderId="30" xfId="0" applyNumberFormat="1" applyFont="1" applyBorder="1" applyAlignment="1">
      <alignment horizontal="center" vertical="center"/>
    </xf>
    <xf numFmtId="166" fontId="36" fillId="0" borderId="30" xfId="0" applyNumberFormat="1" applyFont="1" applyBorder="1" applyAlignment="1">
      <alignment horizontal="center" vertical="center"/>
    </xf>
    <xf numFmtId="168" fontId="36" fillId="0" borderId="30" xfId="0" applyNumberFormat="1" applyFont="1" applyBorder="1" applyAlignment="1">
      <alignment horizontal="center" vertical="center"/>
    </xf>
    <xf numFmtId="164" fontId="36" fillId="0" borderId="30" xfId="0" applyNumberFormat="1" applyFont="1" applyBorder="1" applyAlignment="1">
      <alignment horizontal="center" vertical="center"/>
    </xf>
    <xf numFmtId="0" fontId="86" fillId="0" borderId="0" xfId="0" applyFont="1" applyAlignment="1">
      <alignment vertical="center"/>
    </xf>
    <xf numFmtId="0" fontId="87" fillId="0" borderId="0" xfId="0" applyFont="1" applyAlignment="1">
      <alignment vertical="center"/>
    </xf>
    <xf numFmtId="1" fontId="87" fillId="0" borderId="30" xfId="0" applyNumberFormat="1" applyFont="1" applyBorder="1" applyAlignment="1">
      <alignment horizontal="center" vertical="center"/>
    </xf>
    <xf numFmtId="165" fontId="36" fillId="0" borderId="30" xfId="0" applyNumberFormat="1" applyFont="1" applyBorder="1" applyAlignment="1">
      <alignment horizontal="center" vertical="center"/>
    </xf>
    <xf numFmtId="4" fontId="36" fillId="0" borderId="30" xfId="0" applyNumberFormat="1" applyFont="1" applyBorder="1" applyAlignment="1">
      <alignment horizontal="center" vertical="center"/>
    </xf>
    <xf numFmtId="0" fontId="36" fillId="9" borderId="5" xfId="0" applyFont="1" applyFill="1" applyBorder="1" applyAlignment="1">
      <alignment horizontal="center" vertical="center"/>
    </xf>
    <xf numFmtId="3" fontId="36" fillId="9" borderId="5" xfId="0" applyNumberFormat="1" applyFont="1" applyFill="1" applyBorder="1" applyAlignment="1">
      <alignment horizontal="center" vertical="center"/>
    </xf>
    <xf numFmtId="1" fontId="36" fillId="9" borderId="5" xfId="0" applyNumberFormat="1" applyFont="1" applyFill="1" applyBorder="1" applyAlignment="1">
      <alignment horizontal="center" vertical="center"/>
    </xf>
    <xf numFmtId="166" fontId="89" fillId="9" borderId="5" xfId="0" applyNumberFormat="1" applyFont="1" applyFill="1" applyBorder="1" applyAlignment="1">
      <alignment horizontal="center" vertical="center"/>
    </xf>
    <xf numFmtId="9" fontId="89" fillId="9" borderId="5" xfId="0" applyNumberFormat="1" applyFont="1" applyFill="1" applyBorder="1" applyAlignment="1">
      <alignment horizontal="center" vertical="center"/>
    </xf>
    <xf numFmtId="164" fontId="89" fillId="9" borderId="5" xfId="0" applyNumberFormat="1" applyFont="1" applyFill="1" applyBorder="1" applyAlignment="1">
      <alignment horizontal="center" vertical="center"/>
    </xf>
    <xf numFmtId="3" fontId="89" fillId="9" borderId="5" xfId="0" applyNumberFormat="1" applyFont="1" applyFill="1" applyBorder="1" applyAlignment="1">
      <alignment horizontal="center" vertical="center"/>
    </xf>
    <xf numFmtId="1" fontId="89" fillId="9" borderId="5" xfId="0" applyNumberFormat="1" applyFont="1" applyFill="1" applyBorder="1" applyAlignment="1">
      <alignment horizontal="center" vertical="center"/>
    </xf>
    <xf numFmtId="9" fontId="36" fillId="10" borderId="5" xfId="0" applyNumberFormat="1" applyFont="1" applyFill="1" applyBorder="1" applyAlignment="1">
      <alignment horizontal="center" vertical="center"/>
    </xf>
    <xf numFmtId="0" fontId="36" fillId="6" borderId="5" xfId="0" applyFont="1" applyFill="1" applyBorder="1" applyAlignment="1">
      <alignment horizontal="left" vertical="center"/>
    </xf>
    <xf numFmtId="0" fontId="36" fillId="6" borderId="5" xfId="0"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5" fontId="36" fillId="6" borderId="5" xfId="0" applyNumberFormat="1" applyFont="1" applyFill="1" applyBorder="1" applyAlignment="1">
      <alignment horizontal="center" vertical="center"/>
    </xf>
    <xf numFmtId="1" fontId="36" fillId="6" borderId="5" xfId="0" applyNumberFormat="1" applyFont="1" applyFill="1" applyBorder="1" applyAlignment="1">
      <alignment horizontal="center" vertical="center"/>
    </xf>
    <xf numFmtId="166" fontId="89" fillId="6" borderId="5" xfId="0" applyNumberFormat="1" applyFont="1" applyFill="1" applyBorder="1" applyAlignment="1">
      <alignment horizontal="center" vertical="center"/>
    </xf>
    <xf numFmtId="9" fontId="89" fillId="6" borderId="5" xfId="0" applyNumberFormat="1" applyFont="1" applyFill="1" applyBorder="1" applyAlignment="1">
      <alignment horizontal="center" vertical="center"/>
    </xf>
    <xf numFmtId="164" fontId="132" fillId="6" borderId="5" xfId="0" applyNumberFormat="1" applyFont="1" applyFill="1" applyBorder="1" applyAlignment="1">
      <alignment horizontal="center" vertical="center"/>
    </xf>
    <xf numFmtId="9" fontId="132" fillId="6" borderId="5" xfId="0" applyNumberFormat="1" applyFont="1" applyFill="1" applyBorder="1" applyAlignment="1">
      <alignment horizontal="center" vertical="center"/>
    </xf>
    <xf numFmtId="165" fontId="132" fillId="6" borderId="5" xfId="0" applyNumberFormat="1" applyFont="1" applyFill="1" applyBorder="1" applyAlignment="1">
      <alignment horizontal="center" vertical="center"/>
    </xf>
    <xf numFmtId="165" fontId="37" fillId="0" borderId="30" xfId="0" applyNumberFormat="1" applyFont="1" applyBorder="1" applyAlignment="1">
      <alignment horizontal="center" vertical="center"/>
    </xf>
    <xf numFmtId="0" fontId="36" fillId="0" borderId="30" xfId="0" applyFont="1" applyBorder="1"/>
    <xf numFmtId="168" fontId="36" fillId="0" borderId="30" xfId="0" applyNumberFormat="1" applyFont="1" applyBorder="1" applyAlignment="1">
      <alignment horizontal="center"/>
    </xf>
    <xf numFmtId="0" fontId="99" fillId="15" borderId="0" xfId="0" applyFont="1" applyFill="1"/>
    <xf numFmtId="0" fontId="36" fillId="15" borderId="0" xfId="0" applyFont="1" applyFill="1"/>
    <xf numFmtId="0" fontId="90" fillId="15" borderId="0" xfId="0" applyFont="1" applyFill="1"/>
    <xf numFmtId="0" fontId="37" fillId="15" borderId="0" xfId="0" applyFont="1" applyFill="1"/>
    <xf numFmtId="0" fontId="131" fillId="0" borderId="0" xfId="0" applyFont="1" applyAlignment="1">
      <alignment horizontal="right"/>
    </xf>
    <xf numFmtId="0" fontId="122" fillId="16" borderId="0" xfId="0" applyFont="1" applyFill="1" applyAlignment="1">
      <alignment vertical="center"/>
    </xf>
    <xf numFmtId="0" fontId="137" fillId="16" borderId="0" xfId="0" applyFont="1" applyFill="1" applyAlignment="1">
      <alignment vertical="center"/>
    </xf>
    <xf numFmtId="0" fontId="99" fillId="0" borderId="0" xfId="0" applyFont="1" applyAlignment="1">
      <alignment horizontal="right"/>
    </xf>
    <xf numFmtId="0" fontId="100" fillId="0" borderId="0" xfId="0" applyFont="1" applyAlignment="1">
      <alignment horizontal="right"/>
    </xf>
    <xf numFmtId="0" fontId="122" fillId="16" borderId="0" xfId="0" applyFont="1" applyFill="1" applyAlignment="1">
      <alignment horizontal="center" vertical="center"/>
    </xf>
    <xf numFmtId="0" fontId="60" fillId="16" borderId="0" xfId="0" applyFont="1" applyFill="1" applyAlignment="1">
      <alignment horizontal="left" vertical="center"/>
    </xf>
    <xf numFmtId="0" fontId="47" fillId="16" borderId="0" xfId="0" applyFont="1" applyFill="1" applyAlignment="1">
      <alignment horizontal="left" vertical="center"/>
    </xf>
    <xf numFmtId="0" fontId="47" fillId="15" borderId="23" xfId="0" applyFont="1" applyFill="1" applyBorder="1"/>
    <xf numFmtId="0" fontId="47" fillId="15" borderId="23" xfId="0" applyFont="1" applyFill="1" applyBorder="1" applyAlignment="1">
      <alignment horizontal="right"/>
    </xf>
    <xf numFmtId="0" fontId="48" fillId="15" borderId="23" xfId="0" applyFont="1" applyFill="1" applyBorder="1" applyAlignment="1">
      <alignment horizontal="center" vertical="center"/>
    </xf>
    <xf numFmtId="0" fontId="103" fillId="16" borderId="28" xfId="0" applyFont="1" applyFill="1" applyBorder="1" applyAlignment="1">
      <alignment vertical="center"/>
    </xf>
    <xf numFmtId="0" fontId="59" fillId="16" borderId="28" xfId="0" applyFont="1" applyFill="1" applyBorder="1" applyAlignment="1">
      <alignment horizontal="left" vertical="center"/>
    </xf>
    <xf numFmtId="0" fontId="46" fillId="16" borderId="28" xfId="0" applyFont="1" applyFill="1" applyBorder="1" applyAlignment="1">
      <alignment horizontal="center" vertical="center"/>
    </xf>
    <xf numFmtId="0" fontId="39" fillId="16" borderId="28" xfId="0" applyFont="1" applyFill="1" applyBorder="1" applyAlignment="1">
      <alignment horizontal="center" vertical="center"/>
    </xf>
    <xf numFmtId="0" fontId="45" fillId="16" borderId="28" xfId="0" applyFont="1" applyFill="1" applyBorder="1" applyAlignment="1">
      <alignment horizontal="center" vertical="center"/>
    </xf>
    <xf numFmtId="0" fontId="47" fillId="14" borderId="0" xfId="0" applyFont="1" applyFill="1" applyAlignment="1">
      <alignment vertical="center"/>
    </xf>
    <xf numFmtId="0" fontId="47" fillId="14" borderId="0" xfId="0" applyFont="1" applyFill="1"/>
    <xf numFmtId="0" fontId="57" fillId="14" borderId="0" xfId="0" applyFont="1" applyFill="1" applyAlignment="1">
      <alignment horizontal="center" vertical="center"/>
    </xf>
    <xf numFmtId="0" fontId="57" fillId="14" borderId="0" xfId="0" applyFont="1" applyFill="1" applyAlignment="1">
      <alignment vertical="center"/>
    </xf>
    <xf numFmtId="0" fontId="47" fillId="14" borderId="0" xfId="0" applyFont="1" applyFill="1" applyAlignment="1">
      <alignment horizontal="center" vertical="center"/>
    </xf>
    <xf numFmtId="0" fontId="47" fillId="14" borderId="23" xfId="0" applyFont="1" applyFill="1" applyBorder="1" applyAlignment="1">
      <alignment vertical="center"/>
    </xf>
    <xf numFmtId="0" fontId="47"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7" fillId="14" borderId="0" xfId="0" applyFont="1" applyFill="1" applyAlignment="1">
      <alignment vertical="center"/>
    </xf>
    <xf numFmtId="0" fontId="41" fillId="14" borderId="0" xfId="0" applyFont="1" applyFill="1" applyAlignment="1">
      <alignment vertical="center"/>
    </xf>
    <xf numFmtId="0" fontId="41" fillId="14" borderId="0" xfId="0" applyFont="1" applyFill="1" applyAlignment="1">
      <alignment horizontal="center" vertical="center"/>
    </xf>
    <xf numFmtId="3" fontId="41" fillId="14" borderId="0" xfId="0" applyNumberFormat="1" applyFont="1" applyFill="1" applyAlignment="1">
      <alignment vertical="center"/>
    </xf>
    <xf numFmtId="0" fontId="94" fillId="14" borderId="0" xfId="0" applyFont="1" applyFill="1" applyAlignment="1">
      <alignment vertical="center"/>
    </xf>
    <xf numFmtId="0" fontId="41" fillId="14" borderId="23" xfId="0" applyFont="1" applyFill="1" applyBorder="1" applyAlignment="1">
      <alignment horizontal="center" vertical="center"/>
    </xf>
    <xf numFmtId="10" fontId="41" fillId="14" borderId="0" xfId="0" applyNumberFormat="1" applyFont="1" applyFill="1" applyAlignment="1">
      <alignment vertical="center"/>
    </xf>
    <xf numFmtId="10" fontId="41" fillId="14" borderId="0" xfId="0" applyNumberFormat="1" applyFont="1" applyFill="1" applyAlignment="1">
      <alignment horizontal="center" vertical="center"/>
    </xf>
    <xf numFmtId="0" fontId="61" fillId="14" borderId="0" xfId="0" applyFont="1" applyFill="1" applyAlignment="1">
      <alignment horizontal="right" vertical="center"/>
    </xf>
    <xf numFmtId="3" fontId="61" fillId="14" borderId="0" xfId="0" applyNumberFormat="1" applyFont="1" applyFill="1" applyAlignment="1">
      <alignment horizontal="center" vertical="center"/>
    </xf>
    <xf numFmtId="0" fontId="41" fillId="14" borderId="23" xfId="0" applyFont="1" applyFill="1" applyBorder="1" applyAlignment="1">
      <alignment vertical="center"/>
    </xf>
    <xf numFmtId="3" fontId="41" fillId="14" borderId="0" xfId="0" applyNumberFormat="1" applyFont="1" applyFill="1" applyAlignment="1">
      <alignment horizontal="center" vertical="center"/>
    </xf>
    <xf numFmtId="3" fontId="41" fillId="14" borderId="23" xfId="0" applyNumberFormat="1" applyFont="1" applyFill="1" applyBorder="1" applyAlignment="1">
      <alignment horizontal="center" vertical="center"/>
    </xf>
    <xf numFmtId="0" fontId="41" fillId="14" borderId="23" xfId="0" applyFont="1" applyFill="1" applyBorder="1" applyAlignment="1" applyProtection="1">
      <alignment vertical="center"/>
      <protection locked="0"/>
    </xf>
    <xf numFmtId="165" fontId="41" fillId="14" borderId="0" xfId="0" applyNumberFormat="1" applyFont="1" applyFill="1" applyAlignment="1">
      <alignment horizontal="center" vertical="center"/>
    </xf>
    <xf numFmtId="168" fontId="61" fillId="14" borderId="0" xfId="0" applyNumberFormat="1" applyFont="1" applyFill="1" applyAlignment="1">
      <alignment horizontal="center" vertical="center"/>
    </xf>
    <xf numFmtId="0" fontId="41" fillId="14" borderId="0" xfId="0" applyFont="1" applyFill="1"/>
    <xf numFmtId="0" fontId="116" fillId="14" borderId="0" xfId="0" applyFont="1" applyFill="1" applyAlignment="1">
      <alignment vertical="center"/>
    </xf>
    <xf numFmtId="1" fontId="41" fillId="14" borderId="0" xfId="0" applyNumberFormat="1" applyFont="1" applyFill="1" applyAlignment="1">
      <alignment horizontal="center" vertical="center"/>
    </xf>
    <xf numFmtId="0" fontId="128" fillId="14" borderId="0" xfId="0" applyFont="1" applyFill="1" applyAlignment="1">
      <alignment vertical="center"/>
    </xf>
    <xf numFmtId="0" fontId="127" fillId="14" borderId="0" xfId="0" applyFont="1" applyFill="1" applyAlignment="1">
      <alignment vertical="center"/>
    </xf>
    <xf numFmtId="0" fontId="48" fillId="14" borderId="0" xfId="0" applyFont="1" applyFill="1" applyAlignment="1">
      <alignment vertical="center"/>
    </xf>
    <xf numFmtId="0" fontId="51" fillId="14" borderId="0" xfId="0" applyFont="1" applyFill="1" applyAlignment="1">
      <alignment vertical="center"/>
    </xf>
    <xf numFmtId="0" fontId="51" fillId="38" borderId="5" xfId="0" applyFont="1" applyFill="1" applyBorder="1" applyAlignment="1">
      <alignment vertical="center"/>
    </xf>
    <xf numFmtId="0" fontId="129" fillId="14" borderId="0" xfId="0" applyFont="1" applyFill="1" applyAlignment="1">
      <alignment vertical="center"/>
    </xf>
    <xf numFmtId="0" fontId="37" fillId="14" borderId="0" xfId="0" applyFont="1" applyFill="1" applyAlignment="1">
      <alignment vertical="center"/>
    </xf>
    <xf numFmtId="0" fontId="36"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29" fillId="38" borderId="5" xfId="0" applyFont="1" applyFill="1" applyBorder="1" applyAlignment="1">
      <alignment vertical="center"/>
    </xf>
    <xf numFmtId="0" fontId="130" fillId="14" borderId="0" xfId="0" applyFont="1" applyFill="1" applyAlignment="1">
      <alignment vertical="center"/>
    </xf>
    <xf numFmtId="4" fontId="47" fillId="14" borderId="0" xfId="0" applyNumberFormat="1" applyFont="1" applyFill="1" applyAlignment="1">
      <alignment horizontal="center" vertical="center"/>
    </xf>
    <xf numFmtId="0" fontId="0" fillId="0" borderId="0" xfId="0" applyAlignment="1">
      <alignment horizontal="center"/>
    </xf>
    <xf numFmtId="0" fontId="69" fillId="16" borderId="30" xfId="0" applyFont="1" applyFill="1" applyBorder="1" applyAlignment="1">
      <alignment horizontal="center" vertical="center" wrapText="1"/>
    </xf>
    <xf numFmtId="0" fontId="59" fillId="16" borderId="30" xfId="0" applyFont="1" applyFill="1" applyBorder="1" applyAlignment="1">
      <alignment horizontal="center" vertical="center"/>
    </xf>
    <xf numFmtId="0" fontId="5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69" fillId="16" borderId="30" xfId="0" applyFont="1" applyFill="1" applyBorder="1" applyAlignment="1">
      <alignment horizontal="center" vertical="center"/>
    </xf>
    <xf numFmtId="0" fontId="24" fillId="16" borderId="30" xfId="0" applyFont="1" applyFill="1" applyBorder="1" applyAlignment="1">
      <alignment horizontal="center" vertical="center"/>
    </xf>
    <xf numFmtId="0" fontId="24" fillId="16" borderId="30" xfId="0" applyFont="1" applyFill="1" applyBorder="1" applyAlignment="1">
      <alignment horizontal="center" vertical="center" wrapText="1"/>
    </xf>
    <xf numFmtId="0" fontId="57" fillId="0" borderId="30" xfId="0" applyFont="1" applyBorder="1" applyAlignment="1">
      <alignment vertical="center"/>
    </xf>
    <xf numFmtId="0" fontId="103" fillId="16" borderId="29" xfId="0" applyFont="1" applyFill="1" applyBorder="1" applyAlignment="1">
      <alignment vertical="center"/>
    </xf>
    <xf numFmtId="0" fontId="57" fillId="0" borderId="29" xfId="0" applyFont="1" applyBorder="1" applyAlignment="1">
      <alignment horizontal="right" vertical="center"/>
    </xf>
    <xf numFmtId="0" fontId="41" fillId="0" borderId="30" xfId="0" applyFont="1" applyBorder="1" applyAlignment="1">
      <alignment vertical="center"/>
    </xf>
    <xf numFmtId="0" fontId="41" fillId="0" borderId="29" xfId="0" applyFont="1" applyBorder="1" applyAlignment="1">
      <alignment horizontal="center" vertical="center"/>
    </xf>
    <xf numFmtId="0" fontId="60" fillId="16" borderId="29" xfId="0" applyFont="1" applyFill="1" applyBorder="1" applyAlignment="1">
      <alignment vertical="center"/>
    </xf>
    <xf numFmtId="0" fontId="25" fillId="16" borderId="30" xfId="0" applyFont="1" applyFill="1" applyBorder="1" applyAlignment="1">
      <alignment horizontal="center" vertical="center"/>
    </xf>
    <xf numFmtId="0" fontId="46" fillId="16" borderId="30" xfId="0" applyFont="1" applyFill="1" applyBorder="1" applyAlignment="1">
      <alignment horizontal="center" vertical="center"/>
    </xf>
    <xf numFmtId="0" fontId="45" fillId="0" borderId="30" xfId="0" applyFont="1" applyBorder="1" applyAlignment="1">
      <alignment horizontal="center" vertical="center"/>
    </xf>
    <xf numFmtId="0" fontId="98" fillId="16" borderId="30" xfId="0" applyFont="1" applyFill="1" applyBorder="1" applyAlignment="1">
      <alignment horizontal="center" vertical="center"/>
    </xf>
    <xf numFmtId="0" fontId="41" fillId="0" borderId="30" xfId="0" applyFont="1" applyBorder="1" applyAlignment="1">
      <alignment horizontal="center" vertical="center"/>
    </xf>
    <xf numFmtId="0" fontId="41" fillId="0" borderId="23" xfId="0" applyFont="1" applyBorder="1" applyAlignment="1">
      <alignment vertical="center"/>
    </xf>
    <xf numFmtId="0" fontId="103" fillId="0" borderId="0" xfId="0" applyFont="1" applyAlignment="1">
      <alignment vertical="center"/>
    </xf>
    <xf numFmtId="0" fontId="42" fillId="0" borderId="0" xfId="0" applyFont="1" applyAlignment="1">
      <alignment horizontal="left" vertical="center"/>
    </xf>
    <xf numFmtId="0" fontId="138" fillId="0" borderId="0" xfId="0" applyFont="1" applyAlignment="1">
      <alignment horizontal="left" vertical="center"/>
    </xf>
    <xf numFmtId="0" fontId="50" fillId="14" borderId="0" xfId="0" applyFont="1" applyFill="1"/>
    <xf numFmtId="0" fontId="58" fillId="14" borderId="0" xfId="0" applyFont="1" applyFill="1" applyAlignment="1">
      <alignment vertical="center"/>
    </xf>
    <xf numFmtId="0" fontId="56" fillId="14" borderId="0" xfId="0" applyFont="1" applyFill="1" applyAlignment="1">
      <alignment vertical="center"/>
    </xf>
    <xf numFmtId="0" fontId="47" fillId="14" borderId="0" xfId="0" applyFont="1" applyFill="1" applyAlignment="1">
      <alignment horizontal="center"/>
    </xf>
    <xf numFmtId="0" fontId="47" fillId="14" borderId="23" xfId="0" applyFont="1" applyFill="1" applyBorder="1"/>
    <xf numFmtId="0" fontId="48" fillId="14" borderId="0" xfId="0" applyFont="1" applyFill="1" applyAlignment="1">
      <alignment horizontal="right" vertical="center"/>
    </xf>
    <xf numFmtId="0" fontId="48" fillId="14" borderId="0" xfId="0" applyFont="1" applyFill="1"/>
    <xf numFmtId="3" fontId="47" fillId="24" borderId="30" xfId="0" applyNumberFormat="1" applyFont="1" applyFill="1" applyBorder="1" applyAlignment="1" applyProtection="1">
      <alignment horizontal="center" vertical="center"/>
      <protection locked="0"/>
    </xf>
    <xf numFmtId="2" fontId="47"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0" fontId="47" fillId="24" borderId="30" xfId="0" applyFont="1" applyFill="1" applyBorder="1" applyAlignment="1" applyProtection="1">
      <alignment horizontal="center" vertical="center"/>
      <protection locked="0"/>
    </xf>
    <xf numFmtId="0" fontId="47" fillId="19" borderId="30" xfId="0" applyFont="1" applyFill="1" applyBorder="1" applyAlignment="1">
      <alignment horizontal="center" vertical="center"/>
    </xf>
    <xf numFmtId="0" fontId="57" fillId="3" borderId="30" xfId="0" applyFont="1" applyFill="1" applyBorder="1" applyAlignment="1">
      <alignment horizontal="left" vertical="center"/>
    </xf>
    <xf numFmtId="0" fontId="46" fillId="20" borderId="30" xfId="0" applyFont="1" applyFill="1" applyBorder="1" applyAlignment="1">
      <alignment horizontal="center" vertical="center"/>
    </xf>
    <xf numFmtId="0" fontId="56" fillId="15" borderId="37" xfId="0"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47" fillId="14" borderId="0" xfId="0" applyFont="1" applyFill="1" applyAlignment="1">
      <alignment horizontal="right"/>
    </xf>
    <xf numFmtId="0" fontId="49" fillId="14" borderId="0" xfId="0" applyFont="1" applyFill="1"/>
    <xf numFmtId="0" fontId="47" fillId="14" borderId="0" xfId="0" applyFont="1" applyFill="1" applyAlignment="1">
      <alignment horizontal="left"/>
    </xf>
    <xf numFmtId="0" fontId="48" fillId="14" borderId="0" xfId="0" applyFont="1" applyFill="1" applyAlignment="1">
      <alignment horizontal="left"/>
    </xf>
    <xf numFmtId="4" fontId="47" fillId="14" borderId="0" xfId="0" applyNumberFormat="1" applyFont="1" applyFill="1"/>
    <xf numFmtId="0" fontId="47" fillId="14" borderId="0" xfId="0" applyFont="1" applyFill="1" applyAlignment="1">
      <alignment horizontal="right" vertical="center"/>
    </xf>
    <xf numFmtId="0" fontId="47" fillId="16" borderId="30" xfId="0" applyFont="1" applyFill="1" applyBorder="1"/>
    <xf numFmtId="4" fontId="47" fillId="19" borderId="30" xfId="0" applyNumberFormat="1" applyFont="1" applyFill="1" applyBorder="1" applyAlignment="1">
      <alignment vertical="center"/>
    </xf>
    <xf numFmtId="0" fontId="56" fillId="15" borderId="35" xfId="0" applyFont="1" applyFill="1" applyBorder="1" applyAlignment="1">
      <alignment vertical="center"/>
    </xf>
    <xf numFmtId="0" fontId="56" fillId="15" borderId="36" xfId="0" applyFont="1" applyFill="1" applyBorder="1" applyAlignment="1">
      <alignment vertical="center"/>
    </xf>
    <xf numFmtId="0" fontId="48" fillId="15" borderId="38" xfId="0" applyFont="1" applyFill="1" applyBorder="1"/>
    <xf numFmtId="0" fontId="47" fillId="15" borderId="41" xfId="0" applyFont="1" applyFill="1" applyBorder="1"/>
    <xf numFmtId="0" fontId="55" fillId="23" borderId="23" xfId="0" applyFont="1" applyFill="1" applyBorder="1" applyAlignment="1">
      <alignment vertical="center"/>
    </xf>
    <xf numFmtId="0" fontId="47" fillId="17" borderId="23" xfId="0" applyFont="1" applyFill="1" applyBorder="1" applyAlignment="1">
      <alignment vertical="center"/>
    </xf>
    <xf numFmtId="0" fontId="47" fillId="18" borderId="23" xfId="0" applyFont="1" applyFill="1" applyBorder="1" applyAlignment="1">
      <alignment vertical="center"/>
    </xf>
    <xf numFmtId="0" fontId="49" fillId="14" borderId="0" xfId="0" applyFont="1" applyFill="1" applyAlignment="1">
      <alignment horizontal="left" vertical="center"/>
    </xf>
    <xf numFmtId="164" fontId="47" fillId="19" borderId="30" xfId="0" applyNumberFormat="1" applyFont="1" applyFill="1" applyBorder="1" applyAlignment="1">
      <alignment horizontal="center" vertical="center"/>
    </xf>
    <xf numFmtId="0" fontId="57" fillId="14" borderId="0" xfId="0" applyFont="1" applyFill="1" applyAlignment="1">
      <alignment horizontal="right" vertical="center"/>
    </xf>
    <xf numFmtId="0" fontId="131" fillId="14" borderId="0" xfId="0" applyFont="1" applyFill="1"/>
    <xf numFmtId="0" fontId="57" fillId="14" borderId="0" xfId="0" applyFont="1" applyFill="1" applyAlignment="1">
      <alignment horizontal="right"/>
    </xf>
    <xf numFmtId="0" fontId="47" fillId="14" borderId="28" xfId="0" applyFont="1" applyFill="1" applyBorder="1"/>
    <xf numFmtId="0" fontId="57" fillId="14" borderId="28" xfId="0" applyFont="1" applyFill="1" applyBorder="1" applyAlignment="1">
      <alignment horizontal="right" vertical="center"/>
    </xf>
    <xf numFmtId="0" fontId="47" fillId="14" borderId="28" xfId="0" applyFont="1" applyFill="1" applyBorder="1" applyAlignment="1">
      <alignment vertical="center"/>
    </xf>
    <xf numFmtId="0" fontId="48" fillId="14" borderId="0" xfId="0" applyFont="1" applyFill="1" applyAlignment="1">
      <alignment horizontal="center" vertical="center"/>
    </xf>
    <xf numFmtId="0" fontId="45" fillId="14" borderId="0" xfId="0" applyFont="1" applyFill="1"/>
    <xf numFmtId="0" fontId="13" fillId="14" borderId="0" xfId="0" applyFont="1" applyFill="1"/>
    <xf numFmtId="0" fontId="71" fillId="14" borderId="0" xfId="0" applyFont="1" applyFill="1" applyAlignment="1">
      <alignment vertical="center"/>
    </xf>
    <xf numFmtId="0" fontId="13" fillId="14" borderId="0" xfId="0" applyFont="1" applyFill="1" applyAlignment="1">
      <alignment horizontal="center"/>
    </xf>
    <xf numFmtId="0" fontId="71" fillId="14" borderId="0" xfId="0" applyFont="1" applyFill="1" applyAlignment="1">
      <alignment horizontal="center" vertical="center"/>
    </xf>
    <xf numFmtId="0" fontId="32" fillId="14" borderId="0" xfId="0" applyFont="1" applyFill="1"/>
    <xf numFmtId="0" fontId="13" fillId="14" borderId="0" xfId="0" applyFont="1" applyFill="1" applyAlignment="1">
      <alignment vertical="center"/>
    </xf>
    <xf numFmtId="0" fontId="77" fillId="14" borderId="0" xfId="0" applyFont="1" applyFill="1" applyAlignment="1">
      <alignment vertical="center"/>
    </xf>
    <xf numFmtId="0" fontId="79" fillId="14" borderId="0" xfId="0" applyFont="1" applyFill="1" applyAlignment="1">
      <alignment horizontal="right" vertical="center"/>
    </xf>
    <xf numFmtId="0" fontId="45" fillId="14" borderId="0" xfId="0" applyFont="1" applyFill="1" applyAlignment="1">
      <alignment horizontal="right"/>
    </xf>
    <xf numFmtId="4" fontId="81" fillId="14" borderId="0" xfId="0" applyNumberFormat="1" applyFont="1" applyFill="1" applyAlignment="1">
      <alignment horizontal="center" vertical="center"/>
    </xf>
    <xf numFmtId="0" fontId="61" fillId="14" borderId="0" xfId="0" applyFont="1" applyFill="1" applyAlignment="1">
      <alignment horizontal="left" vertical="center"/>
    </xf>
    <xf numFmtId="0" fontId="45" fillId="14" borderId="0" xfId="0" applyFont="1" applyFill="1" applyAlignment="1">
      <alignment vertical="center"/>
    </xf>
    <xf numFmtId="0" fontId="46" fillId="16" borderId="0" xfId="0" applyFont="1" applyFill="1" applyAlignment="1">
      <alignment vertical="center"/>
    </xf>
    <xf numFmtId="0" fontId="98" fillId="16" borderId="0" xfId="0" applyFont="1" applyFill="1"/>
    <xf numFmtId="0" fontId="47" fillId="14" borderId="0" xfId="0" applyFont="1" applyFill="1" applyAlignment="1">
      <alignment horizontal="left" vertical="center"/>
    </xf>
    <xf numFmtId="4" fontId="47" fillId="14" borderId="0" xfId="0" applyNumberFormat="1" applyFont="1" applyFill="1" applyAlignment="1">
      <alignment horizontal="center"/>
    </xf>
    <xf numFmtId="0" fontId="57" fillId="14" borderId="0" xfId="0" applyFont="1" applyFill="1" applyAlignment="1">
      <alignment horizontal="left"/>
    </xf>
    <xf numFmtId="4" fontId="45" fillId="14" borderId="0" xfId="0" applyNumberFormat="1" applyFont="1" applyFill="1" applyAlignment="1">
      <alignment horizontal="left"/>
    </xf>
    <xf numFmtId="4" fontId="45" fillId="14" borderId="0" xfId="0" applyNumberFormat="1" applyFont="1" applyFill="1" applyAlignment="1">
      <alignment horizontal="center"/>
    </xf>
    <xf numFmtId="4" fontId="39" fillId="14" borderId="0" xfId="0" applyNumberFormat="1" applyFont="1" applyFill="1" applyAlignment="1">
      <alignment horizontal="center"/>
    </xf>
    <xf numFmtId="4" fontId="45" fillId="14" borderId="0" xfId="0" applyNumberFormat="1" applyFont="1" applyFill="1"/>
    <xf numFmtId="0" fontId="47" fillId="14" borderId="23" xfId="0" applyFont="1" applyFill="1" applyBorder="1" applyAlignment="1">
      <alignment horizontal="center"/>
    </xf>
    <xf numFmtId="4" fontId="47" fillId="14" borderId="23" xfId="0" applyNumberFormat="1" applyFont="1" applyFill="1" applyBorder="1"/>
    <xf numFmtId="0" fontId="76" fillId="14" borderId="30" xfId="0" applyFont="1" applyFill="1" applyBorder="1" applyAlignment="1">
      <alignment horizontal="right" vertical="center"/>
    </xf>
    <xf numFmtId="0" fontId="57" fillId="14" borderId="30" xfId="0" applyFont="1" applyFill="1" applyBorder="1" applyAlignment="1">
      <alignment horizontal="right" vertical="center"/>
    </xf>
    <xf numFmtId="0" fontId="75" fillId="16" borderId="36" xfId="0" applyFont="1" applyFill="1" applyBorder="1" applyAlignment="1">
      <alignment horizontal="left" vertical="center"/>
    </xf>
    <xf numFmtId="0" fontId="57" fillId="14" borderId="23" xfId="0" applyFont="1" applyFill="1" applyBorder="1" applyAlignment="1">
      <alignment horizontal="right" vertical="center"/>
    </xf>
    <xf numFmtId="0" fontId="75" fillId="16" borderId="35" xfId="0" applyFont="1" applyFill="1" applyBorder="1" applyAlignment="1">
      <alignment horizontal="left" vertical="center"/>
    </xf>
    <xf numFmtId="0" fontId="47" fillId="14" borderId="27" xfId="0" applyFont="1" applyFill="1" applyBorder="1"/>
    <xf numFmtId="0" fontId="57" fillId="14" borderId="27" xfId="0" applyFont="1" applyFill="1" applyBorder="1" applyAlignment="1">
      <alignment horizontal="right" vertical="center"/>
    </xf>
    <xf numFmtId="0" fontId="57" fillId="14" borderId="29" xfId="0" applyFont="1" applyFill="1" applyBorder="1" applyAlignment="1">
      <alignment horizontal="right" vertical="center"/>
    </xf>
    <xf numFmtId="2" fontId="47" fillId="14" borderId="23" xfId="0" applyNumberFormat="1" applyFont="1" applyFill="1" applyBorder="1" applyAlignment="1">
      <alignment horizontal="center"/>
    </xf>
    <xf numFmtId="2" fontId="47" fillId="14" borderId="0" xfId="0" applyNumberFormat="1" applyFont="1" applyFill="1" applyAlignment="1">
      <alignment horizontal="center"/>
    </xf>
    <xf numFmtId="2" fontId="47" fillId="14" borderId="7" xfId="0" applyNumberFormat="1" applyFont="1" applyFill="1" applyBorder="1" applyAlignment="1">
      <alignment horizontal="center" vertical="center"/>
    </xf>
    <xf numFmtId="2" fontId="47" fillId="14" borderId="0" xfId="0" applyNumberFormat="1" applyFont="1" applyFill="1" applyAlignment="1">
      <alignment vertical="center"/>
    </xf>
    <xf numFmtId="0" fontId="51" fillId="14" borderId="0" xfId="0" applyFont="1" applyFill="1" applyAlignment="1">
      <alignment horizontal="right" vertical="center"/>
    </xf>
    <xf numFmtId="0" fontId="63" fillId="14" borderId="0" xfId="0" applyFont="1" applyFill="1"/>
    <xf numFmtId="0" fontId="41" fillId="14" borderId="23" xfId="0" applyFont="1" applyFill="1" applyBorder="1" applyAlignment="1">
      <alignment horizontal="right" vertical="center"/>
    </xf>
    <xf numFmtId="2" fontId="45" fillId="14" borderId="0" xfId="0" applyNumberFormat="1" applyFont="1" applyFill="1" applyAlignment="1">
      <alignment horizontal="center" vertical="center"/>
    </xf>
    <xf numFmtId="0" fontId="62" fillId="14" borderId="0" xfId="0" applyFont="1" applyFill="1" applyAlignment="1">
      <alignment vertical="center"/>
    </xf>
    <xf numFmtId="0" fontId="67" fillId="14" borderId="0" xfId="0" applyFont="1" applyFill="1" applyAlignment="1">
      <alignment horizontal="right"/>
    </xf>
    <xf numFmtId="0" fontId="63" fillId="14" borderId="0" xfId="0" applyFont="1" applyFill="1" applyAlignment="1">
      <alignment vertical="center"/>
    </xf>
    <xf numFmtId="0" fontId="64" fillId="14" borderId="0" xfId="0" applyFont="1" applyFill="1" applyAlignment="1">
      <alignment vertical="center"/>
    </xf>
    <xf numFmtId="0" fontId="45" fillId="14" borderId="0" xfId="0" applyFont="1" applyFill="1" applyAlignment="1">
      <alignment horizontal="right" vertical="center"/>
    </xf>
    <xf numFmtId="0" fontId="68" fillId="14" borderId="0" xfId="0" applyFont="1" applyFill="1" applyAlignment="1">
      <alignment vertical="center"/>
    </xf>
    <xf numFmtId="0" fontId="41" fillId="14" borderId="28" xfId="0" applyFont="1" applyFill="1" applyBorder="1" applyAlignment="1">
      <alignment vertical="center"/>
    </xf>
    <xf numFmtId="0" fontId="45" fillId="14" borderId="28" xfId="0" applyFont="1" applyFill="1" applyBorder="1" applyAlignment="1">
      <alignment vertical="center"/>
    </xf>
    <xf numFmtId="0" fontId="41" fillId="14" borderId="31" xfId="0" applyFont="1" applyFill="1" applyBorder="1" applyAlignment="1">
      <alignment vertical="center"/>
    </xf>
    <xf numFmtId="0" fontId="45" fillId="14" borderId="29" xfId="0" applyFont="1" applyFill="1" applyBorder="1" applyAlignment="1">
      <alignment vertical="center"/>
    </xf>
    <xf numFmtId="164" fontId="45" fillId="19" borderId="30" xfId="0" applyNumberFormat="1" applyFont="1" applyFill="1" applyBorder="1" applyAlignment="1">
      <alignment horizontal="center" vertical="center"/>
    </xf>
    <xf numFmtId="0" fontId="45" fillId="38" borderId="28" xfId="0" applyFont="1" applyFill="1" applyBorder="1" applyAlignment="1">
      <alignment vertical="center"/>
    </xf>
    <xf numFmtId="0" fontId="57" fillId="14" borderId="0" xfId="0" applyFont="1" applyFill="1"/>
    <xf numFmtId="0" fontId="73" fillId="15" borderId="38" xfId="0" applyFont="1" applyFill="1" applyBorder="1" applyAlignment="1">
      <alignment horizontal="center" vertical="center"/>
    </xf>
    <xf numFmtId="0" fontId="73" fillId="15" borderId="23" xfId="0" applyFont="1" applyFill="1" applyBorder="1" applyAlignment="1">
      <alignment vertical="center"/>
    </xf>
    <xf numFmtId="0" fontId="74" fillId="15" borderId="23" xfId="0" applyFont="1" applyFill="1" applyBorder="1" applyAlignment="1">
      <alignment horizontal="center" vertical="center"/>
    </xf>
    <xf numFmtId="0" fontId="57" fillId="0" borderId="31" xfId="0" applyFont="1" applyBorder="1" applyAlignment="1">
      <alignment horizontal="left" vertical="center"/>
    </xf>
    <xf numFmtId="0" fontId="46" fillId="16" borderId="31" xfId="0" applyFont="1" applyFill="1" applyBorder="1" applyAlignment="1">
      <alignment horizontal="left" vertical="center"/>
    </xf>
    <xf numFmtId="0" fontId="73" fillId="15" borderId="41" xfId="0" applyFont="1" applyFill="1" applyBorder="1" applyAlignment="1">
      <alignment vertical="center"/>
    </xf>
    <xf numFmtId="4" fontId="47" fillId="3" borderId="42" xfId="0" applyNumberFormat="1" applyFont="1" applyFill="1" applyBorder="1" applyAlignment="1">
      <alignment horizontal="center" vertical="center"/>
    </xf>
    <xf numFmtId="4" fontId="48" fillId="19" borderId="42" xfId="0" applyNumberFormat="1" applyFont="1" applyFill="1" applyBorder="1" applyAlignment="1">
      <alignment horizontal="center" vertical="center"/>
    </xf>
    <xf numFmtId="0" fontId="75" fillId="16" borderId="37" xfId="0" applyFont="1" applyFill="1" applyBorder="1" applyAlignment="1">
      <alignment horizontal="left" vertical="center"/>
    </xf>
    <xf numFmtId="0" fontId="47" fillId="14" borderId="30" xfId="0" applyFont="1" applyFill="1" applyBorder="1"/>
    <xf numFmtId="0" fontId="47" fillId="14" borderId="31" xfId="0" applyFont="1" applyFill="1" applyBorder="1"/>
    <xf numFmtId="0" fontId="47" fillId="14" borderId="31" xfId="0" applyFont="1" applyFill="1" applyBorder="1" applyAlignment="1">
      <alignment horizontal="center"/>
    </xf>
    <xf numFmtId="0" fontId="48" fillId="19" borderId="30" xfId="0" applyFont="1" applyFill="1" applyBorder="1" applyAlignment="1">
      <alignment horizontal="center" vertical="center"/>
    </xf>
    <xf numFmtId="0" fontId="75" fillId="14" borderId="23" xfId="0" applyFont="1" applyFill="1" applyBorder="1" applyAlignment="1">
      <alignment horizontal="left" vertical="center"/>
    </xf>
    <xf numFmtId="0" fontId="75" fillId="16" borderId="30" xfId="0" applyFont="1" applyFill="1" applyBorder="1" applyAlignment="1">
      <alignment horizontal="left" vertical="center"/>
    </xf>
    <xf numFmtId="0" fontId="47" fillId="14" borderId="27" xfId="0" applyFont="1" applyFill="1" applyBorder="1" applyAlignment="1">
      <alignment vertical="center"/>
    </xf>
    <xf numFmtId="0" fontId="57" fillId="14" borderId="30" xfId="0" applyFont="1" applyFill="1" applyBorder="1" applyAlignment="1">
      <alignment horizontal="right"/>
    </xf>
    <xf numFmtId="4" fontId="47" fillId="14" borderId="30" xfId="0" applyNumberFormat="1" applyFont="1" applyFill="1" applyBorder="1"/>
    <xf numFmtId="0" fontId="57" fillId="0" borderId="30" xfId="0" applyFont="1" applyBorder="1" applyAlignment="1">
      <alignment horizontal="left" vertical="center" wrapText="1"/>
    </xf>
    <xf numFmtId="0" fontId="57" fillId="14" borderId="23" xfId="0" applyFont="1" applyFill="1" applyBorder="1" applyAlignment="1">
      <alignment vertical="center"/>
    </xf>
    <xf numFmtId="0" fontId="57" fillId="14" borderId="38" xfId="0" applyFont="1" applyFill="1" applyBorder="1" applyAlignment="1">
      <alignment horizontal="right" vertical="center"/>
    </xf>
    <xf numFmtId="0" fontId="57" fillId="14" borderId="40" xfId="0" applyFont="1" applyFill="1" applyBorder="1" applyAlignment="1">
      <alignment horizontal="right" vertical="center"/>
    </xf>
    <xf numFmtId="0" fontId="46" fillId="14" borderId="30" xfId="0" applyFont="1" applyFill="1" applyBorder="1" applyAlignment="1">
      <alignment horizontal="right" vertical="center" wrapText="1"/>
    </xf>
    <xf numFmtId="0" fontId="46" fillId="14" borderId="30" xfId="0" applyFont="1" applyFill="1" applyBorder="1" applyAlignment="1">
      <alignment horizontal="right" vertical="center"/>
    </xf>
    <xf numFmtId="0" fontId="59" fillId="14" borderId="41" xfId="0" applyFont="1" applyFill="1" applyBorder="1" applyAlignment="1">
      <alignment vertical="center"/>
    </xf>
    <xf numFmtId="0" fontId="47" fillId="14" borderId="41" xfId="0" applyFont="1" applyFill="1" applyBorder="1"/>
    <xf numFmtId="2" fontId="57" fillId="38" borderId="6" xfId="0" applyNumberFormat="1" applyFont="1" applyFill="1" applyBorder="1" applyAlignment="1">
      <alignment horizontal="center" vertical="center"/>
    </xf>
    <xf numFmtId="0" fontId="57" fillId="14" borderId="23" xfId="0" applyFont="1" applyFill="1" applyBorder="1" applyAlignment="1">
      <alignment horizontal="center" vertical="center"/>
    </xf>
    <xf numFmtId="2" fontId="57" fillId="38" borderId="43" xfId="0" applyNumberFormat="1" applyFont="1" applyFill="1" applyBorder="1" applyAlignment="1">
      <alignment horizontal="center" vertical="center"/>
    </xf>
    <xf numFmtId="0" fontId="47" fillId="15" borderId="27" xfId="0" applyFont="1" applyFill="1" applyBorder="1"/>
    <xf numFmtId="0" fontId="73" fillId="15" borderId="27" xfId="0" applyFont="1" applyFill="1" applyBorder="1" applyAlignment="1">
      <alignment vertical="center"/>
    </xf>
    <xf numFmtId="0" fontId="74" fillId="15" borderId="27" xfId="0" applyFont="1" applyFill="1" applyBorder="1" applyAlignment="1">
      <alignment horizontal="right" vertical="center"/>
    </xf>
    <xf numFmtId="0" fontId="74" fillId="15" borderId="27" xfId="0" applyFont="1" applyFill="1" applyBorder="1" applyAlignment="1">
      <alignment vertical="center"/>
    </xf>
    <xf numFmtId="2" fontId="47" fillId="19" borderId="30" xfId="0" applyNumberFormat="1" applyFont="1" applyFill="1" applyBorder="1" applyAlignment="1">
      <alignment horizontal="center" vertical="center"/>
    </xf>
    <xf numFmtId="0" fontId="59" fillId="16" borderId="30" xfId="0" applyFont="1" applyFill="1" applyBorder="1" applyAlignment="1">
      <alignment horizontal="right" vertical="center"/>
    </xf>
    <xf numFmtId="2" fontId="47" fillId="4" borderId="30" xfId="0" applyNumberFormat="1" applyFont="1" applyFill="1" applyBorder="1" applyAlignment="1">
      <alignment horizontal="center" vertical="center"/>
    </xf>
    <xf numFmtId="3" fontId="47" fillId="4" borderId="30" xfId="0" applyNumberFormat="1" applyFont="1" applyFill="1" applyBorder="1" applyAlignment="1">
      <alignment horizontal="center" vertical="center"/>
    </xf>
    <xf numFmtId="0" fontId="59" fillId="16" borderId="37" xfId="0" applyFont="1" applyFill="1" applyBorder="1" applyAlignment="1">
      <alignment vertical="center"/>
    </xf>
    <xf numFmtId="0" fontId="47" fillId="14" borderId="31" xfId="0" applyFont="1" applyFill="1" applyBorder="1" applyAlignment="1">
      <alignment vertical="center"/>
    </xf>
    <xf numFmtId="0" fontId="59" fillId="16" borderId="39" xfId="0" applyFont="1" applyFill="1" applyBorder="1" applyAlignment="1">
      <alignment vertical="center"/>
    </xf>
    <xf numFmtId="0" fontId="59" fillId="16" borderId="39" xfId="0" applyFont="1" applyFill="1" applyBorder="1" applyAlignment="1">
      <alignment horizontal="right" vertical="center"/>
    </xf>
    <xf numFmtId="0" fontId="59" fillId="16" borderId="34" xfId="0" applyFont="1" applyFill="1" applyBorder="1" applyAlignment="1">
      <alignment vertical="center"/>
    </xf>
    <xf numFmtId="0" fontId="59" fillId="16" borderId="34" xfId="0" applyFont="1" applyFill="1" applyBorder="1" applyAlignment="1">
      <alignment horizontal="right" vertical="center"/>
    </xf>
    <xf numFmtId="4" fontId="41" fillId="19" borderId="30" xfId="0" applyNumberFormat="1" applyFont="1" applyFill="1" applyBorder="1" applyAlignment="1">
      <alignment horizontal="center" vertical="center"/>
    </xf>
    <xf numFmtId="4" fontId="66" fillId="19" borderId="30" xfId="0" applyNumberFormat="1" applyFont="1" applyFill="1" applyBorder="1" applyAlignment="1">
      <alignment horizontal="center" vertical="center"/>
    </xf>
    <xf numFmtId="0" fontId="73" fillId="14" borderId="0" xfId="0" applyFont="1" applyFill="1" applyAlignment="1">
      <alignment vertical="center"/>
    </xf>
    <xf numFmtId="0" fontId="47" fillId="14" borderId="23" xfId="0" applyFont="1" applyFill="1" applyBorder="1" applyAlignment="1">
      <alignment horizontal="right" vertical="center"/>
    </xf>
    <xf numFmtId="0" fontId="45" fillId="14" borderId="23" xfId="0" applyFont="1" applyFill="1" applyBorder="1"/>
    <xf numFmtId="0" fontId="40" fillId="14" borderId="23" xfId="0" applyFont="1" applyFill="1" applyBorder="1" applyAlignment="1">
      <alignment horizontal="right"/>
    </xf>
    <xf numFmtId="0" fontId="73" fillId="14" borderId="23" xfId="0" applyFont="1" applyFill="1" applyBorder="1" applyAlignment="1">
      <alignment vertical="center"/>
    </xf>
    <xf numFmtId="0" fontId="41" fillId="14" borderId="23" xfId="0" applyFont="1" applyFill="1" applyBorder="1"/>
    <xf numFmtId="4" fontId="84" fillId="19" borderId="30" xfId="0" applyNumberFormat="1" applyFont="1" applyFill="1" applyBorder="1" applyAlignment="1">
      <alignment horizontal="center" vertical="center"/>
    </xf>
    <xf numFmtId="4" fontId="65" fillId="0" borderId="30" xfId="0" applyNumberFormat="1" applyFont="1" applyBorder="1" applyAlignment="1">
      <alignment horizontal="center" vertical="center"/>
    </xf>
    <xf numFmtId="0" fontId="45" fillId="14" borderId="23" xfId="0" applyFont="1" applyFill="1" applyBorder="1" applyAlignment="1">
      <alignment vertical="center"/>
    </xf>
    <xf numFmtId="2" fontId="45" fillId="0" borderId="23" xfId="0" applyNumberFormat="1" applyFont="1" applyBorder="1" applyAlignment="1">
      <alignment horizontal="center" vertical="center"/>
    </xf>
    <xf numFmtId="0" fontId="45" fillId="14" borderId="31" xfId="0" applyFont="1" applyFill="1" applyBorder="1" applyAlignment="1">
      <alignment vertical="center"/>
    </xf>
    <xf numFmtId="2" fontId="41" fillId="13" borderId="29" xfId="0" applyNumberFormat="1" applyFont="1" applyFill="1" applyBorder="1" applyAlignment="1">
      <alignment horizontal="center" vertical="center"/>
    </xf>
    <xf numFmtId="0" fontId="82" fillId="16" borderId="29" xfId="0" applyFont="1" applyFill="1" applyBorder="1" applyAlignment="1">
      <alignment horizontal="right" vertical="center"/>
    </xf>
    <xf numFmtId="2" fontId="45" fillId="4" borderId="30" xfId="0" applyNumberFormat="1" applyFont="1" applyFill="1" applyBorder="1" applyAlignment="1">
      <alignment horizontal="center" vertical="center"/>
    </xf>
    <xf numFmtId="164" fontId="45" fillId="4" borderId="30" xfId="0" applyNumberFormat="1" applyFont="1" applyFill="1" applyBorder="1" applyAlignment="1">
      <alignment horizontal="center" vertical="center"/>
    </xf>
    <xf numFmtId="0" fontId="78" fillId="14" borderId="0" xfId="0" applyFont="1" applyFill="1" applyAlignment="1">
      <alignment vertical="center"/>
    </xf>
    <xf numFmtId="0" fontId="45" fillId="2" borderId="30" xfId="0" applyFont="1" applyFill="1" applyBorder="1" applyAlignment="1" applyProtection="1">
      <alignment horizontal="center" vertical="center"/>
      <protection locked="0"/>
    </xf>
    <xf numFmtId="0" fontId="79" fillId="16" borderId="37" xfId="0" applyFont="1" applyFill="1" applyBorder="1" applyAlignment="1">
      <alignment horizontal="right" vertical="center"/>
    </xf>
    <xf numFmtId="0" fontId="83" fillId="16" borderId="35" xfId="0" applyFont="1" applyFill="1" applyBorder="1" applyAlignment="1">
      <alignment horizontal="right" vertical="center"/>
    </xf>
    <xf numFmtId="0" fontId="45" fillId="16" borderId="36" xfId="0" applyFont="1" applyFill="1" applyBorder="1" applyAlignment="1">
      <alignment vertical="center"/>
    </xf>
    <xf numFmtId="3" fontId="45" fillId="3" borderId="30" xfId="0" applyNumberFormat="1" applyFont="1" applyFill="1" applyBorder="1" applyAlignment="1">
      <alignment horizontal="center" vertical="center"/>
    </xf>
    <xf numFmtId="0" fontId="45" fillId="14" borderId="37" xfId="0" applyFont="1" applyFill="1" applyBorder="1"/>
    <xf numFmtId="0" fontId="41" fillId="0" borderId="30" xfId="0" applyFont="1" applyBorder="1"/>
    <xf numFmtId="0" fontId="45" fillId="19" borderId="30" xfId="0" applyFont="1" applyFill="1" applyBorder="1" applyAlignment="1">
      <alignment horizontal="center" vertical="center"/>
    </xf>
    <xf numFmtId="0" fontId="45" fillId="3" borderId="30" xfId="0" applyFont="1" applyFill="1" applyBorder="1" applyAlignment="1" applyProtection="1">
      <alignment horizontal="center" vertical="center"/>
      <protection locked="0"/>
    </xf>
    <xf numFmtId="0" fontId="81" fillId="14" borderId="0" xfId="0" applyFont="1" applyFill="1" applyAlignment="1">
      <alignment vertical="center"/>
    </xf>
    <xf numFmtId="4" fontId="47" fillId="13" borderId="30" xfId="0" applyNumberFormat="1" applyFont="1" applyFill="1" applyBorder="1" applyAlignment="1">
      <alignment horizontal="center" vertical="center"/>
    </xf>
    <xf numFmtId="0" fontId="47" fillId="25" borderId="23" xfId="0" applyFont="1" applyFill="1" applyBorder="1" applyAlignment="1">
      <alignment vertical="center"/>
    </xf>
    <xf numFmtId="0" fontId="47" fillId="12" borderId="23" xfId="0" applyFont="1" applyFill="1" applyBorder="1" applyAlignment="1">
      <alignment vertical="center"/>
    </xf>
    <xf numFmtId="0" fontId="139" fillId="14" borderId="0" xfId="0" applyFont="1" applyFill="1" applyAlignment="1">
      <alignment horizontal="left" vertical="center"/>
    </xf>
    <xf numFmtId="0" fontId="53" fillId="14" borderId="0" xfId="0" applyFont="1" applyFill="1" applyAlignment="1">
      <alignment vertical="center"/>
    </xf>
    <xf numFmtId="0" fontId="81" fillId="14" borderId="0" xfId="0" applyFont="1" applyFill="1" applyAlignment="1">
      <alignment horizontal="left" vertical="center"/>
    </xf>
    <xf numFmtId="0" fontId="72" fillId="15" borderId="37" xfId="0" applyFont="1" applyFill="1" applyBorder="1" applyAlignment="1">
      <alignment horizontal="left" vertical="center"/>
    </xf>
    <xf numFmtId="0" fontId="73" fillId="15" borderId="35" xfId="0" applyFont="1" applyFill="1" applyBorder="1" applyAlignment="1">
      <alignment vertical="center"/>
    </xf>
    <xf numFmtId="0" fontId="47" fillId="15" borderId="36" xfId="0" applyFont="1" applyFill="1" applyBorder="1"/>
    <xf numFmtId="0" fontId="47" fillId="0" borderId="30" xfId="0" applyFont="1" applyBorder="1" applyAlignment="1">
      <alignment horizontal="right" vertical="center"/>
    </xf>
    <xf numFmtId="0" fontId="59" fillId="16" borderId="36" xfId="0" applyFont="1" applyFill="1" applyBorder="1" applyAlignment="1">
      <alignment vertical="center"/>
    </xf>
    <xf numFmtId="0" fontId="73" fillId="15" borderId="36" xfId="0" applyFont="1" applyFill="1" applyBorder="1" applyAlignment="1">
      <alignment vertical="center"/>
    </xf>
    <xf numFmtId="0" fontId="78" fillId="16" borderId="31" xfId="0" applyFont="1" applyFill="1" applyBorder="1" applyAlignment="1">
      <alignment vertical="center"/>
    </xf>
    <xf numFmtId="0" fontId="83" fillId="16" borderId="29" xfId="0" applyFont="1" applyFill="1" applyBorder="1" applyAlignment="1">
      <alignment horizontal="right" vertical="center"/>
    </xf>
    <xf numFmtId="0" fontId="91" fillId="14" borderId="0" xfId="0" applyFont="1" applyFill="1" applyAlignment="1">
      <alignment vertical="center"/>
    </xf>
    <xf numFmtId="0" fontId="103" fillId="14" borderId="0" xfId="0" applyFont="1" applyFill="1" applyAlignment="1">
      <alignment vertical="center"/>
    </xf>
    <xf numFmtId="0" fontId="95" fillId="16" borderId="29" xfId="0" applyFont="1" applyFill="1" applyBorder="1" applyAlignment="1">
      <alignment horizontal="left" vertical="center"/>
    </xf>
    <xf numFmtId="0" fontId="59" fillId="16" borderId="31" xfId="0" applyFont="1" applyFill="1" applyBorder="1" applyAlignment="1">
      <alignment horizontal="left" vertical="center"/>
    </xf>
    <xf numFmtId="0" fontId="59" fillId="16" borderId="29" xfId="0" applyFont="1" applyFill="1" applyBorder="1" applyAlignment="1">
      <alignment horizontal="left" vertical="center"/>
    </xf>
    <xf numFmtId="0" fontId="25" fillId="16" borderId="30" xfId="0" applyFont="1" applyFill="1" applyBorder="1" applyAlignment="1">
      <alignment vertical="center"/>
    </xf>
    <xf numFmtId="0" fontId="103" fillId="16" borderId="31" xfId="0" applyFont="1" applyFill="1" applyBorder="1" applyAlignment="1">
      <alignment vertical="center"/>
    </xf>
    <xf numFmtId="0" fontId="92" fillId="14" borderId="0" xfId="0" applyFont="1" applyFill="1" applyAlignment="1">
      <alignment vertical="center"/>
    </xf>
    <xf numFmtId="0" fontId="92" fillId="14" borderId="0" xfId="0" applyFont="1" applyFill="1" applyAlignment="1">
      <alignment horizontal="right" vertical="center"/>
    </xf>
    <xf numFmtId="0" fontId="42" fillId="14" borderId="0" xfId="0" applyFont="1" applyFill="1" applyAlignment="1">
      <alignment horizontal="right" vertical="center"/>
    </xf>
    <xf numFmtId="0" fontId="93" fillId="14" borderId="0" xfId="0" applyFont="1" applyFill="1" applyAlignment="1">
      <alignment vertical="center"/>
    </xf>
    <xf numFmtId="0" fontId="36" fillId="14" borderId="23" xfId="0" applyFont="1" applyFill="1" applyBorder="1" applyAlignment="1">
      <alignment vertical="center"/>
    </xf>
    <xf numFmtId="0" fontId="25" fillId="0" borderId="23" xfId="0" applyFont="1" applyBorder="1" applyAlignment="1">
      <alignment vertical="center"/>
    </xf>
    <xf numFmtId="0" fontId="59" fillId="16" borderId="40" xfId="0" applyFont="1" applyFill="1" applyBorder="1" applyAlignment="1">
      <alignment horizontal="left" vertical="center"/>
    </xf>
    <xf numFmtId="0" fontId="38" fillId="14" borderId="0" xfId="0" applyFont="1" applyFill="1" applyAlignment="1">
      <alignment vertical="center"/>
    </xf>
    <xf numFmtId="0" fontId="25" fillId="14" borderId="23" xfId="0" applyFont="1" applyFill="1" applyBorder="1" applyAlignment="1">
      <alignment vertical="center"/>
    </xf>
    <xf numFmtId="0" fontId="25" fillId="14" borderId="0" xfId="0" applyFont="1" applyFill="1" applyAlignment="1">
      <alignment vertical="center"/>
    </xf>
    <xf numFmtId="0" fontId="25" fillId="14" borderId="0" xfId="0" applyFont="1" applyFill="1" applyAlignment="1">
      <alignment horizontal="center" vertical="center"/>
    </xf>
    <xf numFmtId="0" fontId="38" fillId="0" borderId="29" xfId="0" applyFont="1" applyBorder="1" applyAlignment="1">
      <alignment vertical="center"/>
    </xf>
    <xf numFmtId="164" fontId="47" fillId="38" borderId="30" xfId="0" applyNumberFormat="1" applyFont="1" applyFill="1" applyBorder="1" applyAlignment="1" applyProtection="1">
      <alignment horizontal="center" vertical="center"/>
      <protection locked="0"/>
    </xf>
    <xf numFmtId="0" fontId="36" fillId="40" borderId="5" xfId="0" applyFont="1" applyFill="1" applyBorder="1" applyAlignment="1">
      <alignment vertical="center"/>
    </xf>
    <xf numFmtId="0" fontId="107" fillId="14" borderId="0" xfId="0" applyFont="1" applyFill="1"/>
    <xf numFmtId="0" fontId="39" fillId="16" borderId="29" xfId="0" applyFont="1" applyFill="1" applyBorder="1" applyAlignment="1">
      <alignment horizontal="center" vertical="center"/>
    </xf>
    <xf numFmtId="0" fontId="46" fillId="16" borderId="31" xfId="0" applyFont="1" applyFill="1" applyBorder="1" applyAlignment="1">
      <alignment horizontal="center" vertical="center"/>
    </xf>
    <xf numFmtId="0" fontId="45" fillId="0" borderId="31" xfId="0" applyFont="1" applyBorder="1" applyAlignment="1">
      <alignment horizontal="center" vertical="center"/>
    </xf>
    <xf numFmtId="4" fontId="57" fillId="0" borderId="30" xfId="0" applyNumberFormat="1" applyFont="1" applyBorder="1" applyAlignment="1">
      <alignment horizontal="center" vertical="center"/>
    </xf>
    <xf numFmtId="0" fontId="45" fillId="16" borderId="30" xfId="0" applyFont="1" applyFill="1" applyBorder="1" applyAlignment="1">
      <alignment vertical="center"/>
    </xf>
    <xf numFmtId="4" fontId="39" fillId="16" borderId="30" xfId="0" applyNumberFormat="1" applyFont="1" applyFill="1" applyBorder="1" applyAlignment="1">
      <alignment horizontal="center" vertical="center"/>
    </xf>
    <xf numFmtId="0" fontId="45" fillId="16" borderId="29" xfId="0" applyFont="1" applyFill="1" applyBorder="1" applyAlignment="1">
      <alignment horizontal="center" vertical="center"/>
    </xf>
    <xf numFmtId="165" fontId="45" fillId="16" borderId="30" xfId="0" applyNumberFormat="1" applyFont="1" applyFill="1" applyBorder="1" applyAlignment="1">
      <alignment horizontal="center" vertical="center"/>
    </xf>
    <xf numFmtId="0" fontId="57" fillId="0" borderId="29" xfId="0" applyFont="1" applyBorder="1" applyAlignment="1">
      <alignment vertical="center"/>
    </xf>
    <xf numFmtId="0" fontId="45" fillId="16" borderId="31" xfId="0" applyFont="1" applyFill="1" applyBorder="1" applyAlignment="1">
      <alignment vertical="center"/>
    </xf>
    <xf numFmtId="0" fontId="39" fillId="16" borderId="29" xfId="0" applyFont="1" applyFill="1" applyBorder="1" applyAlignment="1">
      <alignment horizontal="left" vertical="center"/>
    </xf>
    <xf numFmtId="0" fontId="46" fillId="16" borderId="29" xfId="0" applyFont="1" applyFill="1" applyBorder="1" applyAlignment="1">
      <alignment horizontal="left" vertical="center"/>
    </xf>
    <xf numFmtId="0" fontId="59" fillId="16" borderId="28" xfId="0" applyFont="1" applyFill="1" applyBorder="1" applyAlignment="1">
      <alignment horizontal="center" vertical="center"/>
    </xf>
    <xf numFmtId="4" fontId="47" fillId="16" borderId="30" xfId="0" applyNumberFormat="1" applyFont="1" applyFill="1" applyBorder="1" applyAlignment="1">
      <alignment horizontal="center" vertical="center"/>
    </xf>
    <xf numFmtId="2" fontId="47" fillId="16" borderId="30" xfId="0" applyNumberFormat="1" applyFont="1" applyFill="1" applyBorder="1" applyAlignment="1">
      <alignment horizontal="center" vertical="center"/>
    </xf>
    <xf numFmtId="0" fontId="47" fillId="16" borderId="30" xfId="0" applyFont="1" applyFill="1" applyBorder="1" applyAlignment="1">
      <alignment horizontal="center" vertical="center"/>
    </xf>
    <xf numFmtId="0" fontId="39" fillId="16" borderId="30" xfId="0" applyFont="1" applyFill="1" applyBorder="1" applyAlignment="1">
      <alignment horizontal="left" vertical="center"/>
    </xf>
    <xf numFmtId="0" fontId="46" fillId="16" borderId="30" xfId="0" applyFont="1" applyFill="1" applyBorder="1" applyAlignment="1">
      <alignment horizontal="left" vertical="center"/>
    </xf>
    <xf numFmtId="0" fontId="0" fillId="14" borderId="23" xfId="0" applyFill="1" applyBorder="1"/>
    <xf numFmtId="0" fontId="47" fillId="0" borderId="34" xfId="0" applyFont="1" applyBorder="1" applyAlignment="1">
      <alignment vertical="center"/>
    </xf>
    <xf numFmtId="0" fontId="57" fillId="0" borderId="23" xfId="0" applyFont="1" applyBorder="1" applyAlignment="1">
      <alignment vertical="center"/>
    </xf>
    <xf numFmtId="0" fontId="47" fillId="0" borderId="34" xfId="0" applyFont="1" applyBorder="1" applyAlignment="1">
      <alignment horizontal="center" vertical="center"/>
    </xf>
    <xf numFmtId="0" fontId="47" fillId="14" borderId="44" xfId="0" applyFont="1" applyFill="1" applyBorder="1" applyAlignment="1">
      <alignment vertical="center"/>
    </xf>
    <xf numFmtId="0" fontId="24" fillId="0" borderId="0" xfId="0" applyFont="1" applyAlignment="1">
      <alignment horizontal="center" vertical="center"/>
    </xf>
    <xf numFmtId="0" fontId="24"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5" fillId="0" borderId="0" xfId="0" applyFont="1"/>
    <xf numFmtId="0" fontId="41" fillId="0" borderId="0" xfId="0" applyFont="1" applyAlignment="1">
      <alignment horizontal="right" vertical="center"/>
    </xf>
    <xf numFmtId="0" fontId="39" fillId="14" borderId="23" xfId="0" applyFont="1" applyFill="1" applyBorder="1" applyAlignment="1">
      <alignment vertical="center"/>
    </xf>
    <xf numFmtId="0" fontId="59" fillId="29" borderId="30" xfId="0" applyFont="1" applyFill="1" applyBorder="1" applyAlignment="1">
      <alignment horizontal="center" vertical="center"/>
    </xf>
    <xf numFmtId="0" fontId="59" fillId="41" borderId="30" xfId="0" applyFont="1" applyFill="1" applyBorder="1" applyAlignment="1">
      <alignment horizontal="center" vertical="center" wrapText="1"/>
    </xf>
    <xf numFmtId="0" fontId="6" fillId="0" borderId="23" xfId="0" applyFont="1" applyBorder="1" applyAlignment="1">
      <alignment vertical="center"/>
    </xf>
    <xf numFmtId="166" fontId="45" fillId="0" borderId="30" xfId="0" applyNumberFormat="1" applyFont="1" applyBorder="1" applyAlignment="1">
      <alignment horizontal="center" vertical="center"/>
    </xf>
    <xf numFmtId="0" fontId="41" fillId="0" borderId="39" xfId="0" applyFont="1" applyBorder="1" applyAlignment="1">
      <alignment horizontal="center" vertical="center"/>
    </xf>
    <xf numFmtId="1" fontId="41"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0" fontId="142" fillId="0" borderId="30" xfId="0" applyFont="1" applyBorder="1" applyAlignment="1">
      <alignment horizontal="center" vertical="center"/>
    </xf>
    <xf numFmtId="164" fontId="45" fillId="14" borderId="30" xfId="0" applyNumberFormat="1" applyFont="1" applyFill="1" applyBorder="1" applyAlignment="1">
      <alignment horizontal="center" vertical="center"/>
    </xf>
    <xf numFmtId="2" fontId="45" fillId="14" borderId="30" xfId="0" applyNumberFormat="1" applyFont="1" applyFill="1" applyBorder="1" applyAlignment="1">
      <alignment horizontal="center" vertical="center"/>
    </xf>
    <xf numFmtId="4" fontId="45" fillId="14" borderId="30" xfId="0" applyNumberFormat="1" applyFont="1" applyFill="1" applyBorder="1" applyAlignment="1">
      <alignment horizontal="center" vertical="center"/>
    </xf>
    <xf numFmtId="0" fontId="45" fillId="14" borderId="30" xfId="0" applyFont="1" applyFill="1" applyBorder="1" applyAlignment="1">
      <alignment horizontal="center" vertical="center"/>
    </xf>
    <xf numFmtId="2" fontId="45" fillId="0" borderId="3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41" fillId="14" borderId="39" xfId="0" applyFont="1" applyFill="1" applyBorder="1" applyAlignment="1">
      <alignment vertical="center"/>
    </xf>
    <xf numFmtId="0" fontId="41" fillId="14" borderId="44" xfId="0" applyFont="1" applyFill="1" applyBorder="1" applyAlignment="1">
      <alignment vertical="center"/>
    </xf>
    <xf numFmtId="0" fontId="41" fillId="0" borderId="44" xfId="0" applyFont="1" applyBorder="1" applyAlignment="1">
      <alignment vertical="center"/>
    </xf>
    <xf numFmtId="0" fontId="94" fillId="14" borderId="23" xfId="0" applyFont="1" applyFill="1" applyBorder="1" applyAlignment="1">
      <alignment vertical="center"/>
    </xf>
    <xf numFmtId="3" fontId="61" fillId="0" borderId="39" xfId="0" applyNumberFormat="1" applyFont="1" applyBorder="1" applyAlignment="1">
      <alignment horizontal="center" vertical="center"/>
    </xf>
    <xf numFmtId="0" fontId="117" fillId="0" borderId="34" xfId="0" applyFont="1" applyBorder="1" applyAlignment="1">
      <alignment vertical="center" wrapText="1"/>
    </xf>
    <xf numFmtId="1" fontId="94" fillId="2" borderId="30" xfId="0" applyNumberFormat="1" applyFont="1" applyFill="1" applyBorder="1" applyAlignment="1" applyProtection="1">
      <alignment horizontal="center" vertical="center" wrapText="1"/>
      <protection locked="0"/>
    </xf>
    <xf numFmtId="0" fontId="94" fillId="0" borderId="44" xfId="0" applyFont="1" applyBorder="1" applyAlignment="1">
      <alignment vertical="center"/>
    </xf>
    <xf numFmtId="174" fontId="117" fillId="0" borderId="30" xfId="0" applyNumberFormat="1" applyFont="1" applyBorder="1" applyAlignment="1">
      <alignment horizontal="center" vertical="center" wrapText="1"/>
    </xf>
    <xf numFmtId="9" fontId="117" fillId="2" borderId="30" xfId="0" applyNumberFormat="1" applyFont="1" applyFill="1" applyBorder="1" applyAlignment="1" applyProtection="1">
      <alignment horizontal="center" vertical="center" wrapText="1"/>
      <protection locked="0"/>
    </xf>
    <xf numFmtId="164" fontId="41" fillId="0" borderId="30" xfId="0" applyNumberFormat="1" applyFont="1" applyBorder="1" applyAlignment="1">
      <alignment horizontal="center" vertical="center"/>
    </xf>
    <xf numFmtId="3" fontId="41" fillId="0" borderId="44" xfId="0" applyNumberFormat="1" applyFont="1" applyBorder="1" applyAlignment="1">
      <alignment horizontal="center" vertical="center"/>
    </xf>
    <xf numFmtId="166" fontId="41" fillId="0" borderId="30" xfId="0" applyNumberFormat="1" applyFont="1" applyBorder="1" applyAlignment="1">
      <alignment horizontal="center" vertical="center"/>
    </xf>
    <xf numFmtId="0" fontId="117" fillId="0" borderId="30" xfId="0" applyFont="1" applyBorder="1" applyAlignment="1">
      <alignment vertical="center" wrapText="1"/>
    </xf>
    <xf numFmtId="174" fontId="117" fillId="0" borderId="34" xfId="0" applyNumberFormat="1" applyFont="1" applyBorder="1" applyAlignment="1">
      <alignment horizontal="center" vertical="center" wrapText="1"/>
    </xf>
    <xf numFmtId="0" fontId="41" fillId="14" borderId="28" xfId="0" applyFont="1" applyFill="1" applyBorder="1" applyAlignment="1">
      <alignment horizontal="center" vertical="center"/>
    </xf>
    <xf numFmtId="1" fontId="41" fillId="0" borderId="23" xfId="0" applyNumberFormat="1" applyFont="1" applyBorder="1" applyAlignment="1">
      <alignment horizontal="center" vertical="center"/>
    </xf>
    <xf numFmtId="1" fontId="41" fillId="0" borderId="45" xfId="0" applyNumberFormat="1" applyFont="1" applyBorder="1" applyAlignment="1">
      <alignment horizontal="center" vertical="center"/>
    </xf>
    <xf numFmtId="1" fontId="41" fillId="0" borderId="46" xfId="0" applyNumberFormat="1" applyFont="1" applyBorder="1" applyAlignment="1">
      <alignment horizontal="center" vertical="center"/>
    </xf>
    <xf numFmtId="1" fontId="41" fillId="0" borderId="47" xfId="0" applyNumberFormat="1" applyFont="1" applyBorder="1" applyAlignment="1">
      <alignment horizontal="center" vertical="center"/>
    </xf>
    <xf numFmtId="0" fontId="41" fillId="14" borderId="23" xfId="0" applyFont="1" applyFill="1" applyBorder="1" applyAlignment="1">
      <alignment vertical="top"/>
    </xf>
    <xf numFmtId="0" fontId="41" fillId="14" borderId="0" xfId="0" applyFont="1" applyFill="1" applyAlignment="1">
      <alignment vertical="top"/>
    </xf>
    <xf numFmtId="0" fontId="41" fillId="0" borderId="0" xfId="0" applyFont="1" applyAlignment="1">
      <alignment vertical="top"/>
    </xf>
    <xf numFmtId="0" fontId="61" fillId="29" borderId="30" xfId="0" applyFont="1" applyFill="1" applyBorder="1" applyAlignment="1">
      <alignment horizontal="left" vertical="center"/>
    </xf>
    <xf numFmtId="0" fontId="46" fillId="29" borderId="30" xfId="0" applyFont="1" applyFill="1" applyBorder="1" applyAlignment="1">
      <alignment horizontal="left" vertical="center"/>
    </xf>
    <xf numFmtId="0" fontId="46" fillId="29" borderId="30" xfId="0" applyFont="1" applyFill="1" applyBorder="1" applyAlignment="1">
      <alignment vertical="center"/>
    </xf>
    <xf numFmtId="1" fontId="119" fillId="0" borderId="30" xfId="0" applyNumberFormat="1" applyFont="1" applyBorder="1" applyAlignment="1" applyProtection="1">
      <alignment horizontal="center" vertical="center"/>
      <protection locked="0"/>
    </xf>
    <xf numFmtId="166" fontId="119" fillId="0" borderId="30" xfId="0" applyNumberFormat="1" applyFont="1" applyBorder="1" applyAlignment="1" applyProtection="1">
      <alignment horizontal="center" vertical="center"/>
      <protection locked="0"/>
    </xf>
    <xf numFmtId="3" fontId="119" fillId="0" borderId="29" xfId="0" applyNumberFormat="1" applyFont="1" applyBorder="1" applyAlignment="1">
      <alignment horizontal="center" vertical="center"/>
    </xf>
    <xf numFmtId="0" fontId="59" fillId="29" borderId="30" xfId="0" applyFont="1" applyFill="1" applyBorder="1" applyAlignment="1">
      <alignment vertical="center"/>
    </xf>
    <xf numFmtId="0" fontId="121" fillId="29" borderId="30" xfId="0" applyFont="1" applyFill="1" applyBorder="1" applyAlignment="1">
      <alignment vertical="center"/>
    </xf>
    <xf numFmtId="0" fontId="38" fillId="0" borderId="41" xfId="0" applyFont="1" applyBorder="1" applyAlignment="1">
      <alignment vertical="center"/>
    </xf>
    <xf numFmtId="0" fontId="48" fillId="14" borderId="44" xfId="0" applyFont="1" applyFill="1" applyBorder="1" applyAlignment="1">
      <alignment vertical="center"/>
    </xf>
    <xf numFmtId="0" fontId="47" fillId="14" borderId="44" xfId="0" applyFont="1" applyFill="1" applyBorder="1" applyAlignment="1">
      <alignment horizontal="center" vertical="center"/>
    </xf>
    <xf numFmtId="3" fontId="47" fillId="0" borderId="39" xfId="0" applyNumberFormat="1" applyFont="1" applyBorder="1" applyAlignment="1">
      <alignment horizontal="center" vertical="center"/>
    </xf>
    <xf numFmtId="164" fontId="47" fillId="0" borderId="39" xfId="0" applyNumberFormat="1" applyFont="1" applyBorder="1" applyAlignment="1">
      <alignment horizontal="center" vertical="center"/>
    </xf>
    <xf numFmtId="9" fontId="47" fillId="0" borderId="39" xfId="0" applyNumberFormat="1" applyFont="1" applyBorder="1" applyAlignment="1">
      <alignment horizontal="center" vertical="center"/>
    </xf>
    <xf numFmtId="166" fontId="47" fillId="0" borderId="34" xfId="0" applyNumberFormat="1" applyFont="1" applyBorder="1" applyAlignment="1">
      <alignment horizontal="center" vertical="center"/>
    </xf>
    <xf numFmtId="3" fontId="47" fillId="0" borderId="34" xfId="0" applyNumberFormat="1" applyFont="1" applyBorder="1" applyAlignment="1">
      <alignment horizontal="center" vertical="center"/>
    </xf>
    <xf numFmtId="165" fontId="127" fillId="0" borderId="30" xfId="0" applyNumberFormat="1" applyFont="1" applyBorder="1" applyAlignment="1">
      <alignment horizontal="center" vertical="center"/>
    </xf>
    <xf numFmtId="0" fontId="0" fillId="0" borderId="23" xfId="0" applyBorder="1" applyAlignment="1">
      <alignment vertical="center"/>
    </xf>
    <xf numFmtId="0" fontId="48" fillId="0" borderId="23" xfId="0" applyFont="1" applyBorder="1" applyAlignment="1">
      <alignment vertical="center"/>
    </xf>
    <xf numFmtId="0" fontId="127" fillId="14" borderId="44" xfId="0" applyFont="1" applyFill="1" applyBorder="1" applyAlignment="1">
      <alignment vertical="center"/>
    </xf>
    <xf numFmtId="0" fontId="127" fillId="14" borderId="44" xfId="0" applyFont="1" applyFill="1" applyBorder="1" applyAlignment="1">
      <alignment horizontal="center" vertical="center"/>
    </xf>
    <xf numFmtId="0" fontId="48" fillId="0" borderId="34" xfId="0" applyFont="1" applyBorder="1" applyAlignment="1">
      <alignment vertical="center"/>
    </xf>
    <xf numFmtId="0" fontId="127" fillId="0" borderId="30" xfId="0" applyFont="1" applyBorder="1" applyAlignment="1">
      <alignment horizontal="left" vertical="center"/>
    </xf>
    <xf numFmtId="0" fontId="128" fillId="0" borderId="30" xfId="0" applyFont="1" applyBorder="1" applyAlignment="1">
      <alignment horizontal="left" vertical="center"/>
    </xf>
    <xf numFmtId="0" fontId="36" fillId="14" borderId="44" xfId="0" applyFont="1" applyFill="1" applyBorder="1" applyAlignment="1">
      <alignment vertical="center"/>
    </xf>
    <xf numFmtId="0" fontId="37" fillId="14" borderId="44" xfId="0" applyFont="1" applyFill="1" applyBorder="1" applyAlignment="1">
      <alignment horizontal="center" vertical="center"/>
    </xf>
    <xf numFmtId="0" fontId="36" fillId="14" borderId="44" xfId="0" applyFont="1" applyFill="1" applyBorder="1" applyAlignment="1">
      <alignment horizontal="center" vertical="center"/>
    </xf>
    <xf numFmtId="3" fontId="36" fillId="14" borderId="44" xfId="0" applyNumberFormat="1" applyFont="1" applyFill="1" applyBorder="1" applyAlignment="1">
      <alignment horizontal="center" vertical="center"/>
    </xf>
    <xf numFmtId="0" fontId="38" fillId="0" borderId="30" xfId="0" applyFont="1" applyBorder="1" applyAlignment="1">
      <alignment horizontal="left" vertical="center"/>
    </xf>
    <xf numFmtId="0" fontId="36" fillId="0" borderId="30" xfId="0" applyFont="1" applyBorder="1" applyAlignment="1">
      <alignment horizontal="left" vertical="center"/>
    </xf>
    <xf numFmtId="0" fontId="0" fillId="39" borderId="0" xfId="0" applyFill="1" applyAlignment="1">
      <alignment vertical="center"/>
    </xf>
    <xf numFmtId="0" fontId="8" fillId="39" borderId="0" xfId="0" applyFont="1" applyFill="1" applyAlignment="1">
      <alignment vertical="center"/>
    </xf>
    <xf numFmtId="0" fontId="0" fillId="39" borderId="0" xfId="0" applyFill="1" applyAlignment="1">
      <alignment horizontal="center" vertical="center"/>
    </xf>
    <xf numFmtId="0" fontId="7" fillId="39" borderId="0" xfId="0" applyFont="1" applyFill="1" applyAlignment="1">
      <alignment vertical="center"/>
    </xf>
    <xf numFmtId="0" fontId="36" fillId="14" borderId="23" xfId="0" applyFont="1" applyFill="1" applyBorder="1" applyAlignment="1">
      <alignment horizontal="center" vertical="center"/>
    </xf>
    <xf numFmtId="1" fontId="36" fillId="14" borderId="44" xfId="0" applyNumberFormat="1" applyFont="1" applyFill="1" applyBorder="1" applyAlignment="1">
      <alignment horizontal="center" vertical="center"/>
    </xf>
    <xf numFmtId="0" fontId="38" fillId="0" borderId="30" xfId="0" applyFont="1" applyBorder="1" applyAlignment="1">
      <alignment horizontal="right" vertical="center"/>
    </xf>
    <xf numFmtId="0" fontId="126" fillId="14" borderId="0" xfId="0" applyFont="1" applyFill="1" applyAlignment="1">
      <alignment vertical="center"/>
    </xf>
    <xf numFmtId="0" fontId="8" fillId="14" borderId="0" xfId="0" applyFont="1" applyFill="1"/>
    <xf numFmtId="0" fontId="36" fillId="14" borderId="44" xfId="0" applyFont="1" applyFill="1" applyBorder="1"/>
    <xf numFmtId="164" fontId="41" fillId="0" borderId="23" xfId="0" applyNumberFormat="1" applyFont="1" applyBorder="1" applyAlignment="1">
      <alignment horizontal="center" vertical="center"/>
    </xf>
    <xf numFmtId="3" fontId="41" fillId="0" borderId="23" xfId="0" applyNumberFormat="1" applyFont="1" applyBorder="1" applyAlignment="1">
      <alignment horizontal="center" vertical="center"/>
    </xf>
    <xf numFmtId="3" fontId="41" fillId="0" borderId="0" xfId="0" applyNumberFormat="1" applyFont="1" applyAlignment="1">
      <alignment horizontal="center" vertical="center"/>
    </xf>
    <xf numFmtId="164" fontId="47" fillId="0" borderId="30" xfId="0" applyNumberFormat="1" applyFont="1" applyBorder="1" applyAlignment="1" applyProtection="1">
      <alignment horizontal="center" vertical="center"/>
      <protection locked="0"/>
    </xf>
    <xf numFmtId="164" fontId="48" fillId="0" borderId="30" xfId="0" applyNumberFormat="1" applyFont="1" applyBorder="1" applyAlignment="1" applyProtection="1">
      <alignment horizontal="center" vertical="center"/>
      <protection locked="0"/>
    </xf>
    <xf numFmtId="0" fontId="36" fillId="43" borderId="5" xfId="0" applyFont="1" applyFill="1" applyBorder="1" applyAlignment="1">
      <alignment vertical="center"/>
    </xf>
    <xf numFmtId="9" fontId="45" fillId="0" borderId="28" xfId="0" applyNumberFormat="1" applyFont="1" applyBorder="1" applyAlignment="1">
      <alignment horizontal="center" vertical="center"/>
    </xf>
    <xf numFmtId="0" fontId="45" fillId="14" borderId="50" xfId="0" applyFont="1" applyFill="1" applyBorder="1" applyAlignment="1">
      <alignment vertical="center"/>
    </xf>
    <xf numFmtId="164" fontId="47" fillId="44" borderId="30" xfId="0" applyNumberFormat="1" applyFont="1" applyFill="1" applyBorder="1" applyAlignment="1" applyProtection="1">
      <alignment horizontal="center" vertical="center"/>
      <protection locked="0"/>
    </xf>
    <xf numFmtId="0" fontId="57" fillId="0" borderId="34" xfId="0" applyFont="1" applyBorder="1" applyAlignment="1">
      <alignment horizontal="right" vertical="center"/>
    </xf>
    <xf numFmtId="2" fontId="47" fillId="19" borderId="34" xfId="0" applyNumberFormat="1" applyFont="1" applyFill="1" applyBorder="1" applyAlignment="1">
      <alignment horizontal="center" vertical="center"/>
    </xf>
    <xf numFmtId="0" fontId="47" fillId="14" borderId="28" xfId="0" applyFont="1" applyFill="1" applyBorder="1" applyAlignment="1">
      <alignment horizontal="right" vertical="center"/>
    </xf>
    <xf numFmtId="164" fontId="47" fillId="3" borderId="30" xfId="0" applyNumberFormat="1" applyFont="1" applyFill="1" applyBorder="1" applyAlignment="1">
      <alignment horizontal="center" vertical="center"/>
    </xf>
    <xf numFmtId="4" fontId="47" fillId="4" borderId="30" xfId="0" applyNumberFormat="1" applyFont="1" applyFill="1" applyBorder="1" applyAlignment="1">
      <alignment horizontal="center" vertical="center"/>
    </xf>
    <xf numFmtId="2" fontId="47" fillId="13" borderId="30" xfId="0" applyNumberFormat="1" applyFont="1" applyFill="1" applyBorder="1" applyAlignment="1">
      <alignment horizontal="center" vertical="center"/>
    </xf>
    <xf numFmtId="3" fontId="48" fillId="38" borderId="30" xfId="0" applyNumberFormat="1" applyFont="1" applyFill="1" applyBorder="1" applyAlignment="1" applyProtection="1">
      <alignment horizontal="center" vertical="center"/>
      <protection locked="0"/>
    </xf>
    <xf numFmtId="4" fontId="47" fillId="13" borderId="23" xfId="0" applyNumberFormat="1" applyFont="1" applyFill="1" applyBorder="1" applyAlignment="1">
      <alignment horizontal="center" vertical="center"/>
    </xf>
    <xf numFmtId="0" fontId="45" fillId="0" borderId="53" xfId="0" applyFont="1" applyBorder="1" applyAlignment="1">
      <alignment vertical="center"/>
    </xf>
    <xf numFmtId="0" fontId="150" fillId="14" borderId="0" xfId="0" applyFont="1" applyFill="1" applyAlignment="1">
      <alignment vertical="center"/>
    </xf>
    <xf numFmtId="164" fontId="47" fillId="45" borderId="30" xfId="0" applyNumberFormat="1" applyFont="1" applyFill="1" applyBorder="1" applyAlignment="1" applyProtection="1">
      <alignment horizontal="center" vertical="center"/>
      <protection locked="0"/>
    </xf>
    <xf numFmtId="0" fontId="45" fillId="0" borderId="34" xfId="0" applyFont="1" applyBorder="1" applyAlignment="1">
      <alignment vertical="center"/>
    </xf>
    <xf numFmtId="4" fontId="45" fillId="0" borderId="31" xfId="0" applyNumberFormat="1" applyFont="1" applyBorder="1" applyAlignment="1">
      <alignment horizontal="center" vertical="center"/>
    </xf>
    <xf numFmtId="0" fontId="46" fillId="16" borderId="54" xfId="0" applyFont="1" applyFill="1" applyBorder="1" applyAlignment="1">
      <alignment horizontal="center" vertical="center"/>
    </xf>
    <xf numFmtId="0" fontId="45" fillId="0" borderId="55" xfId="0" applyFont="1" applyBorder="1" applyAlignment="1">
      <alignment vertical="center"/>
    </xf>
    <xf numFmtId="4" fontId="48" fillId="16" borderId="30" xfId="0" applyNumberFormat="1" applyFont="1" applyFill="1" applyBorder="1" applyAlignment="1">
      <alignment horizontal="center" vertical="center"/>
    </xf>
    <xf numFmtId="0" fontId="64" fillId="14" borderId="0" xfId="0" applyFont="1" applyFill="1" applyAlignment="1">
      <alignment vertical="top"/>
    </xf>
    <xf numFmtId="165" fontId="47" fillId="14" borderId="30" xfId="0" applyNumberFormat="1" applyFont="1" applyFill="1" applyBorder="1" applyAlignment="1" applyProtection="1">
      <alignment horizontal="center" vertical="center"/>
      <protection locked="0"/>
    </xf>
    <xf numFmtId="0" fontId="65" fillId="14" borderId="0" xfId="0" applyFont="1" applyFill="1" applyAlignment="1">
      <alignment horizontal="left"/>
    </xf>
    <xf numFmtId="0" fontId="63" fillId="14" borderId="0" xfId="0" applyFont="1" applyFill="1" applyAlignment="1">
      <alignment horizontal="left"/>
    </xf>
    <xf numFmtId="0" fontId="64" fillId="14" borderId="0" xfId="0" applyFont="1" applyFill="1"/>
    <xf numFmtId="4" fontId="47" fillId="3" borderId="29" xfId="0" applyNumberFormat="1" applyFont="1" applyFill="1" applyBorder="1" applyAlignment="1">
      <alignment horizontal="center" vertical="center"/>
    </xf>
    <xf numFmtId="4" fontId="47" fillId="19" borderId="34" xfId="0" applyNumberFormat="1" applyFont="1" applyFill="1" applyBorder="1" applyAlignment="1">
      <alignment horizontal="center" vertical="center"/>
    </xf>
    <xf numFmtId="0" fontId="57" fillId="14" borderId="49" xfId="0" applyFont="1" applyFill="1" applyBorder="1" applyAlignment="1">
      <alignment horizontal="right" vertical="center"/>
    </xf>
    <xf numFmtId="0" fontId="30" fillId="0" borderId="23" xfId="0" applyFont="1" applyBorder="1" applyAlignment="1">
      <alignment horizontal="right" vertical="center"/>
    </xf>
    <xf numFmtId="0" fontId="30" fillId="0" borderId="23" xfId="0" applyFont="1" applyBorder="1" applyAlignment="1">
      <alignment vertical="center"/>
    </xf>
    <xf numFmtId="0" fontId="35" fillId="0" borderId="23" xfId="0" applyFont="1" applyBorder="1" applyAlignment="1">
      <alignment horizontal="center" vertical="center"/>
    </xf>
    <xf numFmtId="0" fontId="35" fillId="0" borderId="23" xfId="0" applyFont="1" applyBorder="1" applyAlignment="1">
      <alignment horizontal="right" vertical="center"/>
    </xf>
    <xf numFmtId="1" fontId="30" fillId="0" borderId="23" xfId="0" applyNumberFormat="1" applyFont="1" applyBorder="1" applyAlignment="1">
      <alignment horizontal="center" vertical="center"/>
    </xf>
    <xf numFmtId="169" fontId="30" fillId="0" borderId="23" xfId="0" applyNumberFormat="1" applyFont="1" applyBorder="1" applyAlignment="1">
      <alignment horizontal="center" vertical="center"/>
    </xf>
    <xf numFmtId="3" fontId="30" fillId="0" borderId="23" xfId="0" applyNumberFormat="1" applyFont="1" applyBorder="1" applyAlignment="1">
      <alignment horizontal="center" vertical="center"/>
    </xf>
    <xf numFmtId="0" fontId="152" fillId="0" borderId="23" xfId="0" applyFont="1" applyBorder="1" applyAlignment="1">
      <alignment horizontal="right"/>
    </xf>
    <xf numFmtId="0" fontId="152" fillId="0" borderId="23" xfId="0" applyFont="1" applyBorder="1" applyAlignment="1">
      <alignment horizontal="center"/>
    </xf>
    <xf numFmtId="0" fontId="151" fillId="0" borderId="23" xfId="0" applyFont="1" applyBorder="1" applyAlignment="1">
      <alignment horizontal="right"/>
    </xf>
    <xf numFmtId="0" fontId="151" fillId="0" borderId="23" xfId="0" applyFont="1" applyBorder="1" applyAlignment="1">
      <alignment horizontal="center"/>
    </xf>
    <xf numFmtId="0" fontId="35" fillId="0" borderId="23" xfId="0" applyFont="1" applyBorder="1" applyAlignment="1">
      <alignment vertical="center"/>
    </xf>
    <xf numFmtId="0" fontId="153" fillId="0" borderId="23" xfId="0" applyFont="1" applyBorder="1" applyAlignment="1">
      <alignment horizontal="right" vertical="center"/>
    </xf>
    <xf numFmtId="0" fontId="153" fillId="0" borderId="23" xfId="0" applyFont="1" applyBorder="1" applyAlignment="1">
      <alignment vertical="center"/>
    </xf>
    <xf numFmtId="0" fontId="35" fillId="0" borderId="23" xfId="0" applyFont="1" applyBorder="1" applyAlignment="1">
      <alignment horizontal="right"/>
    </xf>
    <xf numFmtId="0" fontId="35" fillId="0" borderId="23" xfId="0" applyFont="1" applyBorder="1"/>
    <xf numFmtId="0" fontId="154" fillId="0" borderId="23" xfId="0" applyFont="1" applyBorder="1" applyAlignment="1">
      <alignment horizontal="right" vertical="center"/>
    </xf>
    <xf numFmtId="0" fontId="154"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xf numFmtId="0" fontId="30" fillId="0" borderId="23" xfId="0" applyFont="1" applyBorder="1"/>
    <xf numFmtId="3" fontId="70" fillId="0" borderId="48" xfId="0" applyNumberFormat="1" applyFont="1" applyBorder="1" applyAlignment="1">
      <alignment horizontal="center" vertical="center"/>
    </xf>
    <xf numFmtId="164" fontId="70" fillId="0" borderId="30" xfId="0" applyNumberFormat="1" applyFont="1" applyBorder="1" applyAlignment="1">
      <alignment horizontal="center"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0" fontId="69" fillId="0" borderId="0" xfId="0" applyFont="1" applyAlignment="1">
      <alignment vertical="center"/>
    </xf>
    <xf numFmtId="0" fontId="70" fillId="0" borderId="0" xfId="0" applyFont="1"/>
    <xf numFmtId="3" fontId="115" fillId="29" borderId="30" xfId="0" applyNumberFormat="1" applyFont="1" applyFill="1" applyBorder="1" applyAlignment="1">
      <alignment horizontal="center" vertical="center"/>
    </xf>
    <xf numFmtId="3" fontId="61" fillId="29" borderId="30" xfId="0" applyNumberFormat="1" applyFont="1" applyFill="1" applyBorder="1" applyAlignment="1">
      <alignment horizontal="center" vertical="center"/>
    </xf>
    <xf numFmtId="0" fontId="129" fillId="0" borderId="49" xfId="0" applyFont="1" applyBorder="1" applyAlignment="1">
      <alignment horizontal="center" vertical="center"/>
    </xf>
    <xf numFmtId="0" fontId="157" fillId="14" borderId="23" xfId="0" applyFont="1" applyFill="1" applyBorder="1" applyAlignment="1">
      <alignment vertical="center"/>
    </xf>
    <xf numFmtId="165" fontId="41" fillId="47" borderId="30" xfId="0" applyNumberFormat="1" applyFont="1" applyFill="1" applyBorder="1" applyAlignment="1">
      <alignment horizontal="center" vertical="center"/>
    </xf>
    <xf numFmtId="0" fontId="16" fillId="48" borderId="30" xfId="0" applyFont="1" applyFill="1" applyBorder="1" applyAlignment="1">
      <alignment horizontal="left" vertical="center"/>
    </xf>
    <xf numFmtId="0" fontId="146" fillId="49" borderId="13" xfId="0" applyFont="1" applyFill="1" applyBorder="1" applyAlignment="1">
      <alignment horizontal="center" vertical="center"/>
    </xf>
    <xf numFmtId="165" fontId="37" fillId="50" borderId="4" xfId="0" applyNumberFormat="1" applyFont="1" applyFill="1" applyBorder="1" applyAlignment="1">
      <alignment horizontal="center" vertical="center"/>
    </xf>
    <xf numFmtId="164" fontId="36" fillId="50" borderId="4" xfId="0" applyNumberFormat="1" applyFont="1" applyFill="1" applyBorder="1" applyAlignment="1">
      <alignment horizontal="center" vertical="center"/>
    </xf>
    <xf numFmtId="0" fontId="158" fillId="49" borderId="11" xfId="0" applyFont="1" applyFill="1" applyBorder="1" applyAlignment="1">
      <alignment horizontal="center" vertical="center"/>
    </xf>
    <xf numFmtId="0" fontId="45" fillId="14" borderId="0" xfId="0" applyFont="1" applyFill="1" applyAlignment="1" applyProtection="1">
      <alignment horizontal="center" vertical="center"/>
      <protection locked="0"/>
    </xf>
    <xf numFmtId="0" fontId="70" fillId="14" borderId="0" xfId="0" applyFont="1" applyFill="1" applyAlignment="1">
      <alignment vertical="center"/>
    </xf>
    <xf numFmtId="178" fontId="70" fillId="0" borderId="48" xfId="0" applyNumberFormat="1" applyFont="1" applyBorder="1" applyAlignment="1">
      <alignment horizontal="center" vertical="center"/>
    </xf>
    <xf numFmtId="178" fontId="70" fillId="0" borderId="30" xfId="0" applyNumberFormat="1" applyFont="1" applyBorder="1" applyAlignment="1">
      <alignment horizontal="center" vertical="center"/>
    </xf>
    <xf numFmtId="178" fontId="70" fillId="18" borderId="30" xfId="0" applyNumberFormat="1" applyFont="1" applyFill="1" applyBorder="1" applyAlignment="1">
      <alignment horizontal="center" vertical="center"/>
    </xf>
    <xf numFmtId="0" fontId="70" fillId="0" borderId="0" xfId="0" applyFont="1" applyAlignment="1">
      <alignment vertical="center"/>
    </xf>
    <xf numFmtId="168" fontId="70" fillId="0" borderId="0" xfId="0" applyNumberFormat="1" applyFont="1" applyAlignment="1">
      <alignment horizontal="center" vertical="center"/>
    </xf>
    <xf numFmtId="0" fontId="145" fillId="14" borderId="0" xfId="0" applyFont="1" applyFill="1" applyAlignment="1">
      <alignment vertical="center"/>
    </xf>
    <xf numFmtId="0" fontId="145" fillId="14" borderId="44" xfId="0" applyFont="1" applyFill="1" applyBorder="1" applyAlignment="1">
      <alignment vertical="center"/>
    </xf>
    <xf numFmtId="178" fontId="145" fillId="18" borderId="30" xfId="0" applyNumberFormat="1" applyFont="1" applyFill="1" applyBorder="1" applyAlignment="1">
      <alignment horizontal="center" vertical="center"/>
    </xf>
    <xf numFmtId="168" fontId="145" fillId="0" borderId="0" xfId="0" applyNumberFormat="1" applyFont="1" applyAlignment="1">
      <alignment horizontal="center" vertical="center"/>
    </xf>
    <xf numFmtId="0" fontId="145" fillId="0" borderId="0" xfId="0" applyFont="1" applyAlignment="1">
      <alignment vertical="center"/>
    </xf>
    <xf numFmtId="0" fontId="145" fillId="0" borderId="0" xfId="0" applyFont="1"/>
    <xf numFmtId="0" fontId="50" fillId="0" borderId="0" xfId="0" applyFont="1"/>
    <xf numFmtId="0" fontId="50" fillId="14" borderId="0" xfId="0" applyFont="1" applyFill="1" applyAlignment="1">
      <alignment vertical="center"/>
    </xf>
    <xf numFmtId="0" fontId="50" fillId="0" borderId="0" xfId="0" applyFont="1" applyAlignment="1">
      <alignment vertical="center"/>
    </xf>
    <xf numFmtId="164" fontId="69" fillId="0" borderId="30" xfId="0" applyNumberFormat="1" applyFont="1" applyBorder="1" applyAlignment="1">
      <alignment horizontal="center" vertical="center"/>
    </xf>
    <xf numFmtId="0" fontId="75" fillId="38" borderId="5" xfId="0" applyFont="1" applyFill="1" applyBorder="1" applyAlignment="1">
      <alignment vertical="center"/>
    </xf>
    <xf numFmtId="3" fontId="75" fillId="0" borderId="30" xfId="0" applyNumberFormat="1" applyFont="1" applyBorder="1" applyAlignment="1">
      <alignment horizontal="center" vertical="center"/>
    </xf>
    <xf numFmtId="0" fontId="75" fillId="0" borderId="0" xfId="0" applyFont="1" applyAlignment="1">
      <alignment vertical="center"/>
    </xf>
    <xf numFmtId="0" fontId="75" fillId="14" borderId="0" xfId="0" applyFont="1" applyFill="1" applyAlignment="1">
      <alignment vertical="center"/>
    </xf>
    <xf numFmtId="0" fontId="70" fillId="0" borderId="23" xfId="0" applyFont="1" applyBorder="1"/>
    <xf numFmtId="0" fontId="69" fillId="16" borderId="30" xfId="0" applyFont="1" applyFill="1" applyBorder="1" applyAlignment="1">
      <alignment horizontal="right" vertical="center"/>
    </xf>
    <xf numFmtId="0" fontId="171" fillId="16" borderId="0" xfId="0" applyFont="1" applyFill="1" applyAlignment="1">
      <alignment horizontal="center" vertical="center"/>
    </xf>
    <xf numFmtId="0" fontId="172" fillId="14" borderId="0" xfId="0" applyFont="1" applyFill="1" applyAlignment="1">
      <alignment vertical="center"/>
    </xf>
    <xf numFmtId="2" fontId="75" fillId="0" borderId="49" xfId="0" applyNumberFormat="1" applyFont="1" applyBorder="1" applyAlignment="1">
      <alignment horizontal="center" vertical="center"/>
    </xf>
    <xf numFmtId="0" fontId="70" fillId="14" borderId="23" xfId="0" applyFont="1" applyFill="1" applyBorder="1"/>
    <xf numFmtId="0" fontId="69" fillId="14" borderId="23" xfId="0" applyFont="1" applyFill="1" applyBorder="1" applyAlignment="1">
      <alignment vertical="center"/>
    </xf>
    <xf numFmtId="0" fontId="75" fillId="36" borderId="30" xfId="0" applyFont="1" applyFill="1" applyBorder="1" applyAlignment="1">
      <alignment horizontal="left" vertical="center"/>
    </xf>
    <xf numFmtId="0" fontId="174" fillId="14" borderId="23" xfId="0" applyFont="1" applyFill="1" applyBorder="1" applyAlignment="1">
      <alignment horizontal="center" vertical="center"/>
    </xf>
    <xf numFmtId="3" fontId="70" fillId="8" borderId="48" xfId="0" applyNumberFormat="1" applyFont="1" applyFill="1" applyBorder="1" applyAlignment="1">
      <alignment horizontal="center" vertical="center"/>
    </xf>
    <xf numFmtId="3" fontId="70" fillId="8" borderId="30" xfId="0" applyNumberFormat="1" applyFont="1" applyFill="1" applyBorder="1" applyAlignment="1">
      <alignment horizontal="center" vertical="center"/>
    </xf>
    <xf numFmtId="3" fontId="70" fillId="33" borderId="30" xfId="0" applyNumberFormat="1" applyFont="1" applyFill="1" applyBorder="1" applyAlignment="1">
      <alignment horizontal="center" vertical="center"/>
    </xf>
    <xf numFmtId="164" fontId="70" fillId="0" borderId="48" xfId="0" applyNumberFormat="1" applyFont="1" applyBorder="1" applyAlignment="1">
      <alignment horizontal="center" vertical="center"/>
    </xf>
    <xf numFmtId="164" fontId="70" fillId="18" borderId="30" xfId="0" applyNumberFormat="1" applyFont="1" applyFill="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0" fontId="180" fillId="14" borderId="0" xfId="0" applyFont="1" applyFill="1" applyAlignment="1">
      <alignment vertical="center"/>
    </xf>
    <xf numFmtId="168" fontId="180" fillId="0" borderId="0" xfId="0" applyNumberFormat="1" applyFont="1" applyAlignment="1">
      <alignment horizontal="center" vertical="center"/>
    </xf>
    <xf numFmtId="0" fontId="180" fillId="0" borderId="0" xfId="0" applyFont="1" applyAlignment="1">
      <alignment vertical="center"/>
    </xf>
    <xf numFmtId="0" fontId="174" fillId="0" borderId="0" xfId="0" applyFont="1"/>
    <xf numFmtId="0" fontId="174" fillId="14" borderId="0" xfId="0" applyFont="1" applyFill="1" applyAlignment="1">
      <alignment vertical="center"/>
    </xf>
    <xf numFmtId="3" fontId="174" fillId="0" borderId="0" xfId="0" applyNumberFormat="1" applyFont="1" applyAlignment="1">
      <alignment horizontal="center" vertical="center"/>
    </xf>
    <xf numFmtId="0" fontId="174" fillId="0" borderId="0" xfId="0" applyFont="1" applyAlignment="1">
      <alignment vertical="center"/>
    </xf>
    <xf numFmtId="178" fontId="145" fillId="0" borderId="30" xfId="0" applyNumberFormat="1" applyFont="1" applyBorder="1" applyAlignment="1">
      <alignment horizontal="center" vertical="center"/>
    </xf>
    <xf numFmtId="3" fontId="145" fillId="0" borderId="30" xfId="0" applyNumberFormat="1" applyFont="1" applyBorder="1" applyAlignment="1">
      <alignment horizontal="center" vertical="center"/>
    </xf>
    <xf numFmtId="164" fontId="145" fillId="18" borderId="30" xfId="0" applyNumberFormat="1" applyFont="1" applyFill="1" applyBorder="1" applyAlignment="1">
      <alignment horizontal="center" vertical="center"/>
    </xf>
    <xf numFmtId="1" fontId="180" fillId="0" borderId="0" xfId="0" applyNumberFormat="1" applyFont="1" applyAlignment="1">
      <alignment vertical="center"/>
    </xf>
    <xf numFmtId="3" fontId="69" fillId="0" borderId="30" xfId="0" applyNumberFormat="1" applyFont="1" applyBorder="1" applyAlignment="1">
      <alignment horizontal="center" vertical="center"/>
    </xf>
    <xf numFmtId="3" fontId="69"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69" fillId="0" borderId="30" xfId="0" applyNumberFormat="1" applyFont="1" applyBorder="1" applyAlignment="1">
      <alignment horizontal="center" vertical="center"/>
    </xf>
    <xf numFmtId="1" fontId="69" fillId="18" borderId="30" xfId="0" applyNumberFormat="1" applyFont="1" applyFill="1" applyBorder="1" applyAlignment="1">
      <alignment horizontal="center" vertical="center"/>
    </xf>
    <xf numFmtId="178" fontId="69" fillId="0" borderId="30" xfId="0" applyNumberFormat="1" applyFont="1" applyBorder="1" applyAlignment="1">
      <alignment horizontal="center" vertical="center"/>
    </xf>
    <xf numFmtId="178" fontId="69" fillId="18" borderId="30" xfId="0" applyNumberFormat="1" applyFont="1" applyFill="1" applyBorder="1" applyAlignment="1">
      <alignment horizontal="center" vertical="center"/>
    </xf>
    <xf numFmtId="0" fontId="6" fillId="0" borderId="0" xfId="0" applyFont="1"/>
    <xf numFmtId="0" fontId="145" fillId="0" borderId="34" xfId="0" applyFont="1" applyBorder="1" applyAlignment="1">
      <alignment vertical="center"/>
    </xf>
    <xf numFmtId="3" fontId="181" fillId="0" borderId="49" xfId="0" applyNumberFormat="1" applyFont="1" applyBorder="1" applyAlignment="1">
      <alignment horizontal="center" vertical="center"/>
    </xf>
    <xf numFmtId="0" fontId="182" fillId="36" borderId="49" xfId="0" applyFont="1" applyFill="1" applyBorder="1" applyAlignment="1">
      <alignment horizontal="left" vertical="center"/>
    </xf>
    <xf numFmtId="0" fontId="50" fillId="14" borderId="23" xfId="0" applyFont="1" applyFill="1" applyBorder="1" applyAlignment="1">
      <alignment vertical="center"/>
    </xf>
    <xf numFmtId="0" fontId="70" fillId="14" borderId="23" xfId="0" applyFont="1" applyFill="1" applyBorder="1" applyAlignment="1">
      <alignment vertical="center"/>
    </xf>
    <xf numFmtId="0" fontId="127" fillId="14" borderId="23" xfId="0" applyFont="1" applyFill="1" applyBorder="1" applyAlignment="1">
      <alignment vertical="center"/>
    </xf>
    <xf numFmtId="0" fontId="145" fillId="14" borderId="23" xfId="0" applyFont="1" applyFill="1" applyBorder="1" applyAlignment="1">
      <alignment vertical="center"/>
    </xf>
    <xf numFmtId="0" fontId="48" fillId="14" borderId="23" xfId="0" applyFont="1" applyFill="1" applyBorder="1" applyAlignment="1">
      <alignment vertical="center"/>
    </xf>
    <xf numFmtId="0" fontId="127" fillId="0" borderId="23" xfId="0" applyFont="1" applyBorder="1" applyAlignment="1">
      <alignment vertical="center"/>
    </xf>
    <xf numFmtId="168" fontId="70" fillId="0" borderId="23" xfId="0" applyNumberFormat="1" applyFont="1" applyBorder="1" applyAlignment="1">
      <alignment horizontal="center" vertical="center"/>
    </xf>
    <xf numFmtId="168" fontId="145" fillId="0" borderId="23" xfId="0" applyNumberFormat="1" applyFont="1" applyBorder="1" applyAlignment="1">
      <alignment horizontal="center" vertical="center"/>
    </xf>
    <xf numFmtId="0" fontId="48" fillId="0" borderId="41" xfId="0" applyFont="1" applyBorder="1" applyAlignment="1">
      <alignment vertical="center"/>
    </xf>
    <xf numFmtId="0" fontId="48" fillId="0" borderId="44" xfId="0" applyFont="1" applyBorder="1" applyAlignment="1">
      <alignment vertical="center"/>
    </xf>
    <xf numFmtId="0" fontId="128" fillId="0" borderId="44" xfId="0" applyFont="1" applyBorder="1" applyAlignment="1">
      <alignment vertical="center"/>
    </xf>
    <xf numFmtId="0" fontId="41" fillId="0" borderId="34" xfId="0" applyFont="1" applyBorder="1" applyAlignment="1">
      <alignment horizontal="left" vertical="center"/>
    </xf>
    <xf numFmtId="0" fontId="156" fillId="0" borderId="57" xfId="0" applyFont="1" applyBorder="1" applyAlignment="1">
      <alignment horizontal="left" vertical="center"/>
    </xf>
    <xf numFmtId="0" fontId="170" fillId="16" borderId="58" xfId="0" applyFont="1" applyFill="1" applyBorder="1" applyAlignment="1">
      <alignment horizontal="right" vertical="center"/>
    </xf>
    <xf numFmtId="0" fontId="47" fillId="0" borderId="59" xfId="0" applyFont="1" applyBorder="1" applyAlignment="1">
      <alignment vertical="center"/>
    </xf>
    <xf numFmtId="1" fontId="70" fillId="0" borderId="59" xfId="0" applyNumberFormat="1" applyFont="1" applyBorder="1" applyAlignment="1">
      <alignment horizontal="center" vertical="center"/>
    </xf>
    <xf numFmtId="166" fontId="70" fillId="0" borderId="60" xfId="0" applyNumberFormat="1" applyFont="1" applyBorder="1" applyAlignment="1">
      <alignment horizontal="center" vertical="center"/>
    </xf>
    <xf numFmtId="3" fontId="70" fillId="0" borderId="59" xfId="0" applyNumberFormat="1" applyFont="1" applyBorder="1" applyAlignment="1">
      <alignment horizontal="center" vertical="center"/>
    </xf>
    <xf numFmtId="9" fontId="70" fillId="0" borderId="60" xfId="0" applyNumberFormat="1" applyFont="1" applyBorder="1" applyAlignment="1">
      <alignment horizontal="center" vertical="center"/>
    </xf>
    <xf numFmtId="177" fontId="70" fillId="0" borderId="59" xfId="0" applyNumberFormat="1" applyFont="1" applyBorder="1" applyAlignment="1">
      <alignment horizontal="center" vertical="center"/>
    </xf>
    <xf numFmtId="3" fontId="70" fillId="0" borderId="60" xfId="0" applyNumberFormat="1" applyFont="1" applyBorder="1" applyAlignment="1">
      <alignment horizontal="center" vertical="center"/>
    </xf>
    <xf numFmtId="178" fontId="145" fillId="18" borderId="62" xfId="0" applyNumberFormat="1" applyFont="1" applyFill="1" applyBorder="1" applyAlignment="1">
      <alignment horizontal="center" vertical="center"/>
    </xf>
    <xf numFmtId="0" fontId="145" fillId="0" borderId="63" xfId="0" applyFont="1" applyBorder="1" applyAlignment="1">
      <alignment horizontal="center" vertical="center"/>
    </xf>
    <xf numFmtId="0" fontId="127" fillId="0" borderId="60" xfId="0" applyFont="1" applyBorder="1" applyAlignment="1">
      <alignment vertical="center"/>
    </xf>
    <xf numFmtId="0" fontId="128" fillId="14" borderId="23" xfId="0" applyFont="1" applyFill="1" applyBorder="1" applyAlignment="1">
      <alignment vertical="center"/>
    </xf>
    <xf numFmtId="164" fontId="70" fillId="14" borderId="23" xfId="0" applyNumberFormat="1" applyFont="1" applyFill="1" applyBorder="1" applyAlignment="1">
      <alignment horizontal="center" vertical="center"/>
    </xf>
    <xf numFmtId="1" fontId="47" fillId="14" borderId="23" xfId="0" applyNumberFormat="1" applyFont="1" applyFill="1" applyBorder="1" applyAlignment="1">
      <alignment horizontal="center" vertical="center"/>
    </xf>
    <xf numFmtId="0" fontId="70" fillId="14" borderId="23" xfId="0" applyFont="1" applyFill="1" applyBorder="1" applyAlignment="1">
      <alignment horizontal="center" vertical="center"/>
    </xf>
    <xf numFmtId="164" fontId="47" fillId="14" borderId="23" xfId="0" applyNumberFormat="1" applyFont="1" applyFill="1" applyBorder="1" applyAlignment="1">
      <alignment horizontal="center" vertical="center"/>
    </xf>
    <xf numFmtId="0" fontId="69" fillId="0" borderId="23" xfId="0" applyFont="1" applyBorder="1" applyAlignment="1">
      <alignment vertical="center"/>
    </xf>
    <xf numFmtId="0" fontId="70" fillId="0" borderId="23" xfId="0" applyFont="1" applyBorder="1" applyAlignment="1">
      <alignment vertical="center"/>
    </xf>
    <xf numFmtId="0" fontId="128" fillId="0" borderId="23" xfId="0" applyFont="1" applyBorder="1" applyAlignment="1">
      <alignment vertical="center"/>
    </xf>
    <xf numFmtId="0" fontId="145" fillId="0" borderId="23" xfId="0" applyFont="1" applyBorder="1" applyAlignment="1">
      <alignment vertical="center"/>
    </xf>
    <xf numFmtId="0" fontId="128" fillId="0" borderId="36" xfId="0" applyFont="1" applyBorder="1" applyAlignment="1">
      <alignment vertical="center"/>
    </xf>
    <xf numFmtId="0" fontId="127" fillId="0" borderId="39" xfId="0" applyFont="1" applyBorder="1" applyAlignment="1">
      <alignment vertical="center"/>
    </xf>
    <xf numFmtId="0" fontId="7" fillId="0" borderId="23" xfId="0" applyFont="1" applyBorder="1" applyAlignment="1">
      <alignment vertical="center"/>
    </xf>
    <xf numFmtId="0" fontId="156" fillId="0" borderId="64" xfId="0" applyFont="1" applyBorder="1" applyAlignment="1">
      <alignment vertical="center"/>
    </xf>
    <xf numFmtId="0" fontId="47" fillId="0" borderId="64" xfId="0" applyFont="1" applyBorder="1" applyAlignment="1">
      <alignment vertical="center"/>
    </xf>
    <xf numFmtId="0" fontId="145" fillId="31" borderId="64" xfId="0" applyFont="1" applyFill="1" applyBorder="1" applyAlignment="1">
      <alignment horizontal="right" vertical="center"/>
    </xf>
    <xf numFmtId="0" fontId="69" fillId="31" borderId="64" xfId="0" applyFont="1" applyFill="1" applyBorder="1" applyAlignment="1">
      <alignment horizontal="left" vertical="center"/>
    </xf>
    <xf numFmtId="0" fontId="69" fillId="31" borderId="65" xfId="0" applyFont="1" applyFill="1" applyBorder="1" applyAlignment="1">
      <alignment horizontal="left" vertical="center"/>
    </xf>
    <xf numFmtId="0" fontId="47" fillId="0" borderId="66" xfId="0" applyFont="1" applyBorder="1" applyAlignment="1">
      <alignment vertical="center"/>
    </xf>
    <xf numFmtId="0" fontId="70" fillId="0" borderId="68" xfId="0" applyFont="1" applyBorder="1" applyAlignment="1">
      <alignment vertical="center"/>
    </xf>
    <xf numFmtId="164" fontId="70" fillId="0" borderId="69" xfId="0" applyNumberFormat="1" applyFont="1" applyBorder="1" applyAlignment="1">
      <alignment horizontal="center" vertical="center"/>
    </xf>
    <xf numFmtId="167" fontId="47" fillId="0" borderId="66" xfId="0" applyNumberFormat="1" applyFont="1" applyBorder="1" applyAlignment="1">
      <alignment horizontal="center" vertical="center"/>
    </xf>
    <xf numFmtId="167" fontId="47" fillId="0" borderId="67" xfId="0" applyNumberFormat="1" applyFont="1" applyBorder="1" applyAlignment="1">
      <alignment horizontal="center" vertical="center"/>
    </xf>
    <xf numFmtId="1" fontId="47" fillId="0" borderId="67" xfId="0" applyNumberFormat="1" applyFont="1" applyBorder="1" applyAlignment="1">
      <alignment horizontal="center" vertical="center"/>
    </xf>
    <xf numFmtId="0" fontId="47" fillId="0" borderId="67" xfId="0" applyFont="1" applyBorder="1" applyAlignment="1">
      <alignment horizontal="center" vertical="center"/>
    </xf>
    <xf numFmtId="0" fontId="47" fillId="0" borderId="66" xfId="0" applyFont="1" applyBorder="1" applyAlignment="1">
      <alignment horizontal="center" vertical="center"/>
    </xf>
    <xf numFmtId="9" fontId="70" fillId="0" borderId="68" xfId="0" applyNumberFormat="1" applyFont="1" applyBorder="1" applyAlignment="1">
      <alignment horizontal="center" vertical="center"/>
    </xf>
    <xf numFmtId="0" fontId="50" fillId="0" borderId="68" xfId="0" applyFont="1" applyBorder="1" applyAlignment="1">
      <alignment vertical="center"/>
    </xf>
    <xf numFmtId="0" fontId="70" fillId="0" borderId="69" xfId="0" applyFont="1" applyBorder="1" applyAlignment="1">
      <alignment vertical="center"/>
    </xf>
    <xf numFmtId="0" fontId="70" fillId="0" borderId="70" xfId="0" applyFont="1" applyBorder="1" applyAlignment="1">
      <alignment vertical="center"/>
    </xf>
    <xf numFmtId="177" fontId="70" fillId="0" borderId="71" xfId="0" applyNumberFormat="1" applyFont="1" applyBorder="1" applyAlignment="1">
      <alignment horizontal="center" vertical="center"/>
    </xf>
    <xf numFmtId="0" fontId="70" fillId="0" borderId="72" xfId="0" applyFont="1" applyBorder="1" applyAlignment="1">
      <alignment vertical="center"/>
    </xf>
    <xf numFmtId="164" fontId="70" fillId="0" borderId="66" xfId="0" applyNumberFormat="1" applyFont="1" applyBorder="1" applyAlignment="1">
      <alignment horizontal="center" vertical="center"/>
    </xf>
    <xf numFmtId="164" fontId="70" fillId="0" borderId="67" xfId="0" applyNumberFormat="1" applyFont="1" applyBorder="1" applyAlignment="1">
      <alignment horizontal="center" vertical="center"/>
    </xf>
    <xf numFmtId="1" fontId="47" fillId="0" borderId="66" xfId="0" applyNumberFormat="1" applyFont="1" applyBorder="1" applyAlignment="1">
      <alignment horizontal="center" vertical="center"/>
    </xf>
    <xf numFmtId="9" fontId="70" fillId="0" borderId="66" xfId="0" applyNumberFormat="1" applyFont="1" applyBorder="1" applyAlignment="1">
      <alignment horizontal="center" vertical="center"/>
    </xf>
    <xf numFmtId="0" fontId="50" fillId="0" borderId="66" xfId="0" applyFont="1" applyBorder="1" applyAlignment="1">
      <alignment vertical="center"/>
    </xf>
    <xf numFmtId="0" fontId="70" fillId="0" borderId="66" xfId="0" applyFont="1" applyBorder="1" applyAlignment="1">
      <alignment vertical="center"/>
    </xf>
    <xf numFmtId="0" fontId="70" fillId="0" borderId="67" xfId="0" applyFont="1" applyBorder="1" applyAlignment="1">
      <alignment vertical="center"/>
    </xf>
    <xf numFmtId="0" fontId="70" fillId="0" borderId="73" xfId="0" applyFont="1" applyBorder="1" applyAlignment="1">
      <alignment vertical="center"/>
    </xf>
    <xf numFmtId="177" fontId="70" fillId="0" borderId="74" xfId="0" applyNumberFormat="1" applyFont="1" applyBorder="1" applyAlignment="1">
      <alignment horizontal="center" vertical="center"/>
    </xf>
    <xf numFmtId="0" fontId="70" fillId="0" borderId="75" xfId="0" applyFont="1" applyBorder="1" applyAlignment="1">
      <alignment vertical="center"/>
    </xf>
    <xf numFmtId="0" fontId="127" fillId="0" borderId="67" xfId="0" applyFont="1" applyBorder="1" applyAlignment="1">
      <alignment vertical="center"/>
    </xf>
    <xf numFmtId="0" fontId="127" fillId="0" borderId="67" xfId="0" applyFont="1" applyBorder="1" applyAlignment="1">
      <alignment horizontal="center" vertical="center"/>
    </xf>
    <xf numFmtId="177" fontId="70" fillId="18" borderId="74" xfId="0" applyNumberFormat="1" applyFont="1" applyFill="1" applyBorder="1" applyAlignment="1">
      <alignment horizontal="center" vertical="center"/>
    </xf>
    <xf numFmtId="0" fontId="48" fillId="0" borderId="76" xfId="0" applyFont="1" applyBorder="1" applyAlignment="1">
      <alignment vertical="center"/>
    </xf>
    <xf numFmtId="0" fontId="57" fillId="0" borderId="77" xfId="0" applyFont="1" applyBorder="1" applyAlignment="1">
      <alignment vertical="center"/>
    </xf>
    <xf numFmtId="0" fontId="47" fillId="0" borderId="78" xfId="0" applyFont="1" applyBorder="1" applyAlignment="1">
      <alignment vertical="center"/>
    </xf>
    <xf numFmtId="0" fontId="47" fillId="0" borderId="79" xfId="0" applyFont="1" applyBorder="1" applyAlignment="1">
      <alignment vertical="center"/>
    </xf>
    <xf numFmtId="0" fontId="127" fillId="0" borderId="79" xfId="0" applyFont="1" applyBorder="1" applyAlignment="1">
      <alignment vertical="center"/>
    </xf>
    <xf numFmtId="0" fontId="47" fillId="0" borderId="80" xfId="0" applyFont="1" applyBorder="1" applyAlignment="1">
      <alignment vertical="center"/>
    </xf>
    <xf numFmtId="0" fontId="47" fillId="0" borderId="81" xfId="0" applyFont="1" applyBorder="1" applyAlignment="1">
      <alignment vertical="center"/>
    </xf>
    <xf numFmtId="0" fontId="127" fillId="0" borderId="81" xfId="0" applyFont="1" applyBorder="1" applyAlignment="1">
      <alignment vertical="center"/>
    </xf>
    <xf numFmtId="0" fontId="170" fillId="31" borderId="82" xfId="0" applyFont="1" applyFill="1" applyBorder="1" applyAlignment="1">
      <alignment horizontal="center" vertical="center"/>
    </xf>
    <xf numFmtId="0" fontId="170" fillId="31" borderId="83" xfId="0" applyFont="1" applyFill="1" applyBorder="1" applyAlignment="1">
      <alignment horizontal="center" vertical="center"/>
    </xf>
    <xf numFmtId="0" fontId="69" fillId="35" borderId="84" xfId="0" applyFont="1" applyFill="1" applyBorder="1" applyAlignment="1">
      <alignment horizontal="center" vertical="center"/>
    </xf>
    <xf numFmtId="0" fontId="69" fillId="35" borderId="85" xfId="0" applyFont="1" applyFill="1" applyBorder="1" applyAlignment="1">
      <alignment horizontal="center" vertical="center"/>
    </xf>
    <xf numFmtId="0" fontId="69" fillId="35" borderId="86" xfId="0" applyFont="1" applyFill="1" applyBorder="1" applyAlignment="1">
      <alignment horizontal="center" vertical="center"/>
    </xf>
    <xf numFmtId="0" fontId="69" fillId="35" borderId="87" xfId="0" applyFont="1" applyFill="1" applyBorder="1" applyAlignment="1">
      <alignment horizontal="center" vertical="center"/>
    </xf>
    <xf numFmtId="0" fontId="69" fillId="35" borderId="88" xfId="0" applyFont="1" applyFill="1" applyBorder="1" applyAlignment="1">
      <alignment horizontal="center" vertical="center"/>
    </xf>
    <xf numFmtId="0" fontId="69" fillId="35" borderId="89" xfId="0" applyFont="1" applyFill="1" applyBorder="1" applyAlignment="1">
      <alignment horizontal="center" vertical="center"/>
    </xf>
    <xf numFmtId="0" fontId="69" fillId="35" borderId="90" xfId="0" applyFont="1" applyFill="1" applyBorder="1" applyAlignment="1">
      <alignment horizontal="center" vertical="center"/>
    </xf>
    <xf numFmtId="0" fontId="69" fillId="35" borderId="91" xfId="0" applyFont="1" applyFill="1" applyBorder="1" applyAlignment="1">
      <alignment horizontal="center" vertical="center"/>
    </xf>
    <xf numFmtId="0" fontId="69" fillId="35"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0" fillId="14" borderId="23" xfId="0" applyFont="1" applyFill="1" applyBorder="1" applyAlignment="1">
      <alignment vertical="center"/>
    </xf>
    <xf numFmtId="0" fontId="174" fillId="14" borderId="23" xfId="0" applyFont="1" applyFill="1" applyBorder="1" applyAlignment="1">
      <alignment vertical="center"/>
    </xf>
    <xf numFmtId="0" fontId="7" fillId="14" borderId="23" xfId="0" applyFont="1" applyFill="1" applyBorder="1" applyAlignment="1">
      <alignment vertical="center"/>
    </xf>
    <xf numFmtId="0" fontId="69"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0" fillId="0" borderId="23" xfId="0" applyNumberFormat="1" applyFont="1" applyBorder="1" applyAlignment="1">
      <alignment horizontal="center" vertical="center"/>
    </xf>
    <xf numFmtId="0" fontId="127" fillId="14" borderId="23" xfId="0" applyFont="1" applyFill="1" applyBorder="1" applyAlignment="1">
      <alignment horizontal="center" vertical="center"/>
    </xf>
    <xf numFmtId="0" fontId="128" fillId="14" borderId="23" xfId="0" applyFont="1" applyFill="1" applyBorder="1" applyAlignment="1">
      <alignment horizontal="center" vertical="center"/>
    </xf>
    <xf numFmtId="1" fontId="127" fillId="14" borderId="23" xfId="0" applyNumberFormat="1" applyFont="1" applyFill="1" applyBorder="1" applyAlignment="1">
      <alignment horizontal="center" vertical="center"/>
    </xf>
    <xf numFmtId="164" fontId="127" fillId="14" borderId="23" xfId="0" applyNumberFormat="1" applyFont="1" applyFill="1" applyBorder="1" applyAlignment="1">
      <alignment horizontal="center" vertical="center"/>
    </xf>
    <xf numFmtId="164" fontId="69" fillId="14" borderId="23" xfId="0" applyNumberFormat="1" applyFont="1" applyFill="1" applyBorder="1" applyAlignment="1">
      <alignment horizontal="center" vertical="center"/>
    </xf>
    <xf numFmtId="166" fontId="127" fillId="14" borderId="23" xfId="0" applyNumberFormat="1" applyFont="1" applyFill="1" applyBorder="1" applyAlignment="1">
      <alignment horizontal="center" vertical="center"/>
    </xf>
    <xf numFmtId="164" fontId="145" fillId="14" borderId="23" xfId="0" applyNumberFormat="1" applyFont="1" applyFill="1" applyBorder="1" applyAlignment="1">
      <alignment horizontal="center" vertical="center"/>
    </xf>
    <xf numFmtId="3" fontId="174"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0" fillId="0" borderId="23" xfId="0" applyFont="1" applyBorder="1" applyAlignment="1">
      <alignment vertical="center"/>
    </xf>
    <xf numFmtId="0" fontId="127" fillId="0" borderId="34" xfId="0" applyFont="1" applyBorder="1" applyAlignment="1">
      <alignment horizontal="left" vertical="center"/>
    </xf>
    <xf numFmtId="0" fontId="127" fillId="0" borderId="34" xfId="0" applyFont="1" applyBorder="1" applyAlignment="1">
      <alignment horizontal="center" vertical="center"/>
    </xf>
    <xf numFmtId="3" fontId="127" fillId="0" borderId="34" xfId="0" applyNumberFormat="1" applyFont="1" applyBorder="1" applyAlignment="1">
      <alignment horizontal="center" vertical="center"/>
    </xf>
    <xf numFmtId="0" fontId="128" fillId="0" borderId="57" xfId="0" applyFont="1" applyBorder="1" applyAlignment="1">
      <alignment vertical="center"/>
    </xf>
    <xf numFmtId="0" fontId="105" fillId="0" borderId="57" xfId="0" applyFont="1" applyBorder="1" applyAlignment="1">
      <alignment horizontal="left" vertical="center"/>
    </xf>
    <xf numFmtId="0" fontId="127" fillId="0" borderId="57" xfId="0" applyFont="1" applyBorder="1" applyAlignment="1">
      <alignment horizontal="left" vertical="center"/>
    </xf>
    <xf numFmtId="0" fontId="145" fillId="31" borderId="57" xfId="0" applyFont="1" applyFill="1" applyBorder="1" applyAlignment="1">
      <alignment horizontal="right" vertical="center"/>
    </xf>
    <xf numFmtId="0" fontId="69" fillId="31" borderId="57" xfId="0" applyFont="1" applyFill="1" applyBorder="1" applyAlignment="1">
      <alignment horizontal="left" vertical="center"/>
    </xf>
    <xf numFmtId="0" fontId="69" fillId="31" borderId="58" xfId="0" applyFont="1" applyFill="1" applyBorder="1" applyAlignment="1">
      <alignment horizontal="left" vertical="center"/>
    </xf>
    <xf numFmtId="0" fontId="127" fillId="0" borderId="59" xfId="0" applyFont="1" applyBorder="1" applyAlignment="1">
      <alignment vertical="center"/>
    </xf>
    <xf numFmtId="166" fontId="127" fillId="0" borderId="60" xfId="0" applyNumberFormat="1" applyFont="1" applyBorder="1" applyAlignment="1">
      <alignment horizontal="center" vertical="center"/>
    </xf>
    <xf numFmtId="0" fontId="70" fillId="0" borderId="59" xfId="0" applyFont="1" applyBorder="1" applyAlignment="1">
      <alignment vertical="center"/>
    </xf>
    <xf numFmtId="9" fontId="127" fillId="0" borderId="59" xfId="0" applyNumberFormat="1" applyFont="1" applyBorder="1" applyAlignment="1">
      <alignment vertical="center"/>
    </xf>
    <xf numFmtId="9" fontId="127" fillId="0" borderId="60" xfId="0" applyNumberFormat="1" applyFont="1" applyBorder="1" applyAlignment="1">
      <alignment horizontal="center" vertical="center"/>
    </xf>
    <xf numFmtId="0" fontId="69" fillId="0" borderId="59" xfId="0" applyFont="1" applyBorder="1" applyAlignment="1">
      <alignment vertical="center"/>
    </xf>
    <xf numFmtId="164" fontId="69" fillId="0" borderId="60" xfId="0" applyNumberFormat="1" applyFont="1" applyBorder="1" applyAlignment="1">
      <alignment horizontal="center" vertical="center"/>
    </xf>
    <xf numFmtId="164" fontId="127" fillId="0" borderId="60" xfId="0" applyNumberFormat="1" applyFont="1" applyBorder="1" applyAlignment="1">
      <alignment horizontal="center" vertical="center"/>
    </xf>
    <xf numFmtId="0" fontId="127" fillId="0" borderId="60" xfId="0" applyFont="1" applyBorder="1" applyAlignment="1">
      <alignment horizontal="center" vertical="center"/>
    </xf>
    <xf numFmtId="164" fontId="145" fillId="0" borderId="60" xfId="0" applyNumberFormat="1" applyFont="1" applyBorder="1" applyAlignment="1">
      <alignment horizontal="center" vertical="center"/>
    </xf>
    <xf numFmtId="0" fontId="145" fillId="0" borderId="59" xfId="0" applyFont="1" applyBorder="1" applyAlignment="1">
      <alignment vertical="center"/>
    </xf>
    <xf numFmtId="0" fontId="145" fillId="0" borderId="60" xfId="0" applyFont="1" applyBorder="1" applyAlignment="1">
      <alignment vertical="center"/>
    </xf>
    <xf numFmtId="0" fontId="69" fillId="0" borderId="60" xfId="0" applyFont="1" applyBorder="1" applyAlignment="1">
      <alignment vertical="center"/>
    </xf>
    <xf numFmtId="0" fontId="69" fillId="0" borderId="61" xfId="0" applyFont="1" applyBorder="1" applyAlignment="1">
      <alignment vertical="center"/>
    </xf>
    <xf numFmtId="177" fontId="69" fillId="0" borderId="62" xfId="0" applyNumberFormat="1" applyFont="1" applyBorder="1" applyAlignment="1">
      <alignment horizontal="center" vertical="center"/>
    </xf>
    <xf numFmtId="0" fontId="69" fillId="0" borderId="63" xfId="0" applyFont="1" applyBorder="1" applyAlignment="1">
      <alignment vertical="center"/>
    </xf>
    <xf numFmtId="0" fontId="128" fillId="0" borderId="59" xfId="0" applyFont="1" applyBorder="1" applyAlignment="1">
      <alignment horizontal="center" vertical="center"/>
    </xf>
    <xf numFmtId="0" fontId="69" fillId="0" borderId="59" xfId="0" applyFont="1" applyBorder="1" applyAlignment="1">
      <alignment horizontal="center" vertical="center"/>
    </xf>
    <xf numFmtId="0" fontId="69" fillId="0" borderId="60" xfId="0" applyFont="1" applyBorder="1" applyAlignment="1">
      <alignment horizontal="center" vertical="center"/>
    </xf>
    <xf numFmtId="0" fontId="128" fillId="0" borderId="60" xfId="0" applyFont="1" applyBorder="1" applyAlignment="1">
      <alignment horizontal="center" vertical="center"/>
    </xf>
    <xf numFmtId="1" fontId="127" fillId="0" borderId="60" xfId="0" applyNumberFormat="1" applyFont="1" applyBorder="1" applyAlignment="1">
      <alignment horizontal="center" vertical="center"/>
    </xf>
    <xf numFmtId="0" fontId="127" fillId="0" borderId="59" xfId="0" applyFont="1" applyBorder="1" applyAlignment="1">
      <alignment horizontal="center" vertical="center"/>
    </xf>
    <xf numFmtId="1" fontId="127" fillId="0" borderId="59" xfId="0" applyNumberFormat="1" applyFont="1" applyBorder="1" applyAlignment="1">
      <alignment horizontal="center" vertical="center"/>
    </xf>
    <xf numFmtId="0" fontId="128" fillId="0" borderId="60" xfId="0" applyFont="1" applyBorder="1" applyAlignment="1">
      <alignment vertical="center"/>
    </xf>
    <xf numFmtId="0" fontId="70" fillId="0" borderId="60" xfId="0" applyFont="1" applyBorder="1" applyAlignment="1">
      <alignment vertical="center"/>
    </xf>
    <xf numFmtId="0" fontId="50" fillId="0" borderId="60" xfId="0" applyFont="1" applyBorder="1" applyAlignment="1">
      <alignment vertical="center"/>
    </xf>
    <xf numFmtId="177" fontId="69" fillId="18" borderId="62" xfId="0" applyNumberFormat="1" applyFont="1" applyFill="1" applyBorder="1" applyAlignment="1">
      <alignment horizontal="center" vertical="center"/>
    </xf>
    <xf numFmtId="3" fontId="145" fillId="0" borderId="48" xfId="0" applyNumberFormat="1" applyFont="1" applyBorder="1" applyAlignment="1">
      <alignment horizontal="center" vertical="center"/>
    </xf>
    <xf numFmtId="164" fontId="145" fillId="0" borderId="69" xfId="0" applyNumberFormat="1" applyFont="1" applyBorder="1" applyAlignment="1">
      <alignment horizontal="center" vertical="center"/>
    </xf>
    <xf numFmtId="164" fontId="145" fillId="0" borderId="67" xfId="0" applyNumberFormat="1" applyFont="1" applyBorder="1" applyAlignment="1">
      <alignment horizontal="center" vertical="center"/>
    </xf>
    <xf numFmtId="3" fontId="145" fillId="18" borderId="30" xfId="0" applyNumberFormat="1" applyFont="1" applyFill="1" applyBorder="1" applyAlignment="1">
      <alignment horizontal="center" vertical="center"/>
    </xf>
    <xf numFmtId="0" fontId="145" fillId="0" borderId="67" xfId="0" applyFont="1" applyBorder="1" applyAlignment="1">
      <alignment vertical="center"/>
    </xf>
    <xf numFmtId="178" fontId="145" fillId="0" borderId="48" xfId="0" applyNumberFormat="1" applyFont="1" applyBorder="1" applyAlignment="1">
      <alignment horizontal="center" vertical="center"/>
    </xf>
    <xf numFmtId="0" fontId="145" fillId="0" borderId="69" xfId="0" applyFont="1" applyBorder="1" applyAlignment="1">
      <alignment vertical="center"/>
    </xf>
    <xf numFmtId="0" fontId="145" fillId="0" borderId="66" xfId="0" applyFont="1" applyBorder="1" applyAlignment="1">
      <alignment vertical="center"/>
    </xf>
    <xf numFmtId="166" fontId="70" fillId="0" borderId="61" xfId="0" applyNumberFormat="1" applyFont="1" applyBorder="1" applyAlignment="1">
      <alignment horizontal="center" vertical="center"/>
    </xf>
    <xf numFmtId="0" fontId="50" fillId="0" borderId="63" xfId="0" applyFont="1" applyBorder="1" applyAlignment="1">
      <alignment horizontal="center" vertical="center"/>
    </xf>
    <xf numFmtId="9" fontId="70" fillId="0" borderId="61" xfId="0" applyNumberFormat="1" applyFont="1" applyBorder="1" applyAlignment="1">
      <alignment horizontal="center" vertical="center"/>
    </xf>
    <xf numFmtId="0" fontId="145" fillId="0" borderId="23" xfId="0" applyFont="1" applyBorder="1" applyAlignment="1">
      <alignment horizontal="center" vertical="center"/>
    </xf>
    <xf numFmtId="0" fontId="145" fillId="0" borderId="0" xfId="0" applyFont="1" applyAlignment="1">
      <alignment horizontal="center" vertical="center"/>
    </xf>
    <xf numFmtId="0" fontId="24" fillId="35" borderId="87" xfId="0" applyFont="1" applyFill="1" applyBorder="1" applyAlignment="1">
      <alignment horizontal="center" vertical="center"/>
    </xf>
    <xf numFmtId="0" fontId="24" fillId="35" borderId="88" xfId="0" applyFont="1" applyFill="1" applyBorder="1" applyAlignment="1">
      <alignment horizontal="center" vertical="center"/>
    </xf>
    <xf numFmtId="0" fontId="24" fillId="35" borderId="89" xfId="0" applyFont="1" applyFill="1" applyBorder="1" applyAlignment="1">
      <alignment horizontal="center" vertical="center"/>
    </xf>
    <xf numFmtId="0" fontId="24" fillId="35" borderId="90" xfId="0" applyFont="1" applyFill="1" applyBorder="1" applyAlignment="1">
      <alignment horizontal="center" vertical="center"/>
    </xf>
    <xf numFmtId="0" fontId="24" fillId="35" borderId="91" xfId="0" applyFont="1" applyFill="1" applyBorder="1" applyAlignment="1">
      <alignment horizontal="center" vertical="center"/>
    </xf>
    <xf numFmtId="0" fontId="24" fillId="35" borderId="92" xfId="0" applyFont="1" applyFill="1" applyBorder="1" applyAlignment="1">
      <alignment horizontal="center" vertical="center"/>
    </xf>
    <xf numFmtId="0" fontId="47" fillId="0" borderId="23" xfId="0" applyFont="1" applyBorder="1" applyAlignment="1">
      <alignment vertical="center"/>
    </xf>
    <xf numFmtId="0" fontId="48" fillId="0" borderId="78" xfId="0" applyFont="1" applyBorder="1" applyAlignment="1">
      <alignment vertical="center"/>
    </xf>
    <xf numFmtId="0" fontId="128" fillId="0" borderId="79" xfId="0" applyFont="1" applyBorder="1" applyAlignment="1">
      <alignment vertical="center"/>
    </xf>
    <xf numFmtId="0" fontId="173" fillId="34" borderId="61" xfId="0" applyFont="1" applyFill="1" applyBorder="1" applyAlignment="1">
      <alignment horizontal="center" vertical="center"/>
    </xf>
    <xf numFmtId="0" fontId="75" fillId="34" borderId="62" xfId="0" applyFont="1" applyFill="1" applyBorder="1" applyAlignment="1">
      <alignment horizontal="center" vertical="center"/>
    </xf>
    <xf numFmtId="0" fontId="173" fillId="34" borderId="62" xfId="0" applyFont="1" applyFill="1" applyBorder="1" applyAlignment="1">
      <alignment horizontal="center" vertical="center"/>
    </xf>
    <xf numFmtId="0" fontId="145" fillId="14" borderId="97" xfId="0" applyFont="1" applyFill="1" applyBorder="1" applyAlignment="1">
      <alignment vertical="center"/>
    </xf>
    <xf numFmtId="0" fontId="173" fillId="34" borderId="63" xfId="0" applyFont="1" applyFill="1" applyBorder="1" applyAlignment="1">
      <alignment horizontal="center" vertical="center"/>
    </xf>
    <xf numFmtId="0" fontId="174" fillId="0" borderId="23" xfId="0" applyFont="1" applyBorder="1" applyAlignment="1">
      <alignment vertical="center"/>
    </xf>
    <xf numFmtId="0" fontId="128" fillId="0" borderId="41" xfId="0" applyFont="1" applyBorder="1" applyAlignment="1">
      <alignment vertical="center"/>
    </xf>
    <xf numFmtId="0" fontId="127" fillId="0" borderId="44" xfId="0" applyFont="1" applyBorder="1" applyAlignment="1">
      <alignment vertical="center"/>
    </xf>
    <xf numFmtId="0" fontId="145" fillId="0" borderId="78" xfId="0" applyFont="1" applyBorder="1" applyAlignment="1">
      <alignment vertical="center"/>
    </xf>
    <xf numFmtId="0" fontId="145" fillId="0" borderId="79" xfId="0" applyFont="1" applyBorder="1" applyAlignment="1">
      <alignment vertical="center"/>
    </xf>
    <xf numFmtId="9" fontId="70" fillId="0" borderId="59" xfId="0" applyNumberFormat="1" applyFont="1" applyBorder="1" applyAlignment="1">
      <alignment horizontal="center" vertical="center"/>
    </xf>
    <xf numFmtId="165" fontId="70" fillId="0" borderId="59" xfId="0" applyNumberFormat="1" applyFont="1" applyBorder="1" applyAlignment="1">
      <alignment horizontal="center" vertical="center"/>
    </xf>
    <xf numFmtId="167" fontId="70" fillId="0" borderId="59" xfId="0" applyNumberFormat="1" applyFont="1" applyBorder="1" applyAlignment="1">
      <alignment horizontal="center" vertical="center"/>
    </xf>
    <xf numFmtId="0" fontId="70" fillId="0" borderId="59" xfId="0" applyFont="1" applyBorder="1" applyAlignment="1">
      <alignment horizontal="center" vertical="center"/>
    </xf>
    <xf numFmtId="9" fontId="47" fillId="0" borderId="59" xfId="0" applyNumberFormat="1" applyFont="1" applyBorder="1" applyAlignment="1">
      <alignment horizontal="center" vertical="center"/>
    </xf>
    <xf numFmtId="164" fontId="47" fillId="0" borderId="59" xfId="0" applyNumberFormat="1" applyFont="1" applyBorder="1" applyAlignment="1">
      <alignment horizontal="center" vertical="center"/>
    </xf>
    <xf numFmtId="164" fontId="70" fillId="0" borderId="59" xfId="0" applyNumberFormat="1" applyFont="1" applyBorder="1" applyAlignment="1">
      <alignment horizontal="center" vertical="center"/>
    </xf>
    <xf numFmtId="166" fontId="47" fillId="0" borderId="59" xfId="0" applyNumberFormat="1" applyFont="1" applyBorder="1" applyAlignment="1">
      <alignment horizontal="center" vertical="center"/>
    </xf>
    <xf numFmtId="0" fontId="47" fillId="0" borderId="59" xfId="0" applyFont="1" applyBorder="1" applyAlignment="1">
      <alignment horizontal="center" vertical="center"/>
    </xf>
    <xf numFmtId="0" fontId="50" fillId="0" borderId="59" xfId="0" applyFont="1" applyBorder="1" applyAlignment="1">
      <alignment vertical="center"/>
    </xf>
    <xf numFmtId="0" fontId="127" fillId="0" borderId="76" xfId="0" applyFont="1" applyBorder="1" applyAlignment="1">
      <alignment horizontal="right" vertical="center"/>
    </xf>
    <xf numFmtId="0" fontId="145" fillId="31" borderId="98" xfId="0" applyFont="1" applyFill="1" applyBorder="1" applyAlignment="1">
      <alignment horizontal="center" vertical="center"/>
    </xf>
    <xf numFmtId="0" fontId="180" fillId="14" borderId="23" xfId="0" applyFont="1" applyFill="1" applyBorder="1" applyAlignment="1">
      <alignment horizontal="center" vertical="center"/>
    </xf>
    <xf numFmtId="0" fontId="145" fillId="30" borderId="93" xfId="0" applyFont="1" applyFill="1" applyBorder="1" applyAlignment="1">
      <alignment horizontal="center" vertical="center"/>
    </xf>
    <xf numFmtId="0" fontId="173" fillId="14" borderId="0" xfId="0" applyFont="1" applyFill="1" applyAlignment="1">
      <alignment vertical="center"/>
    </xf>
    <xf numFmtId="0" fontId="145" fillId="18" borderId="93" xfId="0" applyFont="1" applyFill="1" applyBorder="1" applyAlignment="1">
      <alignment horizontal="center" vertical="center"/>
    </xf>
    <xf numFmtId="0" fontId="145" fillId="42" borderId="0" xfId="0" applyFont="1" applyFill="1" applyAlignment="1">
      <alignment horizontal="center" vertical="center"/>
    </xf>
    <xf numFmtId="0" fontId="145" fillId="18" borderId="0" xfId="0" applyFont="1" applyFill="1" applyAlignment="1">
      <alignment horizontal="center" vertical="center"/>
    </xf>
    <xf numFmtId="0" fontId="180" fillId="0" borderId="0" xfId="0" applyFont="1"/>
    <xf numFmtId="0" fontId="70" fillId="0" borderId="102" xfId="0" applyFont="1" applyBorder="1"/>
    <xf numFmtId="0" fontId="70" fillId="0" borderId="103" xfId="0" applyFont="1" applyBorder="1"/>
    <xf numFmtId="0" fontId="70" fillId="0" borderId="104" xfId="0" applyFont="1" applyBorder="1"/>
    <xf numFmtId="0" fontId="70" fillId="0" borderId="105" xfId="0" applyFont="1" applyBorder="1"/>
    <xf numFmtId="0" fontId="75" fillId="36" borderId="106" xfId="0" applyFont="1" applyFill="1" applyBorder="1" applyAlignment="1">
      <alignment horizontal="left" vertical="center"/>
    </xf>
    <xf numFmtId="0" fontId="145" fillId="30" borderId="107" xfId="0" applyFont="1" applyFill="1" applyBorder="1" applyAlignment="1">
      <alignment horizontal="center" vertical="center"/>
    </xf>
    <xf numFmtId="0" fontId="180" fillId="0" borderId="0" xfId="0" applyFont="1" applyAlignment="1">
      <alignment horizontal="center" vertical="center"/>
    </xf>
    <xf numFmtId="0" fontId="170" fillId="14" borderId="0" xfId="0" applyFont="1" applyFill="1" applyAlignment="1">
      <alignment horizontal="center" vertical="center"/>
    </xf>
    <xf numFmtId="0" fontId="170" fillId="0" borderId="0" xfId="0" applyFont="1" applyAlignment="1">
      <alignment horizontal="center" vertical="center"/>
    </xf>
    <xf numFmtId="0" fontId="178" fillId="0" borderId="0" xfId="0" applyFont="1" applyAlignment="1">
      <alignment horizontal="center"/>
    </xf>
    <xf numFmtId="9" fontId="50" fillId="0" borderId="63" xfId="1" applyFont="1" applyBorder="1" applyAlignment="1">
      <alignment horizontal="center" vertical="center"/>
    </xf>
    <xf numFmtId="0" fontId="182" fillId="36" borderId="52" xfId="0" applyFont="1" applyFill="1" applyBorder="1" applyAlignment="1">
      <alignment horizontal="left" vertical="center"/>
    </xf>
    <xf numFmtId="3" fontId="182" fillId="0" borderId="49" xfId="0" applyNumberFormat="1" applyFont="1" applyBorder="1" applyAlignment="1">
      <alignment horizontal="center" vertical="center"/>
    </xf>
    <xf numFmtId="0" fontId="69" fillId="16" borderId="49" xfId="0" applyFont="1" applyFill="1" applyBorder="1" applyAlignment="1">
      <alignment horizontal="right" vertical="center"/>
    </xf>
    <xf numFmtId="0" fontId="180" fillId="39" borderId="0" xfId="0" applyFont="1" applyFill="1" applyAlignment="1">
      <alignment vertical="center"/>
    </xf>
    <xf numFmtId="0" fontId="25" fillId="39" borderId="0" xfId="0" applyFont="1" applyFill="1" applyAlignment="1">
      <alignment vertical="center"/>
    </xf>
    <xf numFmtId="0" fontId="174" fillId="39" borderId="0" xfId="0" applyFont="1" applyFill="1" applyAlignment="1">
      <alignment vertical="center"/>
    </xf>
    <xf numFmtId="2" fontId="129" fillId="0" borderId="49" xfId="0" applyNumberFormat="1" applyFont="1" applyBorder="1" applyAlignment="1">
      <alignment horizontal="center" vertical="center"/>
    </xf>
    <xf numFmtId="167" fontId="180" fillId="0" borderId="0" xfId="0" applyNumberFormat="1" applyFont="1" applyAlignment="1">
      <alignment horizontal="center" vertical="center"/>
    </xf>
    <xf numFmtId="0" fontId="174" fillId="0" borderId="0" xfId="0" applyFont="1" applyAlignment="1">
      <alignment horizontal="center" vertical="center"/>
    </xf>
    <xf numFmtId="9" fontId="174" fillId="0" borderId="0" xfId="0" applyNumberFormat="1" applyFont="1" applyAlignment="1">
      <alignment horizontal="center" vertical="center"/>
    </xf>
    <xf numFmtId="0" fontId="36" fillId="6" borderId="23" xfId="0" applyFont="1" applyFill="1" applyBorder="1" applyAlignment="1">
      <alignment horizontal="center" vertical="center"/>
    </xf>
    <xf numFmtId="165" fontId="36" fillId="6" borderId="23" xfId="0" applyNumberFormat="1" applyFont="1" applyFill="1" applyBorder="1" applyAlignment="1">
      <alignment horizontal="center" vertical="center"/>
    </xf>
    <xf numFmtId="0" fontId="184" fillId="0" borderId="0" xfId="0" applyFont="1"/>
    <xf numFmtId="0" fontId="184" fillId="0" borderId="0" xfId="0" applyFont="1" applyAlignment="1">
      <alignment vertical="center"/>
    </xf>
    <xf numFmtId="3" fontId="185" fillId="18" borderId="30" xfId="0" applyNumberFormat="1" applyFont="1" applyFill="1" applyBorder="1" applyAlignment="1">
      <alignment horizontal="center" vertical="center"/>
    </xf>
    <xf numFmtId="0" fontId="185" fillId="0" borderId="0" xfId="0" applyFont="1" applyAlignment="1">
      <alignment horizontal="center" vertical="center"/>
    </xf>
    <xf numFmtId="0" fontId="185" fillId="0" borderId="0" xfId="0" applyFont="1" applyAlignment="1">
      <alignment vertical="center"/>
    </xf>
    <xf numFmtId="0" fontId="187" fillId="0" borderId="0" xfId="0" applyFont="1"/>
    <xf numFmtId="178" fontId="185" fillId="18" borderId="30" xfId="0" applyNumberFormat="1" applyFont="1" applyFill="1" applyBorder="1" applyAlignment="1">
      <alignment horizontal="center" vertical="center"/>
    </xf>
    <xf numFmtId="0" fontId="187" fillId="14" borderId="0" xfId="0" applyFont="1" applyFill="1" applyAlignment="1">
      <alignment vertical="center"/>
    </xf>
    <xf numFmtId="9" fontId="187" fillId="0" borderId="0" xfId="0" applyNumberFormat="1" applyFont="1" applyAlignment="1">
      <alignment horizontal="center" vertical="center"/>
    </xf>
    <xf numFmtId="0" fontId="187" fillId="0" borderId="0" xfId="0" applyFont="1" applyAlignment="1">
      <alignment vertical="center"/>
    </xf>
    <xf numFmtId="0" fontId="187" fillId="9" borderId="5" xfId="0" applyFont="1" applyFill="1" applyBorder="1" applyAlignment="1">
      <alignment horizontal="left" vertical="center"/>
    </xf>
    <xf numFmtId="0" fontId="187" fillId="9" borderId="5" xfId="0" applyFont="1" applyFill="1" applyBorder="1" applyAlignment="1">
      <alignment horizontal="center" vertical="center"/>
    </xf>
    <xf numFmtId="0" fontId="184" fillId="0" borderId="0" xfId="0" applyFont="1" applyAlignment="1">
      <alignment horizontal="center" vertical="center"/>
    </xf>
    <xf numFmtId="0" fontId="187" fillId="0" borderId="0" xfId="0" applyFont="1" applyAlignment="1">
      <alignment horizontal="center" vertical="center"/>
    </xf>
    <xf numFmtId="3" fontId="180" fillId="9" borderId="5" xfId="0" applyNumberFormat="1" applyFont="1" applyFill="1" applyBorder="1" applyAlignment="1">
      <alignment horizontal="center" vertical="center"/>
    </xf>
    <xf numFmtId="1" fontId="180" fillId="9" borderId="5" xfId="0" applyNumberFormat="1" applyFont="1" applyFill="1" applyBorder="1" applyAlignment="1">
      <alignment horizontal="center" vertical="center"/>
    </xf>
    <xf numFmtId="178" fontId="184" fillId="18" borderId="30" xfId="0" applyNumberFormat="1" applyFont="1" applyFill="1" applyBorder="1" applyAlignment="1">
      <alignment horizontal="center" vertical="center"/>
    </xf>
    <xf numFmtId="0" fontId="88" fillId="14" borderId="0" xfId="0" applyFont="1" applyFill="1" applyAlignment="1">
      <alignment vertical="center"/>
    </xf>
    <xf numFmtId="9" fontId="69" fillId="0" borderId="60" xfId="1" applyFont="1" applyBorder="1" applyAlignment="1">
      <alignment horizontal="center" vertical="center"/>
    </xf>
    <xf numFmtId="9" fontId="70" fillId="0" borderId="60" xfId="1" applyFont="1" applyBorder="1" applyAlignment="1">
      <alignment vertical="center"/>
    </xf>
    <xf numFmtId="0" fontId="37" fillId="14" borderId="23" xfId="0" applyFont="1" applyFill="1" applyBorder="1" applyAlignment="1">
      <alignment vertical="center"/>
    </xf>
    <xf numFmtId="0" fontId="185" fillId="14" borderId="23" xfId="0" applyFont="1" applyFill="1" applyBorder="1" applyAlignment="1">
      <alignment vertical="center"/>
    </xf>
    <xf numFmtId="0" fontId="184" fillId="14" borderId="23" xfId="0" applyFont="1" applyFill="1" applyBorder="1" applyAlignment="1">
      <alignment vertical="center"/>
    </xf>
    <xf numFmtId="164" fontId="37" fillId="14" borderId="23" xfId="0" applyNumberFormat="1" applyFont="1" applyFill="1" applyBorder="1" applyAlignment="1">
      <alignment horizontal="center" vertical="center"/>
    </xf>
    <xf numFmtId="164" fontId="36" fillId="14" borderId="23" xfId="0" applyNumberFormat="1" applyFont="1" applyFill="1" applyBorder="1" applyAlignment="1">
      <alignment horizontal="center" vertical="center"/>
    </xf>
    <xf numFmtId="0" fontId="37" fillId="14" borderId="23" xfId="0" applyFont="1" applyFill="1" applyBorder="1" applyAlignment="1">
      <alignment horizontal="center" vertical="center"/>
    </xf>
    <xf numFmtId="164" fontId="185" fillId="14" borderId="23" xfId="0" applyNumberFormat="1" applyFont="1" applyFill="1" applyBorder="1" applyAlignment="1">
      <alignment horizontal="center" vertical="center"/>
    </xf>
    <xf numFmtId="0" fontId="37" fillId="6" borderId="23" xfId="0" applyFont="1" applyFill="1" applyBorder="1" applyAlignment="1">
      <alignment horizontal="center" vertical="center"/>
    </xf>
    <xf numFmtId="0" fontId="37" fillId="0" borderId="23" xfId="0" applyFont="1" applyBorder="1" applyAlignment="1">
      <alignment horizontal="center" vertical="center"/>
    </xf>
    <xf numFmtId="0" fontId="185" fillId="0" borderId="23" xfId="0" applyFont="1" applyBorder="1" applyAlignment="1">
      <alignment horizontal="center" vertical="center"/>
    </xf>
    <xf numFmtId="0" fontId="184" fillId="0" borderId="23" xfId="0" applyFont="1" applyBorder="1" applyAlignment="1">
      <alignment horizontal="center" vertical="center"/>
    </xf>
    <xf numFmtId="0" fontId="38" fillId="0" borderId="57" xfId="0" applyFont="1" applyBorder="1" applyAlignment="1">
      <alignment horizontal="left" vertical="center"/>
    </xf>
    <xf numFmtId="0" fontId="36" fillId="0" borderId="57" xfId="0" applyFont="1" applyBorder="1" applyAlignment="1">
      <alignment horizontal="left" vertical="center"/>
    </xf>
    <xf numFmtId="0" fontId="186" fillId="31" borderId="57" xfId="0" applyFont="1" applyFill="1" applyBorder="1" applyAlignment="1">
      <alignment horizontal="right" vertical="center"/>
    </xf>
    <xf numFmtId="0" fontId="181" fillId="31" borderId="57" xfId="0" applyFont="1" applyFill="1" applyBorder="1" applyAlignment="1">
      <alignment horizontal="left" vertical="center"/>
    </xf>
    <xf numFmtId="0" fontId="181" fillId="31" borderId="58" xfId="0" applyFont="1" applyFill="1" applyBorder="1" applyAlignment="1">
      <alignment horizontal="left" vertical="center"/>
    </xf>
    <xf numFmtId="0" fontId="45" fillId="0" borderId="59" xfId="0" applyFont="1" applyBorder="1" applyAlignment="1">
      <alignment horizontal="center" vertical="center"/>
    </xf>
    <xf numFmtId="9" fontId="45" fillId="0" borderId="60" xfId="0" applyNumberFormat="1" applyFont="1" applyBorder="1" applyAlignment="1">
      <alignment horizontal="center" vertical="center"/>
    </xf>
    <xf numFmtId="166" fontId="45" fillId="0" borderId="59" xfId="0" applyNumberFormat="1" applyFont="1" applyBorder="1" applyAlignment="1">
      <alignment horizontal="center" vertical="center"/>
    </xf>
    <xf numFmtId="166" fontId="45" fillId="0" borderId="60" xfId="0" applyNumberFormat="1" applyFont="1" applyBorder="1" applyAlignment="1">
      <alignment horizontal="center" vertical="center"/>
    </xf>
    <xf numFmtId="3" fontId="45" fillId="0" borderId="59" xfId="0" applyNumberFormat="1" applyFont="1" applyBorder="1" applyAlignment="1">
      <alignment horizontal="center" vertical="center"/>
    </xf>
    <xf numFmtId="3" fontId="45" fillId="0" borderId="60" xfId="0" applyNumberFormat="1" applyFont="1" applyBorder="1" applyAlignment="1">
      <alignment horizontal="center" vertical="center"/>
    </xf>
    <xf numFmtId="168" fontId="45" fillId="0" borderId="60" xfId="0" applyNumberFormat="1" applyFont="1" applyBorder="1" applyAlignment="1">
      <alignment horizontal="center" vertical="center"/>
    </xf>
    <xf numFmtId="9" fontId="45" fillId="0" borderId="59" xfId="0" applyNumberFormat="1" applyFont="1" applyBorder="1" applyAlignment="1">
      <alignment horizontal="center" vertical="center"/>
    </xf>
    <xf numFmtId="0" fontId="45" fillId="0" borderId="60" xfId="0" applyFont="1" applyBorder="1" applyAlignment="1">
      <alignment horizontal="center" vertical="center"/>
    </xf>
    <xf numFmtId="165" fontId="45" fillId="0" borderId="59" xfId="0" applyNumberFormat="1" applyFont="1" applyBorder="1" applyAlignment="1">
      <alignment horizontal="center" vertical="center"/>
    </xf>
    <xf numFmtId="164" fontId="45" fillId="0" borderId="60" xfId="0" applyNumberFormat="1" applyFont="1" applyBorder="1" applyAlignment="1">
      <alignment horizontal="center" vertical="center"/>
    </xf>
    <xf numFmtId="9" fontId="45" fillId="0" borderId="60" xfId="1" applyFont="1" applyBorder="1" applyAlignment="1">
      <alignment horizontal="center" vertical="center"/>
    </xf>
    <xf numFmtId="9" fontId="25" fillId="0" borderId="60" xfId="0" applyNumberFormat="1" applyFont="1" applyBorder="1" applyAlignment="1">
      <alignment horizontal="center" vertical="center"/>
    </xf>
    <xf numFmtId="0" fontId="174" fillId="0" borderId="59" xfId="0" applyFont="1" applyBorder="1" applyAlignment="1">
      <alignment horizontal="center" vertical="center"/>
    </xf>
    <xf numFmtId="0" fontId="174" fillId="0" borderId="60" xfId="0" applyFont="1" applyBorder="1" applyAlignment="1">
      <alignment horizontal="center" vertical="center"/>
    </xf>
    <xf numFmtId="0" fontId="184" fillId="0" borderId="59" xfId="0" applyFont="1" applyBorder="1" applyAlignment="1">
      <alignment vertical="center"/>
    </xf>
    <xf numFmtId="0" fontId="184" fillId="0" borderId="60" xfId="0" applyFont="1" applyBorder="1" applyAlignment="1">
      <alignment vertical="center"/>
    </xf>
    <xf numFmtId="0" fontId="184" fillId="0" borderId="61" xfId="0" applyFont="1" applyBorder="1" applyAlignment="1">
      <alignment vertical="center"/>
    </xf>
    <xf numFmtId="177" fontId="184" fillId="18" borderId="62" xfId="0" applyNumberFormat="1" applyFont="1" applyFill="1" applyBorder="1" applyAlignment="1">
      <alignment horizontal="center" vertical="center"/>
    </xf>
    <xf numFmtId="0" fontId="184" fillId="0" borderId="63" xfId="0" applyFont="1" applyBorder="1" applyAlignment="1">
      <alignment vertical="center"/>
    </xf>
    <xf numFmtId="164" fontId="45" fillId="0" borderId="59" xfId="0" applyNumberFormat="1" applyFont="1" applyBorder="1" applyAlignment="1">
      <alignment horizontal="center" vertical="center"/>
    </xf>
    <xf numFmtId="9" fontId="45" fillId="0" borderId="59" xfId="1" applyFont="1" applyBorder="1" applyAlignment="1">
      <alignment horizontal="center" vertical="center"/>
    </xf>
    <xf numFmtId="3" fontId="180" fillId="0" borderId="30" xfId="0" applyNumberFormat="1" applyFont="1" applyBorder="1" applyAlignment="1">
      <alignment horizontal="center"/>
    </xf>
    <xf numFmtId="178" fontId="180" fillId="0" borderId="30" xfId="0" applyNumberFormat="1" applyFont="1" applyBorder="1" applyAlignment="1">
      <alignment horizontal="center" vertical="center"/>
    </xf>
    <xf numFmtId="178" fontId="25" fillId="0" borderId="30" xfId="0" applyNumberFormat="1" applyFont="1" applyBorder="1" applyAlignment="1">
      <alignment horizontal="center" vertical="center"/>
    </xf>
    <xf numFmtId="0" fontId="174" fillId="14" borderId="23" xfId="0" applyFont="1" applyFill="1" applyBorder="1"/>
    <xf numFmtId="0" fontId="7" fillId="14" borderId="23" xfId="0" applyFont="1" applyFill="1" applyBorder="1"/>
    <xf numFmtId="0" fontId="180" fillId="14" borderId="23" xfId="0" applyFont="1" applyFill="1" applyBorder="1"/>
    <xf numFmtId="0" fontId="25" fillId="14" borderId="23" xfId="0" applyFont="1" applyFill="1" applyBorder="1"/>
    <xf numFmtId="0" fontId="36" fillId="14" borderId="23" xfId="0" applyFont="1" applyFill="1" applyBorder="1"/>
    <xf numFmtId="0" fontId="37" fillId="14" borderId="23" xfId="0" applyFont="1" applyFill="1" applyBorder="1"/>
    <xf numFmtId="0" fontId="37" fillId="14" borderId="23" xfId="0" applyFont="1" applyFill="1" applyBorder="1" applyAlignment="1">
      <alignment horizontal="center"/>
    </xf>
    <xf numFmtId="164" fontId="36" fillId="14" borderId="23" xfId="0" applyNumberFormat="1" applyFont="1" applyFill="1" applyBorder="1" applyAlignment="1">
      <alignment horizontal="center"/>
    </xf>
    <xf numFmtId="0" fontId="36" fillId="14" borderId="23" xfId="0" applyFont="1" applyFill="1" applyBorder="1" applyAlignment="1">
      <alignment horizontal="center"/>
    </xf>
    <xf numFmtId="164" fontId="37" fillId="14" borderId="23" xfId="0" applyNumberFormat="1" applyFont="1" applyFill="1" applyBorder="1" applyAlignment="1">
      <alignment horizontal="center"/>
    </xf>
    <xf numFmtId="164" fontId="180" fillId="14" borderId="23" xfId="0" applyNumberFormat="1" applyFont="1" applyFill="1" applyBorder="1" applyAlignment="1">
      <alignment horizontal="center"/>
    </xf>
    <xf numFmtId="0" fontId="174" fillId="0" borderId="23" xfId="0" applyFont="1" applyBorder="1"/>
    <xf numFmtId="0" fontId="0" fillId="0" borderId="23" xfId="0" applyBorder="1"/>
    <xf numFmtId="0" fontId="7" fillId="0" borderId="23" xfId="0" applyFont="1" applyBorder="1"/>
    <xf numFmtId="0" fontId="180" fillId="0" borderId="23" xfId="0" applyFont="1" applyBorder="1"/>
    <xf numFmtId="0" fontId="25" fillId="0" borderId="23" xfId="0" applyFont="1" applyBorder="1"/>
    <xf numFmtId="0" fontId="38" fillId="0" borderId="57" xfId="0" applyFont="1" applyBorder="1" applyAlignment="1">
      <alignment horizontal="left"/>
    </xf>
    <xf numFmtId="0" fontId="145" fillId="31" borderId="57" xfId="0" applyFont="1" applyFill="1" applyBorder="1" applyAlignment="1">
      <alignment horizontal="right"/>
    </xf>
    <xf numFmtId="0" fontId="36" fillId="0" borderId="59" xfId="0" applyFont="1" applyBorder="1"/>
    <xf numFmtId="0" fontId="36" fillId="0" borderId="60" xfId="0" applyFont="1" applyBorder="1"/>
    <xf numFmtId="3" fontId="36" fillId="0" borderId="59" xfId="0" applyNumberFormat="1" applyFont="1" applyBorder="1" applyAlignment="1">
      <alignment horizontal="center"/>
    </xf>
    <xf numFmtId="3" fontId="36" fillId="0" borderId="60" xfId="0" applyNumberFormat="1" applyFont="1" applyBorder="1" applyAlignment="1">
      <alignment horizontal="center"/>
    </xf>
    <xf numFmtId="0" fontId="180" fillId="0" borderId="59" xfId="0" applyFont="1" applyBorder="1"/>
    <xf numFmtId="164" fontId="180" fillId="0" borderId="60" xfId="0" applyNumberFormat="1" applyFont="1" applyBorder="1" applyAlignment="1">
      <alignment horizontal="center"/>
    </xf>
    <xf numFmtId="9" fontId="25" fillId="0" borderId="59" xfId="0" applyNumberFormat="1" applyFont="1" applyBorder="1" applyAlignment="1">
      <alignment horizontal="center"/>
    </xf>
    <xf numFmtId="0" fontId="180" fillId="0" borderId="60" xfId="0" applyFont="1" applyBorder="1"/>
    <xf numFmtId="0" fontId="25" fillId="0" borderId="59" xfId="0" applyFont="1" applyBorder="1" applyAlignment="1">
      <alignment vertical="center"/>
    </xf>
    <xf numFmtId="0" fontId="25" fillId="0" borderId="60" xfId="0" applyFont="1" applyBorder="1" applyAlignment="1">
      <alignment vertical="center"/>
    </xf>
    <xf numFmtId="0" fontId="25" fillId="0" borderId="61" xfId="0" applyFont="1" applyBorder="1" applyAlignment="1">
      <alignment vertical="center"/>
    </xf>
    <xf numFmtId="178" fontId="25" fillId="0" borderId="62" xfId="0" applyNumberFormat="1" applyFont="1" applyBorder="1" applyAlignment="1">
      <alignment horizontal="center" vertical="center"/>
    </xf>
    <xf numFmtId="0" fontId="25" fillId="0" borderId="63" xfId="0" applyFont="1" applyBorder="1" applyAlignment="1">
      <alignment vertical="center"/>
    </xf>
    <xf numFmtId="164" fontId="180" fillId="0" borderId="59" xfId="0" applyNumberFormat="1" applyFont="1" applyBorder="1" applyAlignment="1">
      <alignment horizontal="center"/>
    </xf>
    <xf numFmtId="0" fontId="36" fillId="0" borderId="108" xfId="0" applyFont="1" applyBorder="1"/>
    <xf numFmtId="3" fontId="36" fillId="0" borderId="109" xfId="0" applyNumberFormat="1" applyFont="1" applyBorder="1" applyAlignment="1">
      <alignment horizontal="center"/>
    </xf>
    <xf numFmtId="0" fontId="180" fillId="0" borderId="109" xfId="0" applyFont="1" applyBorder="1"/>
    <xf numFmtId="0" fontId="25" fillId="0" borderId="109" xfId="0" applyFont="1" applyBorder="1"/>
    <xf numFmtId="0" fontId="25" fillId="0" borderId="63" xfId="0" applyFont="1" applyBorder="1"/>
    <xf numFmtId="0" fontId="36" fillId="0" borderId="76" xfId="0" applyFont="1" applyBorder="1" applyAlignment="1">
      <alignment horizontal="right"/>
    </xf>
    <xf numFmtId="0" fontId="36" fillId="0" borderId="78" xfId="0" applyFont="1" applyBorder="1"/>
    <xf numFmtId="0" fontId="36" fillId="0" borderId="34" xfId="0" applyFont="1" applyBorder="1"/>
    <xf numFmtId="0" fontId="36" fillId="0" borderId="79" xfId="0" applyFont="1" applyBorder="1"/>
    <xf numFmtId="0" fontId="36" fillId="0" borderId="110" xfId="0" applyFont="1" applyBorder="1"/>
    <xf numFmtId="0" fontId="160"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6" fillId="0" borderId="44" xfId="0" applyFont="1" applyBorder="1" applyAlignment="1">
      <alignment horizontal="right"/>
    </xf>
    <xf numFmtId="0" fontId="36" fillId="0" borderId="44" xfId="0" applyFont="1" applyBorder="1"/>
    <xf numFmtId="0" fontId="36" fillId="0" borderId="41" xfId="0" applyFont="1" applyBorder="1"/>
    <xf numFmtId="0" fontId="165" fillId="31" borderId="56" xfId="0" applyFont="1" applyFill="1" applyBorder="1" applyAlignment="1">
      <alignment horizontal="center" vertical="center"/>
    </xf>
    <xf numFmtId="0" fontId="37" fillId="0" borderId="57" xfId="0" applyFont="1" applyBorder="1" applyAlignment="1">
      <alignment horizontal="left" vertical="center"/>
    </xf>
    <xf numFmtId="0" fontId="119" fillId="0" borderId="57" xfId="0" applyFont="1" applyBorder="1" applyAlignment="1">
      <alignment horizontal="left" vertical="center"/>
    </xf>
    <xf numFmtId="0" fontId="170" fillId="16" borderId="57" xfId="0" applyFont="1" applyFill="1" applyBorder="1" applyAlignment="1">
      <alignment horizontal="right" vertical="center"/>
    </xf>
    <xf numFmtId="0" fontId="105" fillId="0" borderId="58" xfId="0" applyFont="1" applyBorder="1" applyAlignment="1">
      <alignment horizontal="left" vertical="center"/>
    </xf>
    <xf numFmtId="0" fontId="36" fillId="0" borderId="59" xfId="0" applyFont="1" applyBorder="1" applyAlignment="1">
      <alignment vertical="center"/>
    </xf>
    <xf numFmtId="0" fontId="36" fillId="0" borderId="60" xfId="0" applyFont="1" applyBorder="1" applyAlignment="1">
      <alignment vertical="center"/>
    </xf>
    <xf numFmtId="167" fontId="37" fillId="0" borderId="59" xfId="0" applyNumberFormat="1" applyFont="1" applyBorder="1" applyAlignment="1">
      <alignment horizontal="center" vertical="center"/>
    </xf>
    <xf numFmtId="168" fontId="37" fillId="0" borderId="60" xfId="0" applyNumberFormat="1" applyFont="1" applyBorder="1" applyAlignment="1">
      <alignment horizontal="center" vertical="center"/>
    </xf>
    <xf numFmtId="4" fontId="37" fillId="0" borderId="59" xfId="0" applyNumberFormat="1" applyFont="1" applyBorder="1" applyAlignment="1">
      <alignment horizontal="center" vertical="center"/>
    </xf>
    <xf numFmtId="4" fontId="37" fillId="0" borderId="60" xfId="0" applyNumberFormat="1" applyFont="1" applyBorder="1" applyAlignment="1">
      <alignment horizontal="center" vertical="center"/>
    </xf>
    <xf numFmtId="0" fontId="37" fillId="0" borderId="60" xfId="0" applyFont="1" applyBorder="1" applyAlignment="1">
      <alignment horizontal="center" vertical="center"/>
    </xf>
    <xf numFmtId="0" fontId="36" fillId="0" borderId="59" xfId="0" applyFont="1" applyBorder="1" applyAlignment="1">
      <alignment horizontal="center" vertical="center"/>
    </xf>
    <xf numFmtId="0" fontId="36" fillId="0" borderId="60" xfId="0" applyFont="1" applyBorder="1" applyAlignment="1">
      <alignment horizontal="center" vertical="center"/>
    </xf>
    <xf numFmtId="167" fontId="37" fillId="0" borderId="61" xfId="0" applyNumberFormat="1" applyFont="1" applyBorder="1" applyAlignment="1">
      <alignment horizontal="center" vertical="center"/>
    </xf>
    <xf numFmtId="167" fontId="37" fillId="0" borderId="62" xfId="0" applyNumberFormat="1" applyFont="1" applyBorder="1" applyAlignment="1">
      <alignment horizontal="center" vertical="center"/>
    </xf>
    <xf numFmtId="168" fontId="37" fillId="0" borderId="63" xfId="0" applyNumberFormat="1" applyFont="1" applyBorder="1" applyAlignment="1">
      <alignment horizontal="center" vertical="center"/>
    </xf>
    <xf numFmtId="0" fontId="36" fillId="0" borderId="108" xfId="0" applyFont="1" applyBorder="1" applyAlignment="1">
      <alignment vertical="center"/>
    </xf>
    <xf numFmtId="168" fontId="37" fillId="0" borderId="108" xfId="0" applyNumberFormat="1" applyFont="1" applyBorder="1" applyAlignment="1">
      <alignment horizontal="center" vertical="center"/>
    </xf>
    <xf numFmtId="4" fontId="37" fillId="0" borderId="108" xfId="0" applyNumberFormat="1" applyFont="1" applyBorder="1" applyAlignment="1">
      <alignment horizontal="center" vertical="center"/>
    </xf>
    <xf numFmtId="168" fontId="37" fillId="0" borderId="111" xfId="0" applyNumberFormat="1" applyFont="1" applyBorder="1" applyAlignment="1">
      <alignment horizontal="center" vertical="center"/>
    </xf>
    <xf numFmtId="0" fontId="170" fillId="14" borderId="23" xfId="0" applyFont="1" applyFill="1" applyBorder="1"/>
    <xf numFmtId="0" fontId="170" fillId="14" borderId="23" xfId="0" applyFont="1" applyFill="1" applyBorder="1" applyAlignment="1">
      <alignment vertical="center"/>
    </xf>
    <xf numFmtId="0" fontId="170" fillId="0" borderId="59" xfId="0" applyFont="1" applyBorder="1" applyAlignment="1">
      <alignment horizontal="center" vertical="center"/>
    </xf>
    <xf numFmtId="167" fontId="170" fillId="0" borderId="30" xfId="0" applyNumberFormat="1" applyFont="1" applyBorder="1" applyAlignment="1">
      <alignment horizontal="center" vertical="center"/>
    </xf>
    <xf numFmtId="0" fontId="170" fillId="0" borderId="60" xfId="0" applyFont="1" applyBorder="1" applyAlignment="1">
      <alignment horizontal="center" vertical="center"/>
    </xf>
    <xf numFmtId="0" fontId="170" fillId="0" borderId="59" xfId="0" applyFont="1" applyBorder="1" applyAlignment="1">
      <alignment vertical="center"/>
    </xf>
    <xf numFmtId="0" fontId="170" fillId="0" borderId="60" xfId="0" applyFont="1" applyBorder="1" applyAlignment="1">
      <alignment vertical="center"/>
    </xf>
    <xf numFmtId="0" fontId="170" fillId="0" borderId="108" xfId="0" applyFont="1" applyBorder="1" applyAlignment="1">
      <alignment vertical="center"/>
    </xf>
    <xf numFmtId="168" fontId="170" fillId="0" borderId="23" xfId="0" applyNumberFormat="1" applyFont="1" applyBorder="1" applyAlignment="1">
      <alignment horizontal="center" vertical="center"/>
    </xf>
    <xf numFmtId="168" fontId="170" fillId="0" borderId="0" xfId="0" applyNumberFormat="1" applyFont="1" applyAlignment="1">
      <alignment horizontal="center" vertical="center"/>
    </xf>
    <xf numFmtId="0" fontId="170" fillId="0" borderId="0" xfId="0" applyFont="1"/>
    <xf numFmtId="0" fontId="178" fillId="0" borderId="0" xfId="0" applyFont="1"/>
    <xf numFmtId="0" fontId="61" fillId="0" borderId="59" xfId="0" applyFont="1" applyBorder="1" applyAlignment="1">
      <alignment horizontal="left" vertical="center"/>
    </xf>
    <xf numFmtId="0" fontId="119" fillId="0" borderId="114" xfId="0" applyFont="1" applyBorder="1" applyAlignment="1" applyProtection="1">
      <alignment horizontal="left" vertical="center"/>
      <protection locked="0"/>
    </xf>
    <xf numFmtId="9" fontId="38" fillId="0" borderId="23" xfId="0" applyNumberFormat="1" applyFont="1" applyBorder="1" applyAlignment="1" applyProtection="1">
      <alignment horizontal="center" vertical="center"/>
      <protection locked="0"/>
    </xf>
    <xf numFmtId="9" fontId="38" fillId="0" borderId="115" xfId="0" applyNumberFormat="1" applyFont="1" applyBorder="1" applyAlignment="1" applyProtection="1">
      <alignment horizontal="center" vertical="center"/>
      <protection locked="0"/>
    </xf>
    <xf numFmtId="0" fontId="38" fillId="0" borderId="23" xfId="0" applyFont="1" applyBorder="1" applyAlignment="1" applyProtection="1">
      <alignment vertical="center"/>
      <protection locked="0"/>
    </xf>
    <xf numFmtId="1" fontId="119" fillId="0" borderId="116" xfId="0" applyNumberFormat="1" applyFont="1" applyBorder="1" applyAlignment="1" applyProtection="1">
      <alignment horizontal="center" vertical="center"/>
      <protection locked="0"/>
    </xf>
    <xf numFmtId="164" fontId="119" fillId="0" borderId="116" xfId="0" applyNumberFormat="1" applyFont="1" applyBorder="1" applyAlignment="1" applyProtection="1">
      <alignment horizontal="center" vertical="center"/>
      <protection locked="0"/>
    </xf>
    <xf numFmtId="9" fontId="119" fillId="0" borderId="116" xfId="0" applyNumberFormat="1" applyFont="1" applyBorder="1" applyAlignment="1" applyProtection="1">
      <alignment horizontal="center" vertical="center"/>
      <protection locked="0"/>
    </xf>
    <xf numFmtId="10" fontId="192" fillId="0" borderId="132" xfId="0" applyNumberFormat="1" applyFont="1" applyBorder="1" applyAlignment="1" applyProtection="1">
      <alignment horizontal="center" vertical="center"/>
      <protection locked="0"/>
    </xf>
    <xf numFmtId="10" fontId="192" fillId="0" borderId="108" xfId="0" applyNumberFormat="1" applyFont="1" applyBorder="1" applyAlignment="1" applyProtection="1">
      <alignment horizontal="center" vertical="center"/>
      <protection locked="0"/>
    </xf>
    <xf numFmtId="0" fontId="192" fillId="0" borderId="132" xfId="0" applyFont="1" applyBorder="1" applyAlignment="1" applyProtection="1">
      <alignment horizontal="center" vertical="center"/>
      <protection locked="0"/>
    </xf>
    <xf numFmtId="0" fontId="192" fillId="0" borderId="108" xfId="0" applyFont="1" applyBorder="1" applyAlignment="1" applyProtection="1">
      <alignment horizontal="center" vertical="center"/>
      <protection locked="0"/>
    </xf>
    <xf numFmtId="10" fontId="192" fillId="0" borderId="133" xfId="0" applyNumberFormat="1" applyFont="1" applyBorder="1" applyAlignment="1" applyProtection="1">
      <alignment horizontal="center" vertical="center"/>
      <protection locked="0"/>
    </xf>
    <xf numFmtId="10" fontId="192" fillId="0" borderId="111" xfId="0" applyNumberFormat="1" applyFont="1" applyBorder="1" applyAlignment="1" applyProtection="1">
      <alignment horizontal="center" vertical="center"/>
      <protection locked="0"/>
    </xf>
    <xf numFmtId="0" fontId="38" fillId="0" borderId="23" xfId="0" applyFont="1" applyBorder="1" applyAlignment="1">
      <alignment vertical="center"/>
    </xf>
    <xf numFmtId="0" fontId="38" fillId="0" borderId="23" xfId="0" applyFont="1" applyBorder="1" applyAlignment="1">
      <alignment horizontal="center" vertical="center"/>
    </xf>
    <xf numFmtId="3" fontId="41" fillId="0" borderId="30" xfId="0" applyNumberFormat="1" applyFont="1" applyBorder="1" applyAlignment="1">
      <alignment horizontal="center" vertical="center"/>
    </xf>
    <xf numFmtId="0" fontId="195" fillId="0" borderId="124" xfId="0" applyFont="1" applyBorder="1" applyAlignment="1" applyProtection="1">
      <alignment vertical="center"/>
      <protection locked="0"/>
    </xf>
    <xf numFmtId="0" fontId="196" fillId="0" borderId="23" xfId="0" applyFont="1" applyBorder="1" applyAlignment="1" applyProtection="1">
      <alignment vertical="center"/>
      <protection locked="0"/>
    </xf>
    <xf numFmtId="0" fontId="196" fillId="0" borderId="23" xfId="0" applyFont="1" applyBorder="1" applyAlignment="1" applyProtection="1">
      <alignment horizontal="center" vertical="center"/>
      <protection locked="0"/>
    </xf>
    <xf numFmtId="0" fontId="196" fillId="0" borderId="0" xfId="0" applyFont="1" applyAlignment="1" applyProtection="1">
      <alignment vertical="center"/>
      <protection locked="0"/>
    </xf>
    <xf numFmtId="0" fontId="196" fillId="0" borderId="0" xfId="0" applyFont="1" applyAlignment="1">
      <alignment vertical="center"/>
    </xf>
    <xf numFmtId="0" fontId="59" fillId="29" borderId="113" xfId="0" applyFont="1" applyFill="1" applyBorder="1" applyAlignment="1">
      <alignment horizontal="center" vertical="center"/>
    </xf>
    <xf numFmtId="0" fontId="34" fillId="0" borderId="0" xfId="0" applyFont="1" applyAlignment="1">
      <alignment vertical="center"/>
    </xf>
    <xf numFmtId="0" fontId="34" fillId="0" borderId="0" xfId="0" applyFont="1" applyAlignment="1" applyProtection="1">
      <alignment vertical="center"/>
      <protection locked="0"/>
    </xf>
    <xf numFmtId="170" fontId="34" fillId="0" borderId="0" xfId="0" applyNumberFormat="1" applyFont="1" applyAlignment="1" applyProtection="1">
      <alignment vertical="center"/>
      <protection locked="0"/>
    </xf>
    <xf numFmtId="0" fontId="34" fillId="0" borderId="0" xfId="0" applyFont="1" applyAlignment="1" applyProtection="1">
      <alignment horizontal="center" vertical="center"/>
      <protection locked="0"/>
    </xf>
    <xf numFmtId="0" fontId="197" fillId="0" borderId="0" xfId="0" applyFont="1" applyAlignment="1">
      <alignment vertical="center"/>
    </xf>
    <xf numFmtId="0" fontId="197" fillId="0" borderId="0" xfId="0" applyFont="1" applyAlignment="1" applyProtection="1">
      <alignment vertical="center"/>
      <protection locked="0"/>
    </xf>
    <xf numFmtId="0" fontId="197" fillId="0" borderId="0" xfId="0" applyFont="1" applyAlignment="1" applyProtection="1">
      <alignment horizontal="center" vertical="center"/>
      <protection locked="0"/>
    </xf>
    <xf numFmtId="166" fontId="46" fillId="0" borderId="30" xfId="0" applyNumberFormat="1" applyFont="1" applyBorder="1" applyAlignment="1">
      <alignment horizontal="center" vertical="center"/>
    </xf>
    <xf numFmtId="0" fontId="157" fillId="51" borderId="0" xfId="0" applyFont="1" applyFill="1" applyAlignment="1">
      <alignment horizontal="left" vertical="center"/>
    </xf>
    <xf numFmtId="166" fontId="61" fillId="0" borderId="30" xfId="1" applyNumberFormat="1" applyFont="1" applyFill="1" applyBorder="1" applyAlignment="1">
      <alignment horizontal="center" vertical="center"/>
    </xf>
    <xf numFmtId="166" fontId="61" fillId="0" borderId="34" xfId="0" applyNumberFormat="1" applyFont="1" applyBorder="1" applyAlignment="1">
      <alignment horizontal="center" vertical="center" wrapText="1"/>
    </xf>
    <xf numFmtId="0" fontId="160" fillId="29" borderId="112" xfId="0" applyFont="1" applyFill="1" applyBorder="1" applyAlignment="1">
      <alignment horizontal="left" vertical="center"/>
    </xf>
    <xf numFmtId="0" fontId="160" fillId="29" borderId="116" xfId="0" applyFont="1" applyFill="1" applyBorder="1" applyAlignment="1">
      <alignment horizontal="center" vertical="center"/>
    </xf>
    <xf numFmtId="167" fontId="160" fillId="29" borderId="113" xfId="0" applyNumberFormat="1" applyFont="1" applyFill="1" applyBorder="1" applyAlignment="1">
      <alignment horizontal="center" vertical="center"/>
    </xf>
    <xf numFmtId="167" fontId="61" fillId="0" borderId="60" xfId="0" applyNumberFormat="1" applyFont="1" applyBorder="1" applyAlignment="1">
      <alignment horizontal="center" vertical="center"/>
    </xf>
    <xf numFmtId="0" fontId="41" fillId="0" borderId="59" xfId="0" applyFont="1" applyBorder="1" applyAlignment="1">
      <alignment vertical="center"/>
    </xf>
    <xf numFmtId="167" fontId="41" fillId="0" borderId="60" xfId="0" applyNumberFormat="1" applyFont="1" applyBorder="1" applyAlignment="1">
      <alignment horizontal="center" vertical="center"/>
    </xf>
    <xf numFmtId="0" fontId="41" fillId="0" borderId="61" xfId="0" applyFont="1" applyBorder="1" applyAlignment="1">
      <alignment vertical="center"/>
    </xf>
    <xf numFmtId="0" fontId="41" fillId="0" borderId="62" xfId="0" applyFont="1" applyBorder="1" applyAlignment="1">
      <alignment horizontal="center" vertical="center"/>
    </xf>
    <xf numFmtId="0" fontId="163" fillId="16" borderId="112" xfId="0" applyFont="1" applyFill="1" applyBorder="1" applyAlignment="1">
      <alignment horizontal="left" vertical="center"/>
    </xf>
    <xf numFmtId="0" fontId="163" fillId="29" borderId="116" xfId="0" applyFont="1" applyFill="1" applyBorder="1" applyAlignment="1">
      <alignment horizontal="center" vertical="center"/>
    </xf>
    <xf numFmtId="167" fontId="163" fillId="29" borderId="113" xfId="0" applyNumberFormat="1" applyFont="1" applyFill="1" applyBorder="1" applyAlignment="1">
      <alignment horizontal="center" vertical="center"/>
    </xf>
    <xf numFmtId="0" fontId="143" fillId="16" borderId="134" xfId="0" applyFont="1" applyFill="1" applyBorder="1" applyAlignment="1">
      <alignment horizontal="left" vertical="center"/>
    </xf>
    <xf numFmtId="167" fontId="163" fillId="29" borderId="135" xfId="0" applyNumberFormat="1" applyFont="1" applyFill="1" applyBorder="1" applyAlignment="1">
      <alignment horizontal="center" vertical="center"/>
    </xf>
    <xf numFmtId="0" fontId="160" fillId="29" borderId="112" xfId="0" applyFont="1" applyFill="1" applyBorder="1" applyAlignment="1">
      <alignment horizontal="center" vertical="center"/>
    </xf>
    <xf numFmtId="0" fontId="178" fillId="14" borderId="39" xfId="0" applyFont="1" applyFill="1" applyBorder="1" applyAlignment="1">
      <alignment vertical="center"/>
    </xf>
    <xf numFmtId="0" fontId="178" fillId="14" borderId="44" xfId="0" applyFont="1" applyFill="1" applyBorder="1" applyAlignment="1">
      <alignment vertical="center"/>
    </xf>
    <xf numFmtId="0" fontId="24" fillId="29" borderId="112" xfId="0" applyFont="1" applyFill="1" applyBorder="1" applyAlignment="1">
      <alignment horizontal="center" vertical="center"/>
    </xf>
    <xf numFmtId="0" fontId="6" fillId="29" borderId="116" xfId="0" applyFont="1" applyFill="1" applyBorder="1" applyAlignment="1">
      <alignment horizontal="center" vertical="center"/>
    </xf>
    <xf numFmtId="0" fontId="6" fillId="29" borderId="113" xfId="0" applyFont="1" applyFill="1" applyBorder="1" applyAlignment="1">
      <alignment horizontal="center" vertical="center"/>
    </xf>
    <xf numFmtId="0" fontId="41" fillId="0" borderId="59" xfId="0" applyFont="1" applyBorder="1" applyAlignment="1">
      <alignment horizontal="left" vertical="center"/>
    </xf>
    <xf numFmtId="169" fontId="45" fillId="0" borderId="60" xfId="0" applyNumberFormat="1" applyFont="1" applyBorder="1" applyAlignment="1">
      <alignment horizontal="center" vertical="center"/>
    </xf>
    <xf numFmtId="0" fontId="41" fillId="0" borderId="61" xfId="0" applyFont="1" applyBorder="1" applyAlignment="1">
      <alignment horizontal="left" vertical="center"/>
    </xf>
    <xf numFmtId="0" fontId="59" fillId="29" borderId="112" xfId="0" applyFont="1" applyFill="1" applyBorder="1" applyAlignment="1">
      <alignment horizontal="center" vertical="center"/>
    </xf>
    <xf numFmtId="0" fontId="59" fillId="29" borderId="116" xfId="0" applyFont="1" applyFill="1" applyBorder="1" applyAlignment="1">
      <alignment horizontal="center" vertical="center"/>
    </xf>
    <xf numFmtId="1" fontId="41" fillId="0" borderId="60" xfId="0" applyNumberFormat="1" applyFont="1" applyBorder="1" applyAlignment="1">
      <alignment horizontal="center" vertical="center"/>
    </xf>
    <xf numFmtId="0" fontId="59" fillId="41" borderId="112" xfId="0" applyFont="1" applyFill="1" applyBorder="1" applyAlignment="1">
      <alignment horizontal="center" vertical="center"/>
    </xf>
    <xf numFmtId="0" fontId="59" fillId="41" borderId="116" xfId="0" applyFont="1" applyFill="1" applyBorder="1" applyAlignment="1">
      <alignment horizontal="center" vertical="center"/>
    </xf>
    <xf numFmtId="0" fontId="59" fillId="41" borderId="113" xfId="0" applyFont="1" applyFill="1" applyBorder="1" applyAlignment="1">
      <alignment horizontal="center" vertical="center"/>
    </xf>
    <xf numFmtId="3" fontId="61" fillId="2" borderId="60" xfId="0" applyNumberFormat="1" applyFont="1" applyFill="1" applyBorder="1" applyAlignment="1" applyProtection="1">
      <alignment horizontal="center" vertical="center"/>
      <protection locked="0"/>
    </xf>
    <xf numFmtId="9" fontId="41" fillId="2" borderId="60" xfId="0" applyNumberFormat="1" applyFont="1" applyFill="1" applyBorder="1" applyAlignment="1" applyProtection="1">
      <alignment horizontal="center" vertical="center"/>
      <protection locked="0"/>
    </xf>
    <xf numFmtId="169" fontId="41" fillId="0" borderId="60" xfId="0" applyNumberFormat="1" applyFont="1" applyBorder="1" applyAlignment="1">
      <alignment horizontal="center" vertical="center"/>
    </xf>
    <xf numFmtId="169" fontId="41" fillId="0" borderId="63" xfId="0" applyNumberFormat="1" applyFont="1" applyBorder="1" applyAlignment="1">
      <alignment horizontal="center" vertical="center"/>
    </xf>
    <xf numFmtId="169" fontId="41" fillId="3" borderId="60" xfId="0" applyNumberFormat="1" applyFont="1" applyFill="1" applyBorder="1" applyAlignment="1">
      <alignment horizontal="center" vertical="center"/>
    </xf>
    <xf numFmtId="172" fontId="41" fillId="3" borderId="60" xfId="0" applyNumberFormat="1" applyFont="1" applyFill="1" applyBorder="1" applyAlignment="1">
      <alignment horizontal="center" vertical="center"/>
    </xf>
    <xf numFmtId="9" fontId="41" fillId="0" borderId="60" xfId="0" applyNumberFormat="1" applyFont="1" applyBorder="1" applyAlignment="1">
      <alignment horizontal="center" vertical="center"/>
    </xf>
    <xf numFmtId="3" fontId="41" fillId="0" borderId="62" xfId="0" applyNumberFormat="1" applyFont="1" applyBorder="1" applyAlignment="1">
      <alignment horizontal="center" vertical="center"/>
    </xf>
    <xf numFmtId="169" fontId="61" fillId="0" borderId="60" xfId="0" applyNumberFormat="1" applyFont="1" applyBorder="1" applyAlignment="1">
      <alignment horizontal="center" vertical="center"/>
    </xf>
    <xf numFmtId="169" fontId="41" fillId="0" borderId="60" xfId="0" applyNumberFormat="1" applyFont="1" applyBorder="1" applyAlignment="1">
      <alignment vertical="center"/>
    </xf>
    <xf numFmtId="2" fontId="46" fillId="16" borderId="61" xfId="0" applyNumberFormat="1" applyFont="1" applyFill="1" applyBorder="1" applyAlignment="1">
      <alignment horizontal="left" vertical="center"/>
    </xf>
    <xf numFmtId="168" fontId="46" fillId="16" borderId="62" xfId="0" applyNumberFormat="1" applyFont="1" applyFill="1" applyBorder="1" applyAlignment="1">
      <alignment horizontal="center" vertical="center"/>
    </xf>
    <xf numFmtId="169" fontId="46" fillId="16" borderId="63" xfId="0" applyNumberFormat="1" applyFont="1" applyFill="1" applyBorder="1" applyAlignment="1">
      <alignment horizontal="center" vertical="center"/>
    </xf>
    <xf numFmtId="0" fontId="45" fillId="0" borderId="62" xfId="0" applyFont="1" applyBorder="1" applyAlignment="1">
      <alignment horizontal="center" vertical="center"/>
    </xf>
    <xf numFmtId="170" fontId="41" fillId="0" borderId="60" xfId="0" applyNumberFormat="1" applyFont="1" applyBorder="1" applyAlignment="1">
      <alignment horizontal="center" vertical="center"/>
    </xf>
    <xf numFmtId="0" fontId="41" fillId="0" borderId="60" xfId="0" applyFont="1" applyBorder="1" applyAlignment="1">
      <alignment vertical="center"/>
    </xf>
    <xf numFmtId="0" fontId="61" fillId="19" borderId="59" xfId="0" applyFont="1" applyFill="1" applyBorder="1" applyAlignment="1">
      <alignment horizontal="left" vertical="center"/>
    </xf>
    <xf numFmtId="170" fontId="39" fillId="19" borderId="60" xfId="0" applyNumberFormat="1" applyFont="1" applyFill="1" applyBorder="1" applyAlignment="1">
      <alignment horizontal="center" vertical="center"/>
    </xf>
    <xf numFmtId="173" fontId="41" fillId="0" borderId="63" xfId="0" applyNumberFormat="1" applyFont="1" applyBorder="1" applyAlignment="1">
      <alignment horizontal="center" vertical="center"/>
    </xf>
    <xf numFmtId="1" fontId="114" fillId="0" borderId="60" xfId="0" applyNumberFormat="1" applyFont="1" applyBorder="1" applyAlignment="1">
      <alignment horizontal="center" vertical="center"/>
    </xf>
    <xf numFmtId="0" fontId="40" fillId="0" borderId="59" xfId="0" applyFont="1" applyBorder="1" applyAlignment="1">
      <alignment horizontal="left" vertical="center"/>
    </xf>
    <xf numFmtId="0" fontId="61" fillId="0" borderId="60" xfId="0" applyFont="1" applyBorder="1" applyAlignment="1">
      <alignment vertical="center"/>
    </xf>
    <xf numFmtId="169" fontId="61" fillId="0" borderId="60" xfId="0" applyNumberFormat="1" applyFont="1" applyBorder="1" applyAlignment="1">
      <alignment vertical="center"/>
    </xf>
    <xf numFmtId="0" fontId="112" fillId="0" borderId="59" xfId="0" applyFont="1" applyBorder="1" applyAlignment="1">
      <alignment horizontal="left" vertical="center"/>
    </xf>
    <xf numFmtId="0" fontId="142" fillId="0" borderId="59" xfId="0" applyFont="1" applyBorder="1" applyAlignment="1">
      <alignment horizontal="left" vertical="center"/>
    </xf>
    <xf numFmtId="170" fontId="142" fillId="0" borderId="60" xfId="0" applyNumberFormat="1" applyFont="1" applyBorder="1" applyAlignment="1">
      <alignment horizontal="center" vertical="center"/>
    </xf>
    <xf numFmtId="0" fontId="39" fillId="19" borderId="59" xfId="0" applyFont="1" applyFill="1" applyBorder="1" applyAlignment="1">
      <alignment vertical="center"/>
    </xf>
    <xf numFmtId="0" fontId="59" fillId="29" borderId="116" xfId="0" applyFont="1" applyFill="1" applyBorder="1" applyAlignment="1">
      <alignment horizontal="center" vertical="center" wrapText="1"/>
    </xf>
    <xf numFmtId="9" fontId="39" fillId="2" borderId="60" xfId="0" applyNumberFormat="1" applyFont="1" applyFill="1" applyBorder="1" applyAlignment="1" applyProtection="1">
      <alignment horizontal="center" vertical="center"/>
      <protection locked="0"/>
    </xf>
    <xf numFmtId="0" fontId="45" fillId="0" borderId="60" xfId="0" applyFont="1" applyBorder="1" applyAlignment="1">
      <alignment vertical="center"/>
    </xf>
    <xf numFmtId="0" fontId="39" fillId="0" borderId="60" xfId="0" applyFont="1" applyBorder="1" applyAlignment="1">
      <alignment vertical="center"/>
    </xf>
    <xf numFmtId="169" fontId="111" fillId="0" borderId="60" xfId="0" applyNumberFormat="1" applyFont="1" applyBorder="1" applyAlignment="1">
      <alignment vertical="center"/>
    </xf>
    <xf numFmtId="169" fontId="45" fillId="0" borderId="60" xfId="0" applyNumberFormat="1" applyFont="1" applyBorder="1" applyAlignment="1">
      <alignment vertical="center"/>
    </xf>
    <xf numFmtId="170" fontId="85" fillId="0" borderId="60" xfId="0" applyNumberFormat="1" applyFont="1" applyBorder="1" applyAlignment="1">
      <alignment vertical="center"/>
    </xf>
    <xf numFmtId="171" fontId="45" fillId="0" borderId="60" xfId="0" applyNumberFormat="1" applyFont="1" applyBorder="1" applyAlignment="1">
      <alignment vertical="center"/>
    </xf>
    <xf numFmtId="0" fontId="59" fillId="41" borderId="116" xfId="0" applyFont="1" applyFill="1" applyBorder="1" applyAlignment="1">
      <alignment horizontal="center" vertical="center" wrapText="1"/>
    </xf>
    <xf numFmtId="171" fontId="41" fillId="2" borderId="60" xfId="0" applyNumberFormat="1" applyFont="1" applyFill="1" applyBorder="1" applyAlignment="1" applyProtection="1">
      <alignment horizontal="center" vertical="center"/>
      <protection locked="0"/>
    </xf>
    <xf numFmtId="2" fontId="41" fillId="2" borderId="60" xfId="0" applyNumberFormat="1" applyFont="1" applyFill="1" applyBorder="1" applyAlignment="1" applyProtection="1">
      <alignment horizontal="center" vertical="center"/>
      <protection locked="0"/>
    </xf>
    <xf numFmtId="169" fontId="41" fillId="2" borderId="60" xfId="0" applyNumberFormat="1" applyFont="1" applyFill="1" applyBorder="1" applyAlignment="1" applyProtection="1">
      <alignment horizontal="center" vertical="center"/>
      <protection locked="0"/>
    </xf>
    <xf numFmtId="0" fontId="59" fillId="41" borderId="59" xfId="0" applyFont="1" applyFill="1" applyBorder="1" applyAlignment="1">
      <alignment horizontal="center" vertical="center"/>
    </xf>
    <xf numFmtId="0" fontId="59" fillId="41" borderId="60" xfId="0" applyFont="1" applyFill="1" applyBorder="1" applyAlignment="1" applyProtection="1">
      <alignment horizontal="center" vertical="center"/>
      <protection locked="0"/>
    </xf>
    <xf numFmtId="171" fontId="41" fillId="2" borderId="63" xfId="0" applyNumberFormat="1" applyFont="1" applyFill="1" applyBorder="1" applyAlignment="1" applyProtection="1">
      <alignment horizontal="center" vertical="center"/>
      <protection locked="0"/>
    </xf>
    <xf numFmtId="169" fontId="45" fillId="2" borderId="60" xfId="0" applyNumberFormat="1" applyFont="1" applyFill="1" applyBorder="1" applyAlignment="1" applyProtection="1">
      <alignment horizontal="center" vertical="center"/>
      <protection locked="0"/>
    </xf>
    <xf numFmtId="170" fontId="61" fillId="0" borderId="60" xfId="0" applyNumberFormat="1" applyFont="1" applyBorder="1" applyAlignment="1">
      <alignment horizontal="center" vertical="center"/>
    </xf>
    <xf numFmtId="0" fontId="69" fillId="46" borderId="153" xfId="0" applyFont="1" applyFill="1" applyBorder="1" applyAlignment="1">
      <alignment horizontal="right" vertical="center"/>
    </xf>
    <xf numFmtId="0" fontId="69" fillId="46" borderId="156" xfId="0" applyFont="1" applyFill="1" applyBorder="1" applyAlignment="1">
      <alignment horizontal="right" vertical="center"/>
    </xf>
    <xf numFmtId="171" fontId="45" fillId="0" borderId="63" xfId="0" applyNumberFormat="1" applyFont="1" applyBorder="1" applyAlignment="1">
      <alignment horizontal="center" vertical="center"/>
    </xf>
    <xf numFmtId="171" fontId="45" fillId="2" borderId="60" xfId="0" applyNumberFormat="1" applyFont="1" applyFill="1" applyBorder="1" applyAlignment="1" applyProtection="1">
      <alignment horizontal="center" vertical="center"/>
      <protection locked="0"/>
    </xf>
    <xf numFmtId="171" fontId="41" fillId="0" borderId="60" xfId="0" applyNumberFormat="1" applyFont="1" applyBorder="1" applyAlignment="1">
      <alignment horizontal="center" vertical="center"/>
    </xf>
    <xf numFmtId="171" fontId="41" fillId="0" borderId="63" xfId="0" applyNumberFormat="1" applyFont="1" applyBorder="1" applyAlignment="1">
      <alignment horizontal="center" vertical="center"/>
    </xf>
    <xf numFmtId="171" fontId="45" fillId="0" borderId="60" xfId="0" applyNumberFormat="1" applyFont="1" applyBorder="1" applyAlignment="1">
      <alignment horizontal="center" vertical="center"/>
    </xf>
    <xf numFmtId="166" fontId="41" fillId="11" borderId="151" xfId="1" applyNumberFormat="1" applyFont="1" applyFill="1" applyBorder="1" applyAlignment="1" applyProtection="1">
      <alignment horizontal="center" vertical="center"/>
      <protection locked="0"/>
    </xf>
    <xf numFmtId="0" fontId="45" fillId="11" borderId="30" xfId="0" applyFont="1" applyFill="1" applyBorder="1" applyAlignment="1" applyProtection="1">
      <alignment horizontal="center" vertical="center"/>
      <protection locked="0"/>
    </xf>
    <xf numFmtId="165" fontId="92" fillId="54" borderId="30" xfId="0" applyNumberFormat="1" applyFont="1" applyFill="1" applyBorder="1" applyAlignment="1" applyProtection="1">
      <alignment horizontal="center" vertical="center"/>
      <protection locked="0"/>
    </xf>
    <xf numFmtId="165" fontId="41" fillId="11" borderId="30" xfId="0" applyNumberFormat="1" applyFont="1" applyFill="1" applyBorder="1" applyAlignment="1" applyProtection="1">
      <alignment horizontal="center" vertical="center"/>
      <protection locked="0"/>
    </xf>
    <xf numFmtId="165" fontId="45" fillId="11" borderId="30" xfId="0" applyNumberFormat="1" applyFont="1" applyFill="1" applyBorder="1" applyAlignment="1" applyProtection="1">
      <alignment horizontal="center" vertical="center"/>
      <protection locked="0"/>
    </xf>
    <xf numFmtId="0" fontId="64" fillId="14" borderId="23" xfId="0" applyFont="1" applyFill="1" applyBorder="1" applyAlignment="1">
      <alignment vertical="center"/>
    </xf>
    <xf numFmtId="0" fontId="125" fillId="15" borderId="0" xfId="0" applyFont="1" applyFill="1" applyAlignment="1" applyProtection="1">
      <alignment horizontal="left" vertical="center"/>
      <protection locked="0"/>
    </xf>
    <xf numFmtId="0" fontId="54" fillId="15" borderId="0" xfId="0" applyFont="1" applyFill="1" applyAlignment="1" applyProtection="1">
      <alignment vertical="center"/>
      <protection locked="0"/>
    </xf>
    <xf numFmtId="0" fontId="54" fillId="0" borderId="23" xfId="0" applyFont="1" applyBorder="1" applyAlignment="1" applyProtection="1">
      <alignment vertical="center"/>
      <protection locked="0"/>
    </xf>
    <xf numFmtId="0" fontId="95" fillId="16" borderId="28" xfId="0" applyFont="1" applyFill="1" applyBorder="1" applyAlignment="1">
      <alignment horizontal="left" vertical="center"/>
    </xf>
    <xf numFmtId="9" fontId="47" fillId="0" borderId="23" xfId="1" applyFont="1" applyBorder="1" applyAlignment="1">
      <alignment vertical="center"/>
    </xf>
    <xf numFmtId="9" fontId="181" fillId="0" borderId="49" xfId="1" applyFont="1" applyBorder="1" applyAlignment="1">
      <alignment horizontal="center" vertical="center"/>
    </xf>
    <xf numFmtId="0" fontId="193" fillId="0" borderId="23" xfId="0" applyFont="1" applyBorder="1" applyAlignment="1">
      <alignment vertical="center"/>
    </xf>
    <xf numFmtId="0" fontId="212" fillId="0" borderId="23" xfId="0" applyFont="1" applyBorder="1" applyAlignment="1">
      <alignment horizontal="center"/>
    </xf>
    <xf numFmtId="0" fontId="213" fillId="0" borderId="23" xfId="0" applyFont="1" applyBorder="1" applyAlignment="1">
      <alignment horizontal="center"/>
    </xf>
    <xf numFmtId="0" fontId="194" fillId="0" borderId="23" xfId="0" applyFont="1" applyBorder="1" applyAlignment="1">
      <alignment vertical="center"/>
    </xf>
    <xf numFmtId="0" fontId="214" fillId="0" borderId="23" xfId="0" applyFont="1" applyBorder="1" applyAlignment="1">
      <alignment vertical="center"/>
    </xf>
    <xf numFmtId="0" fontId="194" fillId="0" borderId="23" xfId="0" applyFont="1" applyBorder="1"/>
    <xf numFmtId="0" fontId="215" fillId="0" borderId="23" xfId="0" applyFont="1" applyBorder="1" applyAlignment="1">
      <alignment vertical="center"/>
    </xf>
    <xf numFmtId="0" fontId="193" fillId="0" borderId="23" xfId="0" applyFont="1" applyBorder="1"/>
    <xf numFmtId="9" fontId="39" fillId="0" borderId="60" xfId="0" applyNumberFormat="1" applyFont="1" applyBorder="1" applyAlignment="1">
      <alignment horizontal="center" vertical="center"/>
    </xf>
    <xf numFmtId="0" fontId="38" fillId="0" borderId="117" xfId="0" applyFont="1" applyBorder="1" applyAlignment="1">
      <alignment vertical="center"/>
    </xf>
    <xf numFmtId="0" fontId="119" fillId="0" borderId="117" xfId="0" applyFont="1" applyBorder="1" applyAlignment="1">
      <alignment vertical="center"/>
    </xf>
    <xf numFmtId="0" fontId="119" fillId="0" borderId="23" xfId="0" applyFont="1" applyBorder="1" applyAlignment="1">
      <alignment vertical="center"/>
    </xf>
    <xf numFmtId="0" fontId="119" fillId="0" borderId="119" xfId="0" applyFont="1" applyBorder="1" applyAlignment="1">
      <alignment vertical="center"/>
    </xf>
    <xf numFmtId="0" fontId="38" fillId="0" borderId="23" xfId="0" applyFont="1" applyBorder="1" applyAlignment="1">
      <alignment vertical="center" wrapText="1"/>
    </xf>
    <xf numFmtId="0" fontId="0" fillId="0" borderId="115" xfId="0" applyBorder="1" applyAlignment="1">
      <alignment vertical="center"/>
    </xf>
    <xf numFmtId="0" fontId="59" fillId="29" borderId="127" xfId="0" applyFont="1" applyFill="1" applyBorder="1" applyAlignment="1">
      <alignment vertical="center"/>
    </xf>
    <xf numFmtId="0" fontId="59" fillId="29" borderId="126" xfId="0" applyFont="1" applyFill="1" applyBorder="1" applyAlignment="1">
      <alignment horizontal="center" vertical="center"/>
    </xf>
    <xf numFmtId="0" fontId="41" fillId="0" borderId="161" xfId="0" applyFont="1" applyBorder="1" applyAlignment="1">
      <alignment horizontal="left" vertical="center"/>
    </xf>
    <xf numFmtId="0" fontId="23" fillId="0" borderId="23" xfId="0" applyFont="1" applyBorder="1" applyAlignment="1">
      <alignment horizontal="right" vertical="center"/>
    </xf>
    <xf numFmtId="0" fontId="23" fillId="0" borderId="23" xfId="0" applyFont="1" applyBorder="1" applyAlignment="1">
      <alignment vertical="center"/>
    </xf>
    <xf numFmtId="0" fontId="35" fillId="0" borderId="0" xfId="0" applyFont="1" applyAlignment="1">
      <alignment horizontal="center"/>
    </xf>
    <xf numFmtId="0" fontId="23" fillId="0" borderId="0" xfId="0" applyFont="1"/>
    <xf numFmtId="0" fontId="30" fillId="0" borderId="0" xfId="0" applyFont="1"/>
    <xf numFmtId="1" fontId="30" fillId="0" borderId="23" xfId="0" applyNumberFormat="1" applyFont="1" applyBorder="1"/>
    <xf numFmtId="168" fontId="181" fillId="0" borderId="49" xfId="0" applyNumberFormat="1" applyFont="1" applyBorder="1" applyAlignment="1">
      <alignment horizontal="center" vertical="center"/>
    </xf>
    <xf numFmtId="166" fontId="46" fillId="0" borderId="34" xfId="0" applyNumberFormat="1" applyFont="1" applyBorder="1" applyAlignment="1">
      <alignment horizontal="center" vertical="center" wrapText="1"/>
    </xf>
    <xf numFmtId="0" fontId="78" fillId="16" borderId="23" xfId="0" applyFont="1" applyFill="1" applyBorder="1" applyAlignment="1">
      <alignment vertical="center"/>
    </xf>
    <xf numFmtId="0" fontId="95" fillId="16" borderId="23" xfId="0" applyFont="1" applyFill="1" applyBorder="1" applyAlignment="1">
      <alignment horizontal="left" vertical="center"/>
    </xf>
    <xf numFmtId="0" fontId="216" fillId="0" borderId="0" xfId="0" applyFont="1" applyAlignment="1">
      <alignment horizontal="left"/>
    </xf>
    <xf numFmtId="3" fontId="24" fillId="0" borderId="30" xfId="0" applyNumberFormat="1" applyFont="1" applyBorder="1" applyAlignment="1">
      <alignment horizontal="center" vertical="center"/>
    </xf>
    <xf numFmtId="0" fontId="224" fillId="29" borderId="30" xfId="0" applyFont="1" applyFill="1" applyBorder="1" applyAlignment="1">
      <alignment horizontal="center" vertical="center"/>
    </xf>
    <xf numFmtId="3" fontId="225" fillId="0" borderId="30" xfId="0" applyNumberFormat="1" applyFont="1" applyBorder="1" applyAlignment="1">
      <alignment horizontal="center" vertical="center"/>
    </xf>
    <xf numFmtId="1" fontId="225" fillId="0" borderId="30" xfId="0" applyNumberFormat="1" applyFont="1" applyBorder="1" applyAlignment="1">
      <alignment horizontal="center" vertical="center"/>
    </xf>
    <xf numFmtId="0" fontId="204" fillId="16" borderId="30" xfId="0" applyFont="1" applyFill="1" applyBorder="1" applyAlignment="1">
      <alignment horizontal="center" vertical="center" wrapText="1"/>
    </xf>
    <xf numFmtId="0" fontId="204" fillId="16" borderId="31" xfId="0" applyFont="1" applyFill="1" applyBorder="1" applyAlignment="1">
      <alignment horizontal="center" vertical="center" wrapText="1"/>
    </xf>
    <xf numFmtId="0" fontId="34" fillId="14" borderId="44" xfId="0" applyFont="1" applyFill="1" applyBorder="1" applyAlignment="1">
      <alignment vertical="center"/>
    </xf>
    <xf numFmtId="175" fontId="34" fillId="0" borderId="30" xfId="0" applyNumberFormat="1" applyFont="1" applyBorder="1" applyAlignment="1">
      <alignment horizontal="center" vertical="center"/>
    </xf>
    <xf numFmtId="175" fontId="34" fillId="5" borderId="30" xfId="0" applyNumberFormat="1" applyFont="1" applyFill="1" applyBorder="1" applyAlignment="1">
      <alignment horizontal="center" vertical="center"/>
    </xf>
    <xf numFmtId="0" fontId="34" fillId="0" borderId="29" xfId="0" applyFont="1" applyBorder="1" applyAlignment="1">
      <alignment vertical="center"/>
    </xf>
    <xf numFmtId="0" fontId="34" fillId="0" borderId="30" xfId="0" applyFont="1" applyBorder="1" applyAlignment="1">
      <alignment vertical="center"/>
    </xf>
    <xf numFmtId="0" fontId="34" fillId="0" borderId="30" xfId="0" applyFont="1" applyBorder="1" applyAlignment="1">
      <alignment horizontal="center" vertical="center"/>
    </xf>
    <xf numFmtId="0" fontId="59" fillId="29" borderId="31" xfId="0" applyFont="1" applyFill="1" applyBorder="1" applyAlignment="1">
      <alignment horizontal="center" vertical="center" wrapText="1"/>
    </xf>
    <xf numFmtId="0" fontId="24" fillId="0" borderId="30" xfId="0" applyFont="1" applyBorder="1" applyAlignment="1">
      <alignment horizontal="center" vertical="center"/>
    </xf>
    <xf numFmtId="0" fontId="170" fillId="0" borderId="30" xfId="0" applyFont="1" applyBorder="1" applyAlignment="1">
      <alignment horizontal="center" vertical="center"/>
    </xf>
    <xf numFmtId="0" fontId="170" fillId="5" borderId="30" xfId="0" applyFont="1" applyFill="1" applyBorder="1" applyAlignment="1">
      <alignment horizontal="center" vertical="center"/>
    </xf>
    <xf numFmtId="0" fontId="229" fillId="14" borderId="0" xfId="0" applyFont="1" applyFill="1" applyAlignment="1">
      <alignment vertical="center"/>
    </xf>
    <xf numFmtId="0" fontId="230" fillId="14" borderId="0" xfId="0" applyFont="1" applyFill="1" applyAlignment="1">
      <alignment vertical="center"/>
    </xf>
    <xf numFmtId="3" fontId="231" fillId="0" borderId="30" xfId="0" applyNumberFormat="1" applyFont="1" applyBorder="1" applyAlignment="1">
      <alignment horizontal="center" vertical="center"/>
    </xf>
    <xf numFmtId="0" fontId="230" fillId="14" borderId="23" xfId="0" applyFont="1" applyFill="1" applyBorder="1" applyAlignment="1">
      <alignment vertical="center"/>
    </xf>
    <xf numFmtId="0" fontId="229" fillId="14" borderId="27" xfId="0" applyFont="1" applyFill="1" applyBorder="1" applyAlignment="1">
      <alignment vertical="center"/>
    </xf>
    <xf numFmtId="0" fontId="229" fillId="14" borderId="0" xfId="0" applyFont="1" applyFill="1" applyAlignment="1">
      <alignment horizontal="center" vertical="center"/>
    </xf>
    <xf numFmtId="0" fontId="229" fillId="14" borderId="0" xfId="0" applyFont="1" applyFill="1"/>
    <xf numFmtId="0" fontId="229" fillId="0" borderId="0" xfId="0" applyFont="1"/>
    <xf numFmtId="0" fontId="229" fillId="0" borderId="0" xfId="0" applyFont="1" applyAlignment="1">
      <alignment vertical="center"/>
    </xf>
    <xf numFmtId="0" fontId="229" fillId="14" borderId="23" xfId="0" applyFont="1" applyFill="1" applyBorder="1" applyAlignment="1">
      <alignment vertical="center"/>
    </xf>
    <xf numFmtId="175" fontId="34" fillId="0" borderId="29" xfId="0" applyNumberFormat="1" applyFont="1" applyBorder="1" applyAlignment="1">
      <alignment horizontal="center" vertical="center"/>
    </xf>
    <xf numFmtId="0" fontId="170" fillId="0" borderId="29" xfId="0" applyFont="1" applyBorder="1" applyAlignment="1">
      <alignment horizontal="center" vertical="center"/>
    </xf>
    <xf numFmtId="167" fontId="24" fillId="0" borderId="60" xfId="0" applyNumberFormat="1" applyFont="1" applyBorder="1" applyAlignment="1">
      <alignment horizontal="center" vertical="center"/>
    </xf>
    <xf numFmtId="3" fontId="34" fillId="0" borderId="60" xfId="0" applyNumberFormat="1" applyFont="1" applyBorder="1" applyAlignment="1">
      <alignment horizontal="center" vertical="center"/>
    </xf>
    <xf numFmtId="0" fontId="24" fillId="2" borderId="60" xfId="0" applyFont="1" applyFill="1" applyBorder="1" applyAlignment="1" applyProtection="1">
      <alignment horizontal="center" vertical="center"/>
      <protection locked="0"/>
    </xf>
    <xf numFmtId="0" fontId="34" fillId="0" borderId="30" xfId="0" applyFont="1" applyBorder="1" applyAlignment="1">
      <alignment horizontal="center" vertical="center" wrapText="1"/>
    </xf>
    <xf numFmtId="167" fontId="34" fillId="0" borderId="60" xfId="0" applyNumberFormat="1" applyFont="1" applyBorder="1" applyAlignment="1">
      <alignment horizontal="center" vertical="center"/>
    </xf>
    <xf numFmtId="0" fontId="34" fillId="0" borderId="62" xfId="0" applyFont="1" applyBorder="1" applyAlignment="1">
      <alignment horizontal="center" vertical="center"/>
    </xf>
    <xf numFmtId="167" fontId="34" fillId="0" borderId="63" xfId="0" applyNumberFormat="1" applyFont="1" applyBorder="1" applyAlignment="1">
      <alignment horizontal="center" vertical="center"/>
    </xf>
    <xf numFmtId="9" fontId="24" fillId="2" borderId="60" xfId="0" applyNumberFormat="1" applyFont="1" applyFill="1" applyBorder="1" applyAlignment="1" applyProtection="1">
      <alignment horizontal="center" vertical="center"/>
      <protection locked="0"/>
    </xf>
    <xf numFmtId="168" fontId="3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protection locked="0"/>
    </xf>
    <xf numFmtId="0" fontId="232" fillId="0" borderId="30" xfId="0" applyFont="1" applyBorder="1" applyAlignment="1">
      <alignment horizontal="center" vertical="center"/>
    </xf>
    <xf numFmtId="166" fontId="232" fillId="11" borderId="60" xfId="1" applyNumberFormat="1" applyFont="1" applyFill="1" applyBorder="1" applyAlignment="1" applyProtection="1">
      <alignment horizontal="center" vertical="center"/>
      <protection locked="0"/>
    </xf>
    <xf numFmtId="168" fontId="2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wrapText="1"/>
      <protection locked="0"/>
    </xf>
    <xf numFmtId="10" fontId="34" fillId="0" borderId="60" xfId="0" applyNumberFormat="1" applyFont="1" applyBorder="1" applyAlignment="1">
      <alignment horizontal="center" vertical="center"/>
    </xf>
    <xf numFmtId="3" fontId="24" fillId="2" borderId="30" xfId="0" applyNumberFormat="1" applyFont="1" applyFill="1" applyBorder="1" applyAlignment="1" applyProtection="1">
      <alignment horizontal="center" vertical="center"/>
      <protection locked="0"/>
    </xf>
    <xf numFmtId="3" fontId="24" fillId="0" borderId="62" xfId="0" applyNumberFormat="1" applyFont="1" applyBorder="1" applyAlignment="1">
      <alignment horizontal="center" vertical="center"/>
    </xf>
    <xf numFmtId="10" fontId="34" fillId="0" borderId="63" xfId="0" applyNumberFormat="1" applyFont="1" applyBorder="1" applyAlignment="1">
      <alignment horizontal="center" vertical="center"/>
    </xf>
    <xf numFmtId="3" fontId="24" fillId="0" borderId="60" xfId="0" applyNumberFormat="1" applyFont="1" applyBorder="1" applyAlignment="1">
      <alignment horizontal="center" vertical="center"/>
    </xf>
    <xf numFmtId="3" fontId="24" fillId="0" borderId="63" xfId="0" applyNumberFormat="1" applyFont="1" applyBorder="1" applyAlignment="1">
      <alignment horizontal="center" vertical="center"/>
    </xf>
    <xf numFmtId="0" fontId="34" fillId="0" borderId="59" xfId="0" applyFont="1" applyBorder="1" applyAlignment="1">
      <alignment vertical="center"/>
    </xf>
    <xf numFmtId="0" fontId="24" fillId="0" borderId="61" xfId="0" applyFont="1" applyBorder="1" applyAlignment="1">
      <alignment horizontal="left" vertical="center"/>
    </xf>
    <xf numFmtId="0" fontId="34" fillId="0" borderId="59" xfId="0" applyFont="1" applyBorder="1" applyAlignment="1">
      <alignment vertical="center" wrapText="1"/>
    </xf>
    <xf numFmtId="0" fontId="34" fillId="0" borderId="61" xfId="0" applyFont="1" applyBorder="1" applyAlignment="1">
      <alignment vertical="center" wrapText="1"/>
    </xf>
    <xf numFmtId="0" fontId="232" fillId="0" borderId="59" xfId="0" applyFont="1" applyBorder="1" applyAlignment="1">
      <alignment vertical="center"/>
    </xf>
    <xf numFmtId="0" fontId="34" fillId="0" borderId="61" xfId="0" applyFont="1" applyBorder="1" applyAlignment="1">
      <alignment vertical="center"/>
    </xf>
    <xf numFmtId="0" fontId="232" fillId="0" borderId="59" xfId="0" applyFont="1" applyBorder="1" applyAlignment="1">
      <alignment vertical="center" wrapText="1"/>
    </xf>
    <xf numFmtId="0" fontId="234" fillId="0" borderId="59" xfId="0" applyFont="1" applyBorder="1" applyAlignment="1">
      <alignment vertical="center" wrapText="1"/>
    </xf>
    <xf numFmtId="2" fontId="45" fillId="0" borderId="59" xfId="0" applyNumberFormat="1" applyFont="1" applyBorder="1" applyAlignment="1">
      <alignment horizontal="center" vertical="center"/>
    </xf>
    <xf numFmtId="2" fontId="45" fillId="0" borderId="60" xfId="0" applyNumberFormat="1" applyFont="1" applyBorder="1" applyAlignment="1">
      <alignment horizontal="center" vertical="center"/>
    </xf>
    <xf numFmtId="2" fontId="36" fillId="0" borderId="30" xfId="0" applyNumberFormat="1" applyFont="1" applyBorder="1" applyAlignment="1">
      <alignment horizontal="center" vertical="center"/>
    </xf>
    <xf numFmtId="0" fontId="170" fillId="0" borderId="29" xfId="0" applyFont="1" applyBorder="1" applyAlignment="1">
      <alignment horizontal="center" vertical="center" wrapText="1"/>
    </xf>
    <xf numFmtId="0" fontId="170" fillId="2" borderId="30" xfId="0" applyFont="1" applyFill="1" applyBorder="1" applyAlignment="1" applyProtection="1">
      <alignment horizontal="center" vertical="center" wrapText="1"/>
      <protection locked="0"/>
    </xf>
    <xf numFmtId="180" fontId="170" fillId="2" borderId="31" xfId="0" applyNumberFormat="1" applyFont="1" applyFill="1" applyBorder="1" applyAlignment="1" applyProtection="1">
      <alignment horizontal="center" vertical="center" wrapText="1"/>
      <protection locked="0"/>
    </xf>
    <xf numFmtId="175" fontId="178" fillId="0" borderId="30" xfId="0" applyNumberFormat="1" applyFont="1" applyBorder="1" applyAlignment="1">
      <alignment horizontal="center" vertical="center"/>
    </xf>
    <xf numFmtId="175" fontId="178" fillId="5" borderId="30" xfId="0" applyNumberFormat="1" applyFont="1" applyFill="1" applyBorder="1" applyAlignment="1">
      <alignment horizontal="center" vertical="center"/>
    </xf>
    <xf numFmtId="0" fontId="170" fillId="0" borderId="30" xfId="0" applyFont="1" applyBorder="1" applyAlignment="1">
      <alignment horizontal="center" vertical="center" wrapText="1"/>
    </xf>
    <xf numFmtId="180" fontId="170" fillId="0" borderId="31" xfId="0" applyNumberFormat="1" applyFont="1" applyBorder="1" applyAlignment="1">
      <alignment horizontal="center" vertical="center" wrapText="1"/>
    </xf>
    <xf numFmtId="175" fontId="178" fillId="0" borderId="29" xfId="0" applyNumberFormat="1" applyFont="1" applyBorder="1" applyAlignment="1">
      <alignment horizontal="center" vertical="center"/>
    </xf>
    <xf numFmtId="166" fontId="25" fillId="0" borderId="59" xfId="0" applyNumberFormat="1" applyFont="1" applyBorder="1" applyAlignment="1">
      <alignment horizontal="center" vertical="center"/>
    </xf>
    <xf numFmtId="10" fontId="45" fillId="0" borderId="30" xfId="0" applyNumberFormat="1" applyFont="1" applyBorder="1" applyAlignment="1">
      <alignment horizontal="center" vertical="center"/>
    </xf>
    <xf numFmtId="166" fontId="236" fillId="55" borderId="0" xfId="1" applyNumberFormat="1" applyFont="1" applyFill="1" applyAlignment="1">
      <alignment horizontal="center" vertical="center"/>
    </xf>
    <xf numFmtId="2" fontId="93" fillId="27" borderId="30" xfId="0" applyNumberFormat="1" applyFont="1" applyFill="1" applyBorder="1" applyAlignment="1" applyProtection="1">
      <alignment horizontal="center" vertical="center"/>
      <protection locked="0"/>
    </xf>
    <xf numFmtId="9" fontId="38" fillId="0" borderId="0" xfId="1" applyFont="1" applyAlignment="1">
      <alignment horizontal="center" vertical="center"/>
    </xf>
    <xf numFmtId="1" fontId="45"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47" fillId="0" borderId="59" xfId="0" applyNumberFormat="1" applyFont="1" applyBorder="1" applyAlignment="1">
      <alignment horizontal="center" vertical="center"/>
    </xf>
    <xf numFmtId="166" fontId="70" fillId="0" borderId="59" xfId="0" applyNumberFormat="1" applyFont="1" applyBorder="1" applyAlignment="1">
      <alignment horizontal="center" vertical="center"/>
    </xf>
    <xf numFmtId="173" fontId="38" fillId="0" borderId="5" xfId="0" applyNumberFormat="1" applyFont="1" applyBorder="1" applyAlignment="1">
      <alignment horizontal="center" vertical="center"/>
    </xf>
    <xf numFmtId="167" fontId="119" fillId="0" borderId="0" xfId="0" applyNumberFormat="1" applyFont="1" applyAlignment="1">
      <alignment horizontal="center" vertical="center"/>
    </xf>
    <xf numFmtId="167" fontId="38" fillId="0" borderId="0" xfId="0" applyNumberFormat="1" applyFont="1" applyAlignment="1">
      <alignment horizontal="center" vertical="center"/>
    </xf>
    <xf numFmtId="167" fontId="45" fillId="0" borderId="0" xfId="0" applyNumberFormat="1" applyFont="1" applyAlignment="1">
      <alignment horizontal="right" vertical="center"/>
    </xf>
    <xf numFmtId="0" fontId="59" fillId="0" borderId="23" xfId="0" applyFont="1" applyBorder="1" applyAlignment="1">
      <alignment vertical="center"/>
    </xf>
    <xf numFmtId="0" fontId="59" fillId="0" borderId="23" xfId="0" applyFont="1" applyBorder="1" applyAlignment="1">
      <alignment horizontal="center" vertical="center"/>
    </xf>
    <xf numFmtId="10" fontId="38" fillId="0" borderId="23" xfId="0" applyNumberFormat="1" applyFont="1" applyBorder="1" applyAlignment="1">
      <alignment horizontal="center" vertical="center"/>
    </xf>
    <xf numFmtId="9" fontId="38" fillId="0" borderId="23" xfId="0" applyNumberFormat="1" applyFont="1" applyBorder="1" applyAlignment="1">
      <alignment horizontal="center" vertical="center"/>
    </xf>
    <xf numFmtId="168" fontId="0" fillId="0" borderId="0" xfId="0" applyNumberFormat="1" applyAlignment="1">
      <alignment vertical="center"/>
    </xf>
    <xf numFmtId="0" fontId="28" fillId="0" borderId="0" xfId="0" applyFont="1" applyAlignment="1">
      <alignment vertical="center"/>
    </xf>
    <xf numFmtId="181" fontId="0" fillId="0" borderId="0" xfId="0" applyNumberFormat="1" applyAlignment="1">
      <alignment vertical="center"/>
    </xf>
    <xf numFmtId="0" fontId="7" fillId="57" borderId="142" xfId="0" applyFont="1" applyFill="1" applyBorder="1" applyAlignment="1">
      <alignment horizontal="right" vertical="center"/>
    </xf>
    <xf numFmtId="0" fontId="28" fillId="14" borderId="169" xfId="0" applyFont="1" applyFill="1" applyBorder="1" applyAlignment="1">
      <alignment horizontal="right" vertical="center"/>
    </xf>
    <xf numFmtId="0" fontId="28" fillId="14" borderId="168" xfId="0" applyFont="1" applyFill="1" applyBorder="1" applyAlignment="1">
      <alignment vertical="center"/>
    </xf>
    <xf numFmtId="1" fontId="28" fillId="14" borderId="168" xfId="0" applyNumberFormat="1" applyFont="1" applyFill="1" applyBorder="1" applyAlignment="1">
      <alignment horizontal="center" vertical="center"/>
    </xf>
    <xf numFmtId="9" fontId="28"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28" fillId="14" borderId="164" xfId="0" applyFont="1" applyFill="1" applyBorder="1" applyAlignment="1">
      <alignment horizontal="right" vertical="center"/>
    </xf>
    <xf numFmtId="0" fontId="28" fillId="14" borderId="162" xfId="0" applyFont="1" applyFill="1" applyBorder="1" applyAlignment="1">
      <alignment vertical="center"/>
    </xf>
    <xf numFmtId="1" fontId="28" fillId="14" borderId="162" xfId="0" applyNumberFormat="1" applyFont="1" applyFill="1" applyBorder="1" applyAlignment="1">
      <alignment horizontal="center" vertical="center"/>
    </xf>
    <xf numFmtId="9" fontId="28" fillId="14" borderId="162" xfId="1" applyFont="1" applyFill="1" applyBorder="1" applyAlignment="1">
      <alignment horizontal="center" vertical="center"/>
    </xf>
    <xf numFmtId="0" fontId="7" fillId="57" borderId="164" xfId="0" applyFont="1" applyFill="1" applyBorder="1" applyAlignment="1">
      <alignment horizontal="right" vertical="center"/>
    </xf>
    <xf numFmtId="0" fontId="7" fillId="57" borderId="162" xfId="0" applyFont="1" applyFill="1" applyBorder="1" applyAlignment="1">
      <alignment vertical="center"/>
    </xf>
    <xf numFmtId="1" fontId="7" fillId="57" borderId="162" xfId="0" applyNumberFormat="1" applyFont="1" applyFill="1" applyBorder="1" applyAlignment="1">
      <alignment horizontal="center" vertical="center"/>
    </xf>
    <xf numFmtId="9" fontId="7" fillId="57"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28" fillId="0" borderId="162" xfId="0" applyFont="1" applyBorder="1" applyAlignment="1">
      <alignment vertical="center"/>
    </xf>
    <xf numFmtId="0" fontId="28" fillId="57" borderId="0" xfId="0" applyFont="1" applyFill="1" applyAlignment="1">
      <alignment vertical="center"/>
    </xf>
    <xf numFmtId="0" fontId="6" fillId="57" borderId="141" xfId="0" applyFont="1" applyFill="1" applyBorder="1" applyAlignment="1">
      <alignment horizontal="right" vertical="center"/>
    </xf>
    <xf numFmtId="0" fontId="6" fillId="57" borderId="140" xfId="0" applyFont="1" applyFill="1" applyBorder="1" applyAlignment="1">
      <alignment vertical="center"/>
    </xf>
    <xf numFmtId="3" fontId="6" fillId="57" borderId="140" xfId="0" applyNumberFormat="1" applyFont="1" applyFill="1" applyBorder="1" applyAlignment="1">
      <alignment horizontal="center" vertical="center"/>
    </xf>
    <xf numFmtId="1" fontId="0" fillId="0" borderId="0" xfId="0" applyNumberFormat="1" applyAlignment="1">
      <alignment vertical="center"/>
    </xf>
    <xf numFmtId="3" fontId="7" fillId="57" borderId="166" xfId="0" applyNumberFormat="1" applyFont="1" applyFill="1" applyBorder="1" applyAlignment="1">
      <alignment horizontal="center" vertical="center"/>
    </xf>
    <xf numFmtId="0" fontId="28" fillId="14" borderId="171" xfId="0" applyFont="1" applyFill="1" applyBorder="1" applyAlignment="1">
      <alignment horizontal="right" vertical="center"/>
    </xf>
    <xf numFmtId="0" fontId="28" fillId="14" borderId="163" xfId="0" applyFont="1" applyFill="1" applyBorder="1" applyAlignment="1">
      <alignment vertical="center"/>
    </xf>
    <xf numFmtId="1" fontId="28" fillId="14" borderId="163" xfId="0" applyNumberFormat="1" applyFont="1" applyFill="1" applyBorder="1" applyAlignment="1">
      <alignment horizontal="center" vertical="center"/>
    </xf>
    <xf numFmtId="9" fontId="28" fillId="14" borderId="163" xfId="1" applyFont="1" applyFill="1" applyBorder="1" applyAlignment="1">
      <alignment horizontal="center" vertical="center"/>
    </xf>
    <xf numFmtId="0" fontId="240" fillId="0" borderId="0" xfId="0" applyFont="1" applyAlignment="1">
      <alignment vertical="center"/>
    </xf>
    <xf numFmtId="0" fontId="28" fillId="14" borderId="173" xfId="0" applyFont="1" applyFill="1" applyBorder="1" applyAlignment="1">
      <alignment vertical="center"/>
    </xf>
    <xf numFmtId="1" fontId="28" fillId="0" borderId="0" xfId="0" applyNumberFormat="1" applyFont="1" applyAlignment="1">
      <alignment horizontal="center" vertical="center"/>
    </xf>
    <xf numFmtId="9" fontId="28" fillId="0" borderId="23" xfId="1" applyFont="1" applyFill="1" applyBorder="1" applyAlignment="1">
      <alignment horizontal="center" vertical="center"/>
    </xf>
    <xf numFmtId="1" fontId="28" fillId="0" borderId="162" xfId="0" applyNumberFormat="1" applyFont="1" applyBorder="1" applyAlignment="1">
      <alignment horizontal="center" vertical="center"/>
    </xf>
    <xf numFmtId="9" fontId="28" fillId="0" borderId="162" xfId="1" applyFont="1" applyFill="1" applyBorder="1" applyAlignment="1">
      <alignment horizontal="center" vertical="center"/>
    </xf>
    <xf numFmtId="3" fontId="28" fillId="57" borderId="0" xfId="0" applyNumberFormat="1" applyFont="1" applyFill="1" applyAlignment="1">
      <alignment horizontal="center" vertical="center"/>
    </xf>
    <xf numFmtId="1" fontId="28" fillId="57" borderId="0" xfId="0" applyNumberFormat="1" applyFont="1" applyFill="1" applyAlignment="1">
      <alignment horizontal="center" vertical="center"/>
    </xf>
    <xf numFmtId="168" fontId="6" fillId="57" borderId="167" xfId="0" applyNumberFormat="1" applyFont="1" applyFill="1" applyBorder="1" applyAlignment="1">
      <alignment horizontal="center" vertical="center"/>
    </xf>
    <xf numFmtId="0" fontId="36" fillId="14" borderId="0" xfId="0" applyFont="1" applyFill="1" applyAlignment="1">
      <alignment horizontal="center" vertical="center"/>
    </xf>
    <xf numFmtId="165" fontId="47" fillId="58" borderId="30" xfId="0" applyNumberFormat="1" applyFont="1" applyFill="1" applyBorder="1" applyAlignment="1">
      <alignment horizontal="center" vertical="center"/>
    </xf>
    <xf numFmtId="9" fontId="39"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28" fillId="0" borderId="23" xfId="0" applyFont="1" applyBorder="1" applyAlignment="1">
      <alignment horizontal="center" vertical="center"/>
    </xf>
    <xf numFmtId="0" fontId="28"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39" fillId="0" borderId="0" xfId="0" applyFont="1" applyAlignment="1">
      <alignment vertical="center"/>
    </xf>
    <xf numFmtId="0" fontId="6" fillId="0" borderId="23" xfId="0" applyFont="1" applyBorder="1" applyAlignment="1">
      <alignment horizontal="center" vertical="center"/>
    </xf>
    <xf numFmtId="0" fontId="28" fillId="0" borderId="23" xfId="0" applyFont="1" applyBorder="1" applyAlignment="1">
      <alignment horizontal="right" vertical="center"/>
    </xf>
    <xf numFmtId="0" fontId="7" fillId="0" borderId="23" xfId="0" applyFont="1" applyBorder="1" applyAlignment="1">
      <alignment horizontal="right" vertical="center"/>
    </xf>
    <xf numFmtId="0" fontId="7" fillId="57" borderId="23" xfId="0" applyFont="1" applyFill="1" applyBorder="1" applyAlignment="1">
      <alignment horizontal="right" vertical="center"/>
    </xf>
    <xf numFmtId="0" fontId="7" fillId="57" borderId="23" xfId="0" quotePrefix="1" applyFont="1" applyFill="1" applyBorder="1" applyAlignment="1">
      <alignment horizontal="right" vertical="center"/>
    </xf>
    <xf numFmtId="0" fontId="28" fillId="0" borderId="23" xfId="0" applyFont="1" applyBorder="1" applyAlignment="1">
      <alignment vertical="center"/>
    </xf>
    <xf numFmtId="0" fontId="28" fillId="14" borderId="162" xfId="0" applyFont="1" applyFill="1" applyBorder="1" applyAlignment="1">
      <alignment horizontal="right" vertical="center"/>
    </xf>
    <xf numFmtId="0" fontId="28" fillId="14" borderId="168" xfId="0" applyFont="1" applyFill="1" applyBorder="1" applyAlignment="1">
      <alignment horizontal="right" vertical="center"/>
    </xf>
    <xf numFmtId="0" fontId="28" fillId="14" borderId="173" xfId="0" applyFont="1" applyFill="1" applyBorder="1" applyAlignment="1">
      <alignment horizontal="right" vertical="center"/>
    </xf>
    <xf numFmtId="0" fontId="6" fillId="0" borderId="181" xfId="0" applyFont="1" applyBorder="1" applyAlignment="1">
      <alignment horizontal="center" vertical="center"/>
    </xf>
    <xf numFmtId="0" fontId="28"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5" fillId="0" borderId="165" xfId="0" applyNumberFormat="1" applyFont="1" applyBorder="1" applyAlignment="1">
      <alignment horizontal="center" vertical="center"/>
    </xf>
    <xf numFmtId="3" fontId="27"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7"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27" fillId="57"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37" fillId="0" borderId="23" xfId="4" applyFont="1" applyAlignment="1">
      <alignment vertical="center"/>
    </xf>
    <xf numFmtId="0" fontId="238" fillId="0" borderId="23" xfId="4" applyFont="1" applyAlignment="1">
      <alignment horizontal="right" vertical="center"/>
    </xf>
    <xf numFmtId="0" fontId="7" fillId="0" borderId="144" xfId="0" applyFont="1" applyBorder="1" applyAlignment="1">
      <alignment horizontal="right" vertical="center"/>
    </xf>
    <xf numFmtId="0" fontId="237"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37"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0" fillId="0" borderId="0" xfId="0" applyFont="1" applyAlignment="1">
      <alignment vertical="center"/>
    </xf>
    <xf numFmtId="0" fontId="27" fillId="57" borderId="141" xfId="0" applyFont="1" applyFill="1" applyBorder="1" applyAlignment="1">
      <alignment horizontal="right" vertical="center"/>
    </xf>
    <xf numFmtId="168" fontId="27" fillId="57" borderId="167" xfId="0" applyNumberFormat="1" applyFont="1" applyFill="1" applyBorder="1" applyAlignment="1">
      <alignment horizontal="center" vertical="center"/>
    </xf>
    <xf numFmtId="0" fontId="27" fillId="57" borderId="140" xfId="0" applyFont="1" applyFill="1" applyBorder="1" applyAlignment="1">
      <alignment vertical="center"/>
    </xf>
    <xf numFmtId="1" fontId="27" fillId="57"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7" borderId="165" xfId="0" applyNumberFormat="1" applyFont="1" applyFill="1" applyBorder="1" applyAlignment="1">
      <alignment horizontal="center" vertical="center"/>
    </xf>
    <xf numFmtId="0" fontId="7" fillId="57" borderId="0" xfId="0" applyFont="1" applyFill="1" applyAlignment="1">
      <alignment vertical="center"/>
    </xf>
    <xf numFmtId="1" fontId="7" fillId="57" borderId="0" xfId="0" applyNumberFormat="1" applyFont="1" applyFill="1" applyAlignment="1">
      <alignment horizontal="center" vertical="center"/>
    </xf>
    <xf numFmtId="9" fontId="7" fillId="57" borderId="23" xfId="1" applyFont="1" applyFill="1" applyBorder="1" applyAlignment="1">
      <alignment horizontal="center" vertical="center"/>
    </xf>
    <xf numFmtId="9" fontId="28" fillId="57" borderId="23" xfId="1" applyFont="1" applyFill="1" applyBorder="1" applyAlignment="1">
      <alignment horizontal="center" vertical="center"/>
    </xf>
    <xf numFmtId="0" fontId="194" fillId="57" borderId="142" xfId="0" applyFont="1" applyFill="1" applyBorder="1" applyAlignment="1">
      <alignment horizontal="right" vertical="center"/>
    </xf>
    <xf numFmtId="3" fontId="194" fillId="57" borderId="165" xfId="0" applyNumberFormat="1" applyFont="1" applyFill="1" applyBorder="1" applyAlignment="1">
      <alignment horizontal="center" vertical="center"/>
    </xf>
    <xf numFmtId="0" fontId="193" fillId="57" borderId="0" xfId="0" applyFont="1" applyFill="1" applyAlignment="1">
      <alignment vertical="center"/>
    </xf>
    <xf numFmtId="1" fontId="193" fillId="57" borderId="0" xfId="0" applyNumberFormat="1" applyFont="1" applyFill="1" applyAlignment="1">
      <alignment horizontal="center" vertical="center"/>
    </xf>
    <xf numFmtId="9" fontId="193" fillId="57" borderId="23" xfId="1" applyFont="1" applyFill="1" applyBorder="1" applyAlignment="1">
      <alignment horizontal="center" vertical="center"/>
    </xf>
    <xf numFmtId="0" fontId="193" fillId="57" borderId="163" xfId="0" applyFont="1" applyFill="1" applyBorder="1" applyAlignment="1">
      <alignment vertical="center"/>
    </xf>
    <xf numFmtId="1" fontId="193" fillId="57" borderId="163" xfId="0" applyNumberFormat="1" applyFont="1" applyFill="1" applyBorder="1" applyAlignment="1">
      <alignment horizontal="center" vertical="center"/>
    </xf>
    <xf numFmtId="9" fontId="193" fillId="57" borderId="163" xfId="1" applyFont="1" applyFill="1" applyBorder="1" applyAlignment="1">
      <alignment horizontal="center" vertical="center"/>
    </xf>
    <xf numFmtId="0" fontId="213" fillId="57" borderId="141" xfId="0" applyFont="1" applyFill="1" applyBorder="1" applyAlignment="1">
      <alignment horizontal="right" vertical="center"/>
    </xf>
    <xf numFmtId="3" fontId="213" fillId="57" borderId="167" xfId="0" applyNumberFormat="1" applyFont="1" applyFill="1" applyBorder="1" applyAlignment="1">
      <alignment horizontal="center" vertical="center"/>
    </xf>
    <xf numFmtId="0" fontId="213" fillId="57" borderId="140" xfId="0" applyFont="1" applyFill="1" applyBorder="1" applyAlignment="1">
      <alignment vertical="center"/>
    </xf>
    <xf numFmtId="0" fontId="213" fillId="57" borderId="0" xfId="0" applyFont="1" applyFill="1" applyAlignment="1">
      <alignment vertical="center"/>
    </xf>
    <xf numFmtId="1" fontId="213" fillId="57" borderId="0" xfId="0" applyNumberFormat="1" applyFont="1" applyFill="1" applyAlignment="1">
      <alignment horizontal="center" vertical="center"/>
    </xf>
    <xf numFmtId="9" fontId="213" fillId="57" borderId="0" xfId="1" applyFont="1" applyFill="1" applyAlignment="1">
      <alignment horizontal="center" vertical="center"/>
    </xf>
    <xf numFmtId="3" fontId="7" fillId="57" borderId="183" xfId="0" applyNumberFormat="1" applyFont="1" applyFill="1" applyBorder="1" applyAlignment="1">
      <alignment horizontal="center" vertical="center"/>
    </xf>
    <xf numFmtId="3" fontId="7" fillId="57" borderId="177" xfId="0" applyNumberFormat="1" applyFont="1" applyFill="1" applyBorder="1" applyAlignment="1">
      <alignment horizontal="center" vertical="center"/>
    </xf>
    <xf numFmtId="0" fontId="7" fillId="57" borderId="169" xfId="0" applyFont="1" applyFill="1" applyBorder="1" applyAlignment="1">
      <alignment horizontal="right" vertical="center"/>
    </xf>
    <xf numFmtId="168" fontId="7" fillId="57" borderId="170" xfId="0" applyNumberFormat="1" applyFont="1" applyFill="1" applyBorder="1" applyAlignment="1">
      <alignment horizontal="center" vertical="center"/>
    </xf>
    <xf numFmtId="0" fontId="28" fillId="57" borderId="168" xfId="0" applyFont="1" applyFill="1" applyBorder="1" applyAlignment="1">
      <alignment vertical="center"/>
    </xf>
    <xf numFmtId="1" fontId="28" fillId="57"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7" borderId="170" xfId="4" applyNumberFormat="1" applyFill="1" applyBorder="1" applyAlignment="1">
      <alignment horizontal="center" vertical="center"/>
    </xf>
    <xf numFmtId="0" fontId="237" fillId="0" borderId="168" xfId="4" applyFont="1" applyBorder="1" applyAlignment="1">
      <alignment vertical="center"/>
    </xf>
    <xf numFmtId="0" fontId="0" fillId="0" borderId="168" xfId="0" applyBorder="1" applyAlignment="1">
      <alignment vertical="center"/>
    </xf>
    <xf numFmtId="0" fontId="237" fillId="0" borderId="168" xfId="4" applyFont="1" applyBorder="1" applyAlignment="1">
      <alignment horizontal="right" vertical="center"/>
    </xf>
    <xf numFmtId="0" fontId="3" fillId="0" borderId="168" xfId="4" applyFont="1" applyBorder="1" applyAlignment="1">
      <alignment horizontal="right"/>
    </xf>
    <xf numFmtId="3" fontId="24" fillId="57" borderId="170" xfId="0" applyNumberFormat="1" applyFont="1" applyFill="1" applyBorder="1" applyAlignment="1">
      <alignment horizontal="center" vertical="center"/>
    </xf>
    <xf numFmtId="0" fontId="4" fillId="0" borderId="168" xfId="4" applyBorder="1" applyAlignment="1">
      <alignment vertical="center"/>
    </xf>
    <xf numFmtId="0" fontId="4" fillId="57" borderId="170" xfId="4" applyFill="1" applyBorder="1" applyAlignment="1">
      <alignment horizontal="center"/>
    </xf>
    <xf numFmtId="0" fontId="4" fillId="0" borderId="168" xfId="4" applyBorder="1"/>
    <xf numFmtId="0" fontId="28" fillId="0" borderId="168" xfId="0" applyFont="1" applyBorder="1" applyAlignment="1">
      <alignment horizontal="right" vertical="center"/>
    </xf>
    <xf numFmtId="0" fontId="3" fillId="0" borderId="168" xfId="4" applyFont="1" applyBorder="1" applyAlignment="1">
      <alignment vertical="center"/>
    </xf>
    <xf numFmtId="0" fontId="28" fillId="0" borderId="168" xfId="0" applyFont="1" applyBorder="1" applyAlignment="1">
      <alignment vertical="center"/>
    </xf>
    <xf numFmtId="0" fontId="238" fillId="0" borderId="145" xfId="4" applyFont="1" applyBorder="1" applyAlignment="1">
      <alignment horizontal="right" vertical="center"/>
    </xf>
    <xf numFmtId="3" fontId="28"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01" fillId="56" borderId="175" xfId="0" applyFont="1" applyFill="1" applyBorder="1" applyAlignment="1">
      <alignment horizontal="right" vertical="center"/>
    </xf>
    <xf numFmtId="3" fontId="201" fillId="56" borderId="175" xfId="0" applyNumberFormat="1" applyFont="1" applyFill="1" applyBorder="1" applyAlignment="1">
      <alignment horizontal="center" vertical="center"/>
    </xf>
    <xf numFmtId="0" fontId="201" fillId="56" borderId="139" xfId="0" applyFont="1" applyFill="1" applyBorder="1" applyAlignment="1">
      <alignment horizontal="left" vertical="center"/>
    </xf>
    <xf numFmtId="0" fontId="245" fillId="56" borderId="140" xfId="0" applyFont="1" applyFill="1" applyBorder="1" applyAlignment="1">
      <alignment vertical="center"/>
    </xf>
    <xf numFmtId="0" fontId="245" fillId="56" borderId="141" xfId="0" applyFont="1" applyFill="1" applyBorder="1" applyAlignment="1">
      <alignment vertical="center"/>
    </xf>
    <xf numFmtId="0" fontId="242" fillId="56" borderId="188" xfId="4" applyFont="1" applyFill="1" applyBorder="1" applyAlignment="1">
      <alignment horizontal="right" vertical="center"/>
    </xf>
    <xf numFmtId="1" fontId="242" fillId="56" borderId="188" xfId="4" applyNumberFormat="1" applyFont="1" applyFill="1" applyBorder="1" applyAlignment="1">
      <alignment horizontal="center" vertical="center"/>
    </xf>
    <xf numFmtId="0" fontId="242" fillId="56" borderId="189" xfId="4" applyFont="1" applyFill="1" applyBorder="1" applyAlignment="1">
      <alignment vertical="center"/>
    </xf>
    <xf numFmtId="0" fontId="201" fillId="56" borderId="168" xfId="0" applyFont="1" applyFill="1" applyBorder="1" applyAlignment="1">
      <alignment vertical="center"/>
    </xf>
    <xf numFmtId="0" fontId="201" fillId="56" borderId="169" xfId="0" applyFont="1" applyFill="1" applyBorder="1" applyAlignment="1">
      <alignment vertical="center"/>
    </xf>
    <xf numFmtId="0" fontId="242" fillId="56" borderId="176" xfId="4" applyFont="1" applyFill="1" applyBorder="1" applyAlignment="1">
      <alignment horizontal="right" vertical="center"/>
    </xf>
    <xf numFmtId="0" fontId="242" fillId="56" borderId="143" xfId="4" applyFont="1" applyFill="1" applyBorder="1" applyAlignment="1">
      <alignment vertical="center"/>
    </xf>
    <xf numFmtId="0" fontId="201" fillId="56" borderId="144" xfId="0" applyFont="1" applyFill="1" applyBorder="1" applyAlignment="1">
      <alignment vertical="center"/>
    </xf>
    <xf numFmtId="0" fontId="201" fillId="56" borderId="145" xfId="0" applyFont="1" applyFill="1" applyBorder="1" applyAlignment="1">
      <alignment vertical="center"/>
    </xf>
    <xf numFmtId="0" fontId="243" fillId="56" borderId="174" xfId="4" applyFont="1" applyFill="1" applyBorder="1" applyAlignment="1">
      <alignment horizontal="right" vertical="center"/>
    </xf>
    <xf numFmtId="166" fontId="213" fillId="56" borderId="176" xfId="1" applyNumberFormat="1" applyFont="1" applyFill="1" applyBorder="1" applyAlignment="1">
      <alignment horizontal="center" vertical="center"/>
    </xf>
    <xf numFmtId="0" fontId="30" fillId="14" borderId="0" xfId="0" applyFont="1" applyFill="1" applyAlignment="1">
      <alignment vertical="center"/>
    </xf>
    <xf numFmtId="0" fontId="157" fillId="0" borderId="57" xfId="0" applyFont="1" applyBorder="1" applyAlignment="1">
      <alignment vertical="center"/>
    </xf>
    <xf numFmtId="0" fontId="155" fillId="14" borderId="23" xfId="0" applyFont="1" applyFill="1" applyBorder="1" applyAlignment="1">
      <alignment vertical="center"/>
    </xf>
    <xf numFmtId="0" fontId="155" fillId="0" borderId="59" xfId="0" applyFont="1" applyBorder="1" applyAlignment="1">
      <alignment vertical="center"/>
    </xf>
    <xf numFmtId="0" fontId="155" fillId="0" borderId="60" xfId="0" applyFont="1" applyBorder="1" applyAlignment="1">
      <alignment vertical="center"/>
    </xf>
    <xf numFmtId="9" fontId="155" fillId="0" borderId="30" xfId="1" applyFont="1" applyBorder="1" applyAlignment="1">
      <alignment vertical="center"/>
    </xf>
    <xf numFmtId="0" fontId="155" fillId="0" borderId="0" xfId="0" applyFont="1" applyAlignment="1">
      <alignment horizontal="center" vertical="center"/>
    </xf>
    <xf numFmtId="0" fontId="155" fillId="0" borderId="0" xfId="0" applyFont="1" applyAlignment="1">
      <alignment vertical="center"/>
    </xf>
    <xf numFmtId="168" fontId="7" fillId="57" borderId="190" xfId="0" applyNumberFormat="1" applyFont="1" applyFill="1" applyBorder="1" applyAlignment="1">
      <alignment horizontal="center" vertical="center"/>
    </xf>
    <xf numFmtId="9" fontId="2" fillId="57" borderId="170" xfId="1" applyFont="1" applyFill="1" applyBorder="1" applyAlignment="1">
      <alignment horizontal="center" vertical="center"/>
    </xf>
    <xf numFmtId="0" fontId="28"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01" fillId="16" borderId="137" xfId="0" applyFont="1" applyFill="1" applyBorder="1" applyAlignment="1">
      <alignment horizontal="center" vertical="center"/>
    </xf>
    <xf numFmtId="0" fontId="201" fillId="16" borderId="138" xfId="0" applyFont="1" applyFill="1" applyBorder="1" applyAlignment="1">
      <alignment horizontal="center" vertical="center"/>
    </xf>
    <xf numFmtId="0" fontId="199" fillId="16" borderId="132" xfId="0" applyFont="1" applyFill="1" applyBorder="1" applyAlignment="1">
      <alignment vertical="center"/>
    </xf>
    <xf numFmtId="0" fontId="59" fillId="29" borderId="134" xfId="0" applyFont="1" applyFill="1" applyBorder="1" applyAlignment="1">
      <alignment vertical="center"/>
    </xf>
    <xf numFmtId="0" fontId="57" fillId="0" borderId="120" xfId="0" applyFont="1" applyBorder="1" applyAlignment="1">
      <alignment vertical="center"/>
    </xf>
    <xf numFmtId="0" fontId="160" fillId="29" borderId="134" xfId="0" applyFont="1" applyFill="1" applyBorder="1" applyAlignment="1">
      <alignment vertical="center" wrapText="1"/>
    </xf>
    <xf numFmtId="0" fontId="59" fillId="29" borderId="120" xfId="0" applyFont="1" applyFill="1" applyBorder="1" applyAlignment="1">
      <alignment vertical="center"/>
    </xf>
    <xf numFmtId="0" fontId="57" fillId="0" borderId="129" xfId="0" applyFont="1" applyBorder="1" applyAlignment="1">
      <alignment vertical="center" wrapText="1"/>
    </xf>
    <xf numFmtId="0" fontId="160" fillId="29" borderId="134" xfId="0" applyFont="1" applyFill="1" applyBorder="1" applyAlignment="1">
      <alignment vertical="center"/>
    </xf>
    <xf numFmtId="0" fontId="57" fillId="0" borderId="129" xfId="0" applyFont="1" applyBorder="1" applyAlignment="1">
      <alignment vertical="center"/>
    </xf>
    <xf numFmtId="10" fontId="38" fillId="0" borderId="108" xfId="0" applyNumberFormat="1" applyFont="1" applyBorder="1" applyAlignment="1">
      <alignment horizontal="center" vertical="center"/>
    </xf>
    <xf numFmtId="9" fontId="38" fillId="0" borderId="108" xfId="0" applyNumberFormat="1" applyFont="1" applyBorder="1" applyAlignment="1">
      <alignment horizontal="center" vertical="center"/>
    </xf>
    <xf numFmtId="166" fontId="38" fillId="14" borderId="108" xfId="0" applyNumberFormat="1" applyFont="1" applyFill="1" applyBorder="1" applyAlignment="1">
      <alignment horizontal="center" vertical="center"/>
    </xf>
    <xf numFmtId="0" fontId="38" fillId="0" borderId="115" xfId="0" applyFont="1" applyBorder="1" applyAlignment="1">
      <alignment horizontal="center" vertical="center"/>
    </xf>
    <xf numFmtId="10" fontId="119" fillId="0" borderId="111" xfId="0" applyNumberFormat="1" applyFont="1" applyBorder="1" applyAlignment="1">
      <alignment horizontal="center" vertical="center"/>
    </xf>
    <xf numFmtId="0" fontId="161" fillId="29" borderId="125" xfId="0" applyFont="1" applyFill="1" applyBorder="1" applyAlignment="1" applyProtection="1">
      <alignment vertical="center"/>
      <protection locked="0"/>
    </xf>
    <xf numFmtId="165" fontId="197" fillId="0" borderId="23" xfId="0" applyNumberFormat="1" applyFont="1" applyBorder="1" applyAlignment="1" applyProtection="1">
      <alignment horizontal="center" vertical="center"/>
      <protection locked="0"/>
    </xf>
    <xf numFmtId="0" fontId="59" fillId="0" borderId="114" xfId="0" applyFont="1" applyBorder="1" applyAlignment="1">
      <alignment horizontal="center" vertical="center"/>
    </xf>
    <xf numFmtId="0" fontId="198" fillId="0" borderId="114" xfId="0" applyFont="1" applyBorder="1" applyAlignment="1">
      <alignment horizontal="left" vertical="center" wrapText="1"/>
    </xf>
    <xf numFmtId="165" fontId="38" fillId="0" borderId="23" xfId="0" applyNumberFormat="1" applyFont="1" applyBorder="1" applyAlignment="1" applyProtection="1">
      <alignment horizontal="center" vertical="center"/>
      <protection locked="0"/>
    </xf>
    <xf numFmtId="10" fontId="192" fillId="0" borderId="114" xfId="0" applyNumberFormat="1" applyFont="1" applyBorder="1" applyAlignment="1" applyProtection="1">
      <alignment horizontal="center" vertical="center"/>
      <protection locked="0"/>
    </xf>
    <xf numFmtId="0" fontId="192" fillId="0" borderId="114" xfId="0" applyFont="1" applyBorder="1" applyAlignment="1" applyProtection="1">
      <alignment horizontal="center" vertical="center"/>
      <protection locked="0"/>
    </xf>
    <xf numFmtId="0" fontId="199" fillId="0" borderId="114" xfId="0" applyFont="1" applyBorder="1" applyAlignment="1">
      <alignment vertical="center"/>
    </xf>
    <xf numFmtId="0" fontId="199" fillId="0" borderId="195" xfId="0" applyFont="1" applyBorder="1" applyAlignment="1">
      <alignment vertical="center"/>
    </xf>
    <xf numFmtId="0" fontId="61" fillId="0" borderId="120" xfId="0" applyFont="1" applyBorder="1" applyAlignment="1">
      <alignment horizontal="left" vertical="center"/>
    </xf>
    <xf numFmtId="10" fontId="38" fillId="0" borderId="108" xfId="1" applyNumberFormat="1" applyFont="1" applyFill="1" applyBorder="1" applyAlignment="1" applyProtection="1">
      <alignment horizontal="center" vertical="center"/>
      <protection locked="0"/>
    </xf>
    <xf numFmtId="0" fontId="161" fillId="29" borderId="196" xfId="0" applyFont="1" applyFill="1" applyBorder="1" applyAlignment="1" applyProtection="1">
      <alignment horizontal="center" vertical="center"/>
      <protection locked="0"/>
    </xf>
    <xf numFmtId="0" fontId="59" fillId="29" borderId="197" xfId="0" applyFont="1" applyFill="1" applyBorder="1" applyAlignment="1">
      <alignment horizontal="center" vertical="center"/>
    </xf>
    <xf numFmtId="10" fontId="38" fillId="0" borderId="198" xfId="0" applyNumberFormat="1" applyFont="1" applyBorder="1" applyAlignment="1">
      <alignment horizontal="center" vertical="center"/>
    </xf>
    <xf numFmtId="9" fontId="38" fillId="0" borderId="198" xfId="0" applyNumberFormat="1" applyFont="1" applyBorder="1" applyAlignment="1">
      <alignment horizontal="center" vertical="center"/>
    </xf>
    <xf numFmtId="166" fontId="38" fillId="11" borderId="198" xfId="0" applyNumberFormat="1" applyFont="1" applyFill="1" applyBorder="1" applyAlignment="1">
      <alignment horizontal="center" vertical="center"/>
    </xf>
    <xf numFmtId="0" fontId="159" fillId="29" borderId="199" xfId="0" applyFont="1" applyFill="1" applyBorder="1" applyAlignment="1" applyProtection="1">
      <alignment horizontal="center" vertical="center"/>
      <protection locked="0"/>
    </xf>
    <xf numFmtId="0" fontId="59" fillId="29" borderId="198" xfId="0" applyFont="1" applyFill="1" applyBorder="1" applyAlignment="1">
      <alignment horizontal="center" vertical="center"/>
    </xf>
    <xf numFmtId="10" fontId="38" fillId="0" borderId="198" xfId="1" applyNumberFormat="1" applyFont="1" applyFill="1" applyBorder="1" applyAlignment="1" applyProtection="1">
      <alignment horizontal="center" vertical="center"/>
      <protection locked="0"/>
    </xf>
    <xf numFmtId="0" fontId="38" fillId="0" borderId="165" xfId="0" applyFont="1" applyBorder="1" applyAlignment="1">
      <alignment vertical="center"/>
    </xf>
    <xf numFmtId="0" fontId="160" fillId="29" borderId="197" xfId="0" applyFont="1" applyFill="1" applyBorder="1" applyAlignment="1">
      <alignment horizontal="center" vertical="center"/>
    </xf>
    <xf numFmtId="166" fontId="38" fillId="0" borderId="198" xfId="0" applyNumberFormat="1" applyFont="1" applyBorder="1" applyAlignment="1">
      <alignment horizontal="center" vertical="center"/>
    </xf>
    <xf numFmtId="10" fontId="119" fillId="0" borderId="198" xfId="0" applyNumberFormat="1" applyFont="1" applyBorder="1" applyAlignment="1">
      <alignment horizontal="center" vertical="center"/>
    </xf>
    <xf numFmtId="1" fontId="119" fillId="0" borderId="198" xfId="0" applyNumberFormat="1" applyFont="1" applyBorder="1" applyAlignment="1">
      <alignment horizontal="center" vertical="center"/>
    </xf>
    <xf numFmtId="9" fontId="38" fillId="2" borderId="198" xfId="0" applyNumberFormat="1" applyFont="1" applyFill="1" applyBorder="1" applyAlignment="1" applyProtection="1">
      <alignment horizontal="center" vertical="center"/>
      <protection locked="0"/>
    </xf>
    <xf numFmtId="9" fontId="38" fillId="2" borderId="200" xfId="0" applyNumberFormat="1" applyFont="1" applyFill="1" applyBorder="1" applyAlignment="1" applyProtection="1">
      <alignment horizontal="center" vertical="center"/>
      <protection locked="0"/>
    </xf>
    <xf numFmtId="0" fontId="46" fillId="29" borderId="197" xfId="0" applyFont="1" applyFill="1" applyBorder="1" applyAlignment="1">
      <alignment horizontal="center" vertical="center"/>
    </xf>
    <xf numFmtId="10" fontId="119" fillId="0" borderId="201" xfId="0" applyNumberFormat="1" applyFont="1" applyBorder="1" applyAlignment="1">
      <alignment horizontal="center" vertical="center"/>
    </xf>
    <xf numFmtId="0" fontId="105" fillId="0" borderId="128" xfId="0" applyFont="1" applyBorder="1" applyAlignment="1">
      <alignment vertical="center"/>
    </xf>
    <xf numFmtId="176" fontId="119" fillId="0" borderId="131" xfId="0" applyNumberFormat="1" applyFont="1" applyBorder="1" applyAlignment="1" applyProtection="1">
      <alignment horizontal="center" vertical="center"/>
      <protection locked="0"/>
    </xf>
    <xf numFmtId="176" fontId="119" fillId="0" borderId="110" xfId="0" applyNumberFormat="1" applyFont="1" applyBorder="1" applyAlignment="1" applyProtection="1">
      <alignment horizontal="center" vertical="center"/>
      <protection locked="0"/>
    </xf>
    <xf numFmtId="0" fontId="105" fillId="0" borderId="120" xfId="0" applyFont="1" applyBorder="1" applyAlignment="1">
      <alignment horizontal="left" vertical="center"/>
    </xf>
    <xf numFmtId="166" fontId="119" fillId="0" borderId="132" xfId="0" applyNumberFormat="1" applyFont="1" applyBorder="1" applyAlignment="1" applyProtection="1">
      <alignment horizontal="center" vertical="center"/>
      <protection locked="0"/>
    </xf>
    <xf numFmtId="166" fontId="119" fillId="0" borderId="108" xfId="0" applyNumberFormat="1" applyFont="1" applyBorder="1" applyAlignment="1" applyProtection="1">
      <alignment horizontal="center" vertical="center"/>
      <protection locked="0"/>
    </xf>
    <xf numFmtId="176" fontId="119" fillId="0" borderId="132" xfId="0" applyNumberFormat="1" applyFont="1" applyBorder="1" applyAlignment="1" applyProtection="1">
      <alignment horizontal="center" vertical="center"/>
      <protection locked="0"/>
    </xf>
    <xf numFmtId="176" fontId="119" fillId="0" borderId="108" xfId="0" applyNumberFormat="1" applyFont="1" applyBorder="1" applyAlignment="1" applyProtection="1">
      <alignment horizontal="center" vertical="center"/>
      <protection locked="0"/>
    </xf>
    <xf numFmtId="0" fontId="105" fillId="0" borderId="120" xfId="0" applyFont="1" applyBorder="1" applyAlignment="1">
      <alignment horizontal="left" vertical="center" wrapText="1"/>
    </xf>
    <xf numFmtId="165" fontId="119" fillId="0" borderId="132" xfId="0" applyNumberFormat="1" applyFont="1" applyBorder="1" applyAlignment="1" applyProtection="1">
      <alignment horizontal="center" vertical="center"/>
      <protection locked="0"/>
    </xf>
    <xf numFmtId="165" fontId="119" fillId="0" borderId="108" xfId="0" applyNumberFormat="1" applyFont="1" applyBorder="1" applyAlignment="1" applyProtection="1">
      <alignment horizontal="center" vertical="center"/>
      <protection locked="0"/>
    </xf>
    <xf numFmtId="0" fontId="105" fillId="0" borderId="129" xfId="0" applyFont="1" applyBorder="1" applyAlignment="1">
      <alignment horizontal="left" vertical="center"/>
    </xf>
    <xf numFmtId="9" fontId="38" fillId="0" borderId="133" xfId="0" applyNumberFormat="1" applyFont="1" applyBorder="1" applyAlignment="1" applyProtection="1">
      <alignment horizontal="center" vertical="center"/>
      <protection locked="0"/>
    </xf>
    <xf numFmtId="9" fontId="38" fillId="0" borderId="111" xfId="0" applyNumberFormat="1" applyFont="1" applyBorder="1" applyAlignment="1" applyProtection="1">
      <alignment horizontal="center" vertical="center"/>
      <protection locked="0"/>
    </xf>
    <xf numFmtId="0" fontId="161" fillId="60" borderId="191" xfId="0" applyFont="1" applyFill="1" applyBorder="1" applyAlignment="1" applyProtection="1">
      <alignment horizontal="center" vertical="center"/>
      <protection locked="0"/>
    </xf>
    <xf numFmtId="0" fontId="59" fillId="60" borderId="110" xfId="0" applyFont="1" applyFill="1" applyBorder="1" applyAlignment="1">
      <alignment horizontal="center" vertical="center"/>
    </xf>
    <xf numFmtId="0" fontId="159" fillId="60" borderId="191" xfId="0" applyFont="1" applyFill="1" applyBorder="1" applyAlignment="1" applyProtection="1">
      <alignment horizontal="center" vertical="center"/>
      <protection locked="0"/>
    </xf>
    <xf numFmtId="0" fontId="160" fillId="60" borderId="135" xfId="0" applyFont="1" applyFill="1" applyBorder="1" applyAlignment="1">
      <alignment horizontal="center" vertical="center"/>
    </xf>
    <xf numFmtId="0" fontId="46" fillId="60" borderId="135" xfId="0" applyFont="1" applyFill="1" applyBorder="1" applyAlignment="1">
      <alignment horizontal="center" vertical="center"/>
    </xf>
    <xf numFmtId="0" fontId="59" fillId="60" borderId="130" xfId="0" applyFont="1" applyFill="1" applyBorder="1" applyAlignment="1">
      <alignment horizontal="center" vertical="center"/>
    </xf>
    <xf numFmtId="0" fontId="199" fillId="0" borderId="108" xfId="0" applyFont="1" applyBorder="1" applyAlignment="1">
      <alignment vertical="center"/>
    </xf>
    <xf numFmtId="0" fontId="201" fillId="16" borderId="125" xfId="0" applyFont="1" applyFill="1" applyBorder="1" applyAlignment="1">
      <alignment vertical="center"/>
    </xf>
    <xf numFmtId="0" fontId="201" fillId="16" borderId="137" xfId="0" applyFont="1" applyFill="1" applyBorder="1" applyAlignment="1">
      <alignment vertical="center"/>
    </xf>
    <xf numFmtId="0" fontId="160" fillId="29" borderId="136" xfId="0" applyFont="1" applyFill="1" applyBorder="1" applyAlignment="1">
      <alignment horizontal="center" vertical="center"/>
    </xf>
    <xf numFmtId="1" fontId="119" fillId="0" borderId="39" xfId="0" applyNumberFormat="1" applyFont="1" applyBorder="1" applyAlignment="1" applyProtection="1">
      <alignment horizontal="center" vertical="center"/>
      <protection locked="0"/>
    </xf>
    <xf numFmtId="0" fontId="119" fillId="0" borderId="23" xfId="0" applyFont="1" applyBorder="1" applyAlignment="1">
      <alignment horizontal="left" vertical="center"/>
    </xf>
    <xf numFmtId="165" fontId="119" fillId="0" borderId="39" xfId="0" applyNumberFormat="1" applyFont="1" applyBorder="1" applyAlignment="1" applyProtection="1">
      <alignment horizontal="center" vertical="center"/>
      <protection locked="0"/>
    </xf>
    <xf numFmtId="1" fontId="119" fillId="0" borderId="209" xfId="0" applyNumberFormat="1" applyFont="1" applyBorder="1" applyAlignment="1" applyProtection="1">
      <alignment horizontal="center" vertical="center"/>
      <protection locked="0"/>
    </xf>
    <xf numFmtId="0" fontId="119" fillId="0" borderId="210" xfId="0" applyFont="1" applyBorder="1" applyAlignment="1">
      <alignment vertical="center"/>
    </xf>
    <xf numFmtId="0" fontId="38" fillId="0" borderId="210" xfId="0" applyFont="1" applyBorder="1" applyAlignment="1">
      <alignment vertical="center"/>
    </xf>
    <xf numFmtId="0" fontId="38" fillId="0" borderId="211" xfId="0" applyFont="1" applyBorder="1" applyAlignment="1">
      <alignment vertical="center"/>
    </xf>
    <xf numFmtId="169" fontId="41" fillId="0" borderId="212" xfId="0" applyNumberFormat="1" applyFont="1" applyBorder="1" applyAlignment="1">
      <alignment horizontal="center" vertical="center"/>
    </xf>
    <xf numFmtId="0" fontId="41" fillId="0" borderId="219" xfId="0" applyFont="1" applyBorder="1" applyAlignment="1">
      <alignment horizontal="left" vertical="center"/>
    </xf>
    <xf numFmtId="0" fontId="41" fillId="0" borderId="209" xfId="0" applyFont="1" applyBorder="1" applyAlignment="1">
      <alignment horizontal="center" vertical="center"/>
    </xf>
    <xf numFmtId="9" fontId="119" fillId="0" borderId="198" xfId="0" applyNumberFormat="1" applyFont="1" applyBorder="1" applyAlignment="1">
      <alignment horizontal="center" vertical="center"/>
    </xf>
    <xf numFmtId="9" fontId="119" fillId="0" borderId="108" xfId="0" applyNumberFormat="1" applyFont="1" applyBorder="1" applyAlignment="1">
      <alignment horizontal="center" vertical="center"/>
    </xf>
    <xf numFmtId="10" fontId="38" fillId="0" borderId="200" xfId="0" applyNumberFormat="1" applyFont="1" applyBorder="1" applyAlignment="1" applyProtection="1">
      <alignment horizontal="center" vertical="center"/>
      <protection locked="0"/>
    </xf>
    <xf numFmtId="10" fontId="38" fillId="0" borderId="111" xfId="0" applyNumberFormat="1" applyFont="1" applyBorder="1" applyAlignment="1" applyProtection="1">
      <alignment horizontal="center" vertical="center"/>
      <protection locked="0"/>
    </xf>
    <xf numFmtId="0" fontId="170" fillId="0" borderId="214" xfId="0" applyFont="1" applyBorder="1" applyAlignment="1">
      <alignment horizontal="center" vertical="center"/>
    </xf>
    <xf numFmtId="0" fontId="170" fillId="0" borderId="217" xfId="0" applyFont="1" applyBorder="1" applyAlignment="1">
      <alignment horizontal="center" vertical="center"/>
    </xf>
    <xf numFmtId="1" fontId="170" fillId="59" borderId="218" xfId="0" applyNumberFormat="1" applyFont="1" applyFill="1" applyBorder="1" applyAlignment="1" applyProtection="1">
      <alignment horizontal="center" vertical="center"/>
      <protection locked="0"/>
    </xf>
    <xf numFmtId="0" fontId="178" fillId="0" borderId="209" xfId="0" applyFont="1" applyBorder="1" applyAlignment="1">
      <alignment horizontal="center" vertical="center"/>
    </xf>
    <xf numFmtId="1" fontId="174"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28" fillId="0" borderId="0" xfId="0" applyFont="1" applyAlignment="1">
      <alignment horizontal="center" vertical="center"/>
    </xf>
    <xf numFmtId="0" fontId="28"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28" fillId="0" borderId="30" xfId="0" applyNumberFormat="1" applyFont="1" applyBorder="1" applyAlignment="1">
      <alignment horizontal="center" vertical="center"/>
    </xf>
    <xf numFmtId="171" fontId="28" fillId="3" borderId="60" xfId="0" applyNumberFormat="1" applyFont="1" applyFill="1" applyBorder="1" applyAlignment="1">
      <alignment horizontal="center" vertical="center"/>
    </xf>
    <xf numFmtId="169" fontId="28" fillId="0" borderId="60" xfId="0" applyNumberFormat="1" applyFont="1" applyBorder="1" applyAlignment="1">
      <alignment horizontal="center" vertical="center"/>
    </xf>
    <xf numFmtId="167" fontId="16"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28" fillId="0" borderId="60" xfId="0" applyNumberFormat="1" applyFont="1" applyBorder="1" applyAlignment="1">
      <alignment horizontal="center" vertical="center"/>
    </xf>
    <xf numFmtId="3" fontId="28" fillId="0" borderId="62" xfId="0" applyNumberFormat="1" applyFont="1" applyBorder="1" applyAlignment="1">
      <alignment horizontal="center" vertical="center"/>
    </xf>
    <xf numFmtId="166" fontId="28" fillId="0" borderId="63" xfId="0" applyNumberFormat="1" applyFont="1" applyBorder="1" applyAlignment="1">
      <alignment horizontal="center" vertical="center"/>
    </xf>
    <xf numFmtId="171" fontId="28" fillId="0" borderId="63" xfId="0" applyNumberFormat="1" applyFont="1" applyBorder="1" applyAlignment="1">
      <alignment horizontal="center" vertical="center"/>
    </xf>
    <xf numFmtId="3" fontId="16" fillId="0" borderId="30" xfId="0" applyNumberFormat="1" applyFont="1" applyBorder="1" applyAlignment="1">
      <alignment horizontal="center" vertical="center"/>
    </xf>
    <xf numFmtId="169" fontId="16" fillId="0" borderId="60" xfId="0" applyNumberFormat="1" applyFont="1" applyBorder="1" applyAlignment="1">
      <alignment horizontal="center" vertical="center"/>
    </xf>
    <xf numFmtId="0" fontId="27"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6" fillId="0" borderId="30" xfId="0" applyFont="1" applyBorder="1" applyAlignment="1">
      <alignment horizontal="center" vertical="center"/>
    </xf>
    <xf numFmtId="168" fontId="28" fillId="0" borderId="60" xfId="0" applyNumberFormat="1" applyFont="1" applyBorder="1" applyAlignment="1">
      <alignment horizontal="center" vertical="center"/>
    </xf>
    <xf numFmtId="0" fontId="16" fillId="0" borderId="39" xfId="0" applyFont="1" applyBorder="1" applyAlignment="1">
      <alignment horizontal="center" vertical="center"/>
    </xf>
    <xf numFmtId="168" fontId="28" fillId="0" borderId="160" xfId="0" applyNumberFormat="1" applyFont="1" applyBorder="1" applyAlignment="1">
      <alignment horizontal="center" vertical="center"/>
    </xf>
    <xf numFmtId="0" fontId="16" fillId="0" borderId="62" xfId="0" applyFont="1" applyBorder="1" applyAlignment="1">
      <alignment horizontal="center" vertical="center"/>
    </xf>
    <xf numFmtId="169" fontId="16" fillId="0" borderId="63" xfId="0" applyNumberFormat="1" applyFont="1" applyBorder="1" applyAlignment="1">
      <alignment horizontal="center" vertical="center"/>
    </xf>
    <xf numFmtId="3" fontId="251"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27" fillId="0" borderId="30" xfId="0" applyNumberFormat="1" applyFont="1" applyBorder="1" applyAlignment="1">
      <alignment horizontal="center" vertical="center"/>
    </xf>
    <xf numFmtId="3" fontId="27" fillId="2" borderId="60" xfId="0"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9" fontId="16" fillId="2" borderId="60" xfId="0" applyNumberFormat="1" applyFont="1" applyFill="1" applyBorder="1" applyAlignment="1" applyProtection="1">
      <alignment horizontal="center" vertical="center"/>
      <protection locked="0"/>
    </xf>
    <xf numFmtId="10" fontId="16" fillId="2" borderId="60" xfId="0" applyNumberFormat="1" applyFont="1" applyFill="1" applyBorder="1" applyAlignment="1" applyProtection="1">
      <alignment horizontal="center" vertical="center"/>
      <protection locked="0"/>
    </xf>
    <xf numFmtId="168" fontId="16" fillId="2" borderId="60" xfId="0" applyNumberFormat="1" applyFont="1" applyFill="1" applyBorder="1" applyAlignment="1" applyProtection="1">
      <alignment horizontal="center" vertical="center"/>
      <protection locked="0"/>
    </xf>
    <xf numFmtId="10" fontId="16" fillId="0" borderId="60" xfId="0" applyNumberFormat="1" applyFont="1" applyBorder="1" applyAlignment="1">
      <alignment horizontal="center" vertical="center"/>
    </xf>
    <xf numFmtId="0" fontId="27" fillId="0" borderId="39" xfId="0" applyFont="1" applyBorder="1" applyAlignment="1">
      <alignment horizontal="center" vertical="center"/>
    </xf>
    <xf numFmtId="9" fontId="27" fillId="0" borderId="160" xfId="0" applyNumberFormat="1" applyFont="1" applyBorder="1" applyAlignment="1">
      <alignment horizontal="center" vertical="center"/>
    </xf>
    <xf numFmtId="168" fontId="16" fillId="2" borderId="160" xfId="0" applyNumberFormat="1" applyFont="1" applyFill="1" applyBorder="1" applyAlignment="1" applyProtection="1">
      <alignment horizontal="center" vertical="center"/>
      <protection locked="0"/>
    </xf>
    <xf numFmtId="0" fontId="16" fillId="0" borderId="209" xfId="0" applyFont="1" applyBorder="1" applyAlignment="1">
      <alignment horizontal="center" vertical="center"/>
    </xf>
    <xf numFmtId="168" fontId="194" fillId="0" borderId="220" xfId="0" applyNumberFormat="1" applyFont="1" applyBorder="1" applyAlignment="1" applyProtection="1">
      <alignment horizontal="center" vertical="center"/>
      <protection locked="0"/>
    </xf>
    <xf numFmtId="0" fontId="170" fillId="0" borderId="222" xfId="0" applyFont="1" applyBorder="1" applyAlignment="1">
      <alignment horizontal="center" vertical="center"/>
    </xf>
    <xf numFmtId="1" fontId="170" fillId="59" borderId="223" xfId="0" applyNumberFormat="1" applyFont="1" applyFill="1" applyBorder="1" applyAlignment="1" applyProtection="1">
      <alignment horizontal="center" vertical="center"/>
      <protection locked="0"/>
    </xf>
    <xf numFmtId="0" fontId="16" fillId="0" borderId="34" xfId="0" applyFont="1" applyBorder="1" applyAlignment="1">
      <alignment horizontal="center" vertical="center"/>
    </xf>
    <xf numFmtId="1" fontId="16" fillId="0" borderId="79" xfId="0" applyNumberFormat="1" applyFont="1" applyBorder="1" applyAlignment="1">
      <alignment horizontal="center" vertical="center"/>
    </xf>
    <xf numFmtId="0" fontId="16" fillId="0" borderId="225" xfId="0" applyFont="1" applyBorder="1" applyAlignment="1">
      <alignment horizontal="center" vertical="center"/>
    </xf>
    <xf numFmtId="166" fontId="27" fillId="0" borderId="226" xfId="0" applyNumberFormat="1" applyFont="1" applyBorder="1" applyAlignment="1">
      <alignment horizontal="center" vertical="center"/>
    </xf>
    <xf numFmtId="0" fontId="16" fillId="0" borderId="228" xfId="0" applyFont="1" applyBorder="1" applyAlignment="1">
      <alignment horizontal="center" vertical="center"/>
    </xf>
    <xf numFmtId="168" fontId="27" fillId="0" borderId="229" xfId="0" applyNumberFormat="1" applyFont="1" applyBorder="1" applyAlignment="1">
      <alignment horizontal="center" vertical="center"/>
    </xf>
    <xf numFmtId="0" fontId="27" fillId="0" borderId="59" xfId="0" applyFont="1" applyBorder="1" applyAlignment="1">
      <alignment horizontal="right" vertical="center"/>
    </xf>
    <xf numFmtId="0" fontId="16" fillId="0" borderId="59" xfId="0" applyFont="1" applyBorder="1" applyAlignment="1">
      <alignment horizontal="right" vertical="center"/>
    </xf>
    <xf numFmtId="0" fontId="16" fillId="0" borderId="61" xfId="0" applyFont="1" applyBorder="1" applyAlignment="1">
      <alignment horizontal="right" vertical="center"/>
    </xf>
    <xf numFmtId="0" fontId="16" fillId="0" borderId="159" xfId="0" applyFont="1" applyBorder="1" applyAlignment="1">
      <alignment horizontal="right" vertical="center"/>
    </xf>
    <xf numFmtId="3" fontId="251" fillId="16" borderId="121" xfId="0" applyNumberFormat="1" applyFont="1" applyFill="1" applyBorder="1" applyAlignment="1">
      <alignment horizontal="right" vertical="center"/>
    </xf>
    <xf numFmtId="170" fontId="16" fillId="0" borderId="59" xfId="0" applyNumberFormat="1" applyFont="1" applyBorder="1" applyAlignment="1">
      <alignment horizontal="right" vertical="center"/>
    </xf>
    <xf numFmtId="0" fontId="178" fillId="0" borderId="219" xfId="0" applyFont="1" applyBorder="1" applyAlignment="1">
      <alignment horizontal="right" vertical="center"/>
    </xf>
    <xf numFmtId="0" fontId="16" fillId="0" borderId="224" xfId="0" applyFont="1" applyBorder="1" applyAlignment="1">
      <alignment horizontal="right" vertical="center"/>
    </xf>
    <xf numFmtId="0" fontId="16" fillId="0" borderId="78" xfId="0" applyFont="1" applyBorder="1" applyAlignment="1">
      <alignment horizontal="right" vertical="center"/>
    </xf>
    <xf numFmtId="0" fontId="27" fillId="0" borderId="159" xfId="0" applyFont="1" applyBorder="1" applyAlignment="1">
      <alignment horizontal="right" vertical="center"/>
    </xf>
    <xf numFmtId="170" fontId="16" fillId="0" borderId="227" xfId="0" applyNumberFormat="1" applyFont="1" applyBorder="1" applyAlignment="1">
      <alignment horizontal="right" vertical="center"/>
    </xf>
    <xf numFmtId="0" fontId="16" fillId="0" borderId="219" xfId="0" applyFont="1" applyBorder="1" applyAlignment="1">
      <alignment horizontal="right" vertical="center"/>
    </xf>
    <xf numFmtId="0" fontId="170" fillId="0" borderId="213" xfId="0" applyFont="1" applyBorder="1" applyAlignment="1">
      <alignment horizontal="right" vertical="center"/>
    </xf>
    <xf numFmtId="170" fontId="170" fillId="0" borderId="216" xfId="0" applyNumberFormat="1" applyFont="1" applyBorder="1" applyAlignment="1">
      <alignment horizontal="right" vertical="center"/>
    </xf>
    <xf numFmtId="170" fontId="170" fillId="0" borderId="221" xfId="0" applyNumberFormat="1" applyFont="1" applyBorder="1" applyAlignment="1">
      <alignment horizontal="right" vertical="center"/>
    </xf>
    <xf numFmtId="4" fontId="170" fillId="0" borderId="215" xfId="0" applyNumberFormat="1" applyFont="1" applyBorder="1" applyAlignment="1">
      <alignment horizontal="center" vertical="center"/>
    </xf>
    <xf numFmtId="165" fontId="127" fillId="0" borderId="60" xfId="0" applyNumberFormat="1" applyFont="1" applyBorder="1" applyAlignment="1">
      <alignment horizontal="center" vertical="center"/>
    </xf>
    <xf numFmtId="168" fontId="45" fillId="0" borderId="59" xfId="0" applyNumberFormat="1" applyFont="1" applyBorder="1" applyAlignment="1">
      <alignment horizontal="center" vertical="center"/>
    </xf>
    <xf numFmtId="0" fontId="41" fillId="0" borderId="159" xfId="0" applyFont="1" applyBorder="1" applyAlignment="1">
      <alignment horizontal="left" vertical="center"/>
    </xf>
    <xf numFmtId="171" fontId="41" fillId="2" borderId="220" xfId="0" applyNumberFormat="1" applyFont="1" applyFill="1" applyBorder="1" applyAlignment="1" applyProtection="1">
      <alignment horizontal="center" vertical="center"/>
      <protection locked="0"/>
    </xf>
    <xf numFmtId="167" fontId="45" fillId="0" borderId="59" xfId="0" applyNumberFormat="1" applyFont="1" applyBorder="1" applyAlignment="1">
      <alignment horizontal="center" vertical="center"/>
    </xf>
    <xf numFmtId="167" fontId="45" fillId="0" borderId="60" xfId="0" applyNumberFormat="1" applyFont="1" applyBorder="1" applyAlignment="1">
      <alignment horizontal="center" vertical="center"/>
    </xf>
    <xf numFmtId="170" fontId="41" fillId="2" borderId="60" xfId="0" applyNumberFormat="1" applyFont="1" applyFill="1" applyBorder="1" applyAlignment="1" applyProtection="1">
      <alignment horizontal="center" vertical="center"/>
      <protection locked="0"/>
    </xf>
    <xf numFmtId="170" fontId="41" fillId="2" borderId="160" xfId="0" applyNumberFormat="1" applyFont="1" applyFill="1" applyBorder="1" applyAlignment="1" applyProtection="1">
      <alignment horizontal="center" vertical="center"/>
      <protection locked="0"/>
    </xf>
    <xf numFmtId="10" fontId="119" fillId="0" borderId="108" xfId="0" applyNumberFormat="1" applyFont="1" applyBorder="1" applyAlignment="1" applyProtection="1">
      <alignment horizontal="center" vertical="center"/>
      <protection locked="0"/>
    </xf>
    <xf numFmtId="1" fontId="119" fillId="0" borderId="108" xfId="0" applyNumberFormat="1" applyFont="1" applyBorder="1" applyAlignment="1" applyProtection="1">
      <alignment horizontal="center" vertical="center"/>
      <protection locked="0"/>
    </xf>
    <xf numFmtId="166" fontId="38" fillId="0" borderId="108" xfId="0" applyNumberFormat="1" applyFont="1" applyBorder="1" applyAlignment="1" applyProtection="1">
      <alignment horizontal="center" vertical="center"/>
      <protection locked="0"/>
    </xf>
    <xf numFmtId="1" fontId="170" fillId="59"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2" borderId="165" xfId="0" applyNumberFormat="1" applyFont="1" applyFill="1" applyBorder="1" applyAlignment="1">
      <alignment horizontal="center" vertical="center"/>
    </xf>
    <xf numFmtId="3" fontId="7" fillId="62" borderId="165" xfId="0" applyNumberFormat="1" applyFont="1" applyFill="1" applyBorder="1" applyAlignment="1">
      <alignment horizontal="center" vertical="center"/>
    </xf>
    <xf numFmtId="9" fontId="145" fillId="62" borderId="0" xfId="1" applyFont="1" applyFill="1" applyAlignment="1">
      <alignment horizontal="center" vertical="center"/>
    </xf>
    <xf numFmtId="9" fontId="48" fillId="62" borderId="0" xfId="1" applyFont="1" applyFill="1" applyAlignment="1">
      <alignment horizontal="center" vertical="center"/>
    </xf>
    <xf numFmtId="0" fontId="7" fillId="63" borderId="23" xfId="0" applyFont="1" applyFill="1" applyBorder="1" applyAlignment="1">
      <alignment horizontal="right" vertical="center"/>
    </xf>
    <xf numFmtId="164" fontId="7" fillId="63" borderId="165" xfId="1" applyNumberFormat="1" applyFont="1" applyFill="1" applyBorder="1" applyAlignment="1">
      <alignment horizontal="center" vertical="center"/>
    </xf>
    <xf numFmtId="0" fontId="28" fillId="63" borderId="23" xfId="0" applyFont="1" applyFill="1" applyBorder="1" applyAlignment="1">
      <alignment vertical="center"/>
    </xf>
    <xf numFmtId="0" fontId="0" fillId="63" borderId="0" xfId="0" applyFill="1" applyAlignment="1">
      <alignment vertical="center"/>
    </xf>
    <xf numFmtId="168" fontId="0" fillId="63" borderId="0" xfId="0" applyNumberFormat="1" applyFill="1" applyAlignment="1">
      <alignment vertical="center"/>
    </xf>
    <xf numFmtId="168" fontId="4" fillId="57" borderId="170" xfId="4" applyNumberFormat="1" applyFill="1" applyBorder="1" applyAlignment="1">
      <alignment horizontal="center" vertical="center"/>
    </xf>
    <xf numFmtId="0" fontId="135" fillId="0" borderId="0" xfId="0" applyFont="1" applyAlignment="1">
      <alignment horizontal="left" vertical="top" wrapText="1"/>
    </xf>
    <xf numFmtId="0" fontId="135" fillId="0" borderId="23" xfId="0" applyFont="1" applyBorder="1" applyAlignment="1">
      <alignment horizontal="left" vertical="top" wrapText="1"/>
    </xf>
    <xf numFmtId="0" fontId="135" fillId="0" borderId="0" xfId="0" applyFont="1"/>
    <xf numFmtId="0" fontId="133" fillId="15" borderId="0" xfId="0" applyFont="1" applyFill="1" applyAlignment="1">
      <alignment horizontal="center"/>
    </xf>
    <xf numFmtId="0" fontId="134" fillId="15" borderId="0" xfId="0" applyFont="1" applyFill="1"/>
    <xf numFmtId="0" fontId="133" fillId="15" borderId="0" xfId="0" applyFont="1" applyFill="1" applyAlignment="1">
      <alignment horizontal="center" vertical="top" wrapText="1"/>
    </xf>
    <xf numFmtId="0" fontId="134" fillId="15" borderId="0" xfId="0" applyFont="1" applyFill="1" applyAlignment="1">
      <alignment vertical="top"/>
    </xf>
    <xf numFmtId="0" fontId="123" fillId="15" borderId="0" xfId="0" applyFont="1" applyFill="1" applyAlignment="1">
      <alignment horizontal="center" vertical="center"/>
    </xf>
    <xf numFmtId="0" fontId="54" fillId="15" borderId="0" xfId="0" applyFont="1" applyFill="1"/>
    <xf numFmtId="0" fontId="47" fillId="24" borderId="31" xfId="0" applyFont="1" applyFill="1" applyBorder="1" applyAlignment="1" applyProtection="1">
      <alignment horizontal="left" vertical="center"/>
      <protection locked="0"/>
    </xf>
    <xf numFmtId="0" fontId="47" fillId="23" borderId="28" xfId="0" applyFont="1" applyFill="1" applyBorder="1" applyProtection="1">
      <protection locked="0"/>
    </xf>
    <xf numFmtId="0" fontId="47" fillId="23" borderId="29" xfId="0" applyFont="1" applyFill="1" applyBorder="1" applyProtection="1">
      <protection locked="0"/>
    </xf>
    <xf numFmtId="0" fontId="48" fillId="22" borderId="37" xfId="0" applyFont="1" applyFill="1" applyBorder="1" applyAlignment="1">
      <alignment horizontal="center" vertical="center" wrapText="1"/>
    </xf>
    <xf numFmtId="0" fontId="48" fillId="23" borderId="35" xfId="0" applyFont="1" applyFill="1" applyBorder="1" applyAlignment="1">
      <alignment vertical="center"/>
    </xf>
    <xf numFmtId="0" fontId="48" fillId="23" borderId="36" xfId="0" applyFont="1" applyFill="1" applyBorder="1" applyAlignment="1">
      <alignment vertical="center"/>
    </xf>
    <xf numFmtId="0" fontId="48" fillId="23" borderId="40" xfId="0" applyFont="1" applyFill="1" applyBorder="1" applyAlignment="1">
      <alignment vertical="center"/>
    </xf>
    <xf numFmtId="0" fontId="48" fillId="23" borderId="27" xfId="0" applyFont="1" applyFill="1" applyBorder="1" applyAlignment="1">
      <alignment vertical="center"/>
    </xf>
    <xf numFmtId="0" fontId="48" fillId="23" borderId="33" xfId="0" applyFont="1" applyFill="1" applyBorder="1" applyAlignment="1">
      <alignment vertical="center"/>
    </xf>
    <xf numFmtId="0" fontId="69" fillId="20" borderId="30" xfId="0" applyFont="1" applyFill="1" applyBorder="1" applyAlignment="1">
      <alignment horizontal="center" vertical="center"/>
    </xf>
    <xf numFmtId="0" fontId="70" fillId="16" borderId="30" xfId="0" applyFont="1" applyFill="1" applyBorder="1"/>
    <xf numFmtId="0" fontId="69" fillId="20" borderId="30" xfId="0" applyFont="1" applyFill="1" applyBorder="1" applyAlignment="1">
      <alignment horizontal="center" vertical="center" wrapText="1"/>
    </xf>
    <xf numFmtId="0" fontId="69" fillId="16" borderId="30" xfId="0" applyFont="1" applyFill="1" applyBorder="1" applyAlignment="1">
      <alignment horizontal="center" vertical="center"/>
    </xf>
    <xf numFmtId="0" fontId="52" fillId="15" borderId="0" xfId="0" applyFont="1" applyFill="1" applyAlignment="1">
      <alignment horizontal="center" vertical="center"/>
    </xf>
    <xf numFmtId="0" fontId="53" fillId="15" borderId="0" xfId="0" applyFont="1" applyFill="1" applyAlignment="1">
      <alignment horizontal="center"/>
    </xf>
    <xf numFmtId="0" fontId="54" fillId="15" borderId="0" xfId="0" applyFont="1" applyFill="1" applyAlignment="1">
      <alignment horizontal="center" vertical="center"/>
    </xf>
    <xf numFmtId="0" fontId="59" fillId="16" borderId="30" xfId="0" applyFont="1" applyFill="1" applyBorder="1" applyAlignment="1">
      <alignment horizontal="center" vertical="center"/>
    </xf>
    <xf numFmtId="0" fontId="60" fillId="16" borderId="30" xfId="0" applyFont="1" applyFill="1" applyBorder="1"/>
    <xf numFmtId="0" fontId="6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47" fillId="18" borderId="30" xfId="0" applyFont="1" applyFill="1" applyBorder="1" applyAlignment="1">
      <alignment horizontal="center" vertical="center"/>
    </xf>
    <xf numFmtId="0" fontId="47" fillId="0" borderId="30" xfId="0" applyFont="1" applyBorder="1" applyAlignment="1">
      <alignment horizontal="center" vertical="center"/>
    </xf>
    <xf numFmtId="0" fontId="47" fillId="0" borderId="30" xfId="0" applyFont="1" applyBorder="1"/>
    <xf numFmtId="0" fontId="56" fillId="15" borderId="0" xfId="0" applyFont="1" applyFill="1" applyAlignment="1">
      <alignment vertical="center"/>
    </xf>
    <xf numFmtId="0" fontId="0" fillId="0" borderId="0" xfId="0"/>
    <xf numFmtId="166" fontId="59" fillId="16" borderId="30" xfId="0" applyNumberFormat="1" applyFont="1" applyFill="1" applyBorder="1" applyAlignment="1">
      <alignment horizontal="center" vertical="center"/>
    </xf>
    <xf numFmtId="0" fontId="47" fillId="0" borderId="30" xfId="0" applyFont="1" applyBorder="1" applyAlignment="1">
      <alignment horizontal="center" vertical="center" wrapText="1"/>
    </xf>
    <xf numFmtId="0" fontId="60" fillId="16" borderId="30" xfId="0" applyFont="1" applyFill="1" applyBorder="1" applyAlignment="1">
      <alignment horizontal="center"/>
    </xf>
    <xf numFmtId="0" fontId="59" fillId="16" borderId="34" xfId="0" applyFont="1" applyFill="1" applyBorder="1" applyAlignment="1">
      <alignment horizontal="center" vertical="center"/>
    </xf>
    <xf numFmtId="0" fontId="60" fillId="16" borderId="34" xfId="0" applyFont="1" applyFill="1" applyBorder="1" applyAlignment="1">
      <alignment horizontal="center" vertical="center"/>
    </xf>
    <xf numFmtId="0" fontId="59" fillId="16" borderId="34" xfId="0" applyFont="1" applyFill="1" applyBorder="1" applyAlignment="1">
      <alignment horizontal="center" vertical="center" wrapText="1"/>
    </xf>
    <xf numFmtId="0" fontId="59" fillId="16" borderId="30" xfId="0" applyFont="1" applyFill="1" applyBorder="1" applyAlignment="1">
      <alignment horizontal="center" vertical="center" wrapText="1"/>
    </xf>
    <xf numFmtId="0" fontId="47" fillId="48" borderId="49" xfId="0" applyFont="1" applyFill="1" applyBorder="1" applyAlignment="1">
      <alignment vertical="center"/>
    </xf>
    <xf numFmtId="0" fontId="0" fillId="48" borderId="49" xfId="0" applyFill="1" applyBorder="1"/>
    <xf numFmtId="0" fontId="59" fillId="16" borderId="51" xfId="0" applyFont="1" applyFill="1" applyBorder="1" applyAlignment="1">
      <alignment vertical="center"/>
    </xf>
    <xf numFmtId="0" fontId="0" fillId="0" borderId="52" xfId="0" applyBorder="1" applyAlignment="1">
      <alignment vertical="center"/>
    </xf>
    <xf numFmtId="0" fontId="75"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4" fillId="0" borderId="0" xfId="0" applyFont="1" applyAlignment="1">
      <alignment horizontal="center" vertical="center" wrapText="1"/>
    </xf>
    <xf numFmtId="0" fontId="63" fillId="0" borderId="0" xfId="0" applyFont="1" applyAlignment="1">
      <alignment vertical="center"/>
    </xf>
    <xf numFmtId="0" fontId="24" fillId="16" borderId="30" xfId="0" applyFont="1" applyFill="1" applyBorder="1" applyAlignment="1">
      <alignment horizontal="center" vertical="center"/>
    </xf>
    <xf numFmtId="0" fontId="34" fillId="16" borderId="30" xfId="0" applyFont="1" applyFill="1" applyBorder="1" applyAlignment="1">
      <alignment vertical="center"/>
    </xf>
    <xf numFmtId="0" fontId="47" fillId="3" borderId="30" xfId="0" applyFont="1" applyFill="1" applyBorder="1" applyAlignment="1" applyProtection="1">
      <alignment horizontal="center" vertical="center"/>
      <protection locked="0"/>
    </xf>
    <xf numFmtId="0" fontId="47" fillId="0" borderId="30" xfId="0" applyFont="1" applyBorder="1" applyAlignment="1" applyProtection="1">
      <alignment vertical="center"/>
      <protection locked="0"/>
    </xf>
    <xf numFmtId="166" fontId="24" fillId="16" borderId="30" xfId="0" applyNumberFormat="1" applyFont="1" applyFill="1" applyBorder="1" applyAlignment="1">
      <alignment horizontal="center" vertical="center"/>
    </xf>
    <xf numFmtId="0" fontId="24" fillId="16" borderId="30" xfId="0" applyFont="1" applyFill="1" applyBorder="1" applyAlignment="1">
      <alignment horizontal="center" vertical="center" wrapText="1"/>
    </xf>
    <xf numFmtId="0" fontId="34" fillId="16" borderId="30" xfId="0" applyFont="1" applyFill="1" applyBorder="1" applyAlignment="1">
      <alignment vertical="center" wrapText="1"/>
    </xf>
    <xf numFmtId="166" fontId="69" fillId="16" borderId="30" xfId="0" applyNumberFormat="1" applyFont="1" applyFill="1" applyBorder="1" applyAlignment="1">
      <alignment horizontal="center" vertical="center"/>
    </xf>
    <xf numFmtId="0" fontId="48" fillId="22" borderId="35" xfId="0" applyFont="1" applyFill="1" applyBorder="1" applyAlignment="1">
      <alignment horizontal="center" vertical="center" wrapText="1"/>
    </xf>
    <xf numFmtId="0" fontId="48" fillId="22" borderId="36" xfId="0" applyFont="1" applyFill="1" applyBorder="1" applyAlignment="1">
      <alignment horizontal="center" vertical="center" wrapText="1"/>
    </xf>
    <xf numFmtId="0" fontId="48" fillId="22" borderId="40" xfId="0" applyFont="1" applyFill="1" applyBorder="1" applyAlignment="1">
      <alignment horizontal="center" vertical="center" wrapText="1"/>
    </xf>
    <xf numFmtId="0" fontId="48" fillId="22" borderId="27" xfId="0" applyFont="1" applyFill="1" applyBorder="1" applyAlignment="1">
      <alignment horizontal="center" vertical="center" wrapText="1"/>
    </xf>
    <xf numFmtId="0" fontId="48" fillId="22" borderId="33" xfId="0" applyFont="1" applyFill="1" applyBorder="1" applyAlignment="1">
      <alignment horizontal="center" vertical="center" wrapText="1"/>
    </xf>
    <xf numFmtId="0" fontId="60" fillId="16" borderId="30" xfId="0" applyFont="1" applyFill="1" applyBorder="1" applyAlignment="1">
      <alignment vertical="center"/>
    </xf>
    <xf numFmtId="0" fontId="64" fillId="14" borderId="23" xfId="0" applyFont="1" applyFill="1" applyBorder="1" applyAlignment="1">
      <alignment horizontal="center" vertical="center" wrapText="1"/>
    </xf>
    <xf numFmtId="0" fontId="63" fillId="14" borderId="23" xfId="0" applyFont="1" applyFill="1" applyBorder="1"/>
    <xf numFmtId="0" fontId="60" fillId="16" borderId="30" xfId="0" applyFont="1" applyFill="1" applyBorder="1" applyAlignment="1">
      <alignment vertical="center" wrapText="1"/>
    </xf>
    <xf numFmtId="0" fontId="0" fillId="0" borderId="0" xfId="0" applyAlignment="1">
      <alignment horizontal="center"/>
    </xf>
    <xf numFmtId="0" fontId="72" fillId="15" borderId="0" xfId="0" applyFont="1" applyFill="1" applyAlignment="1">
      <alignment horizontal="left" vertical="center"/>
    </xf>
    <xf numFmtId="0" fontId="41" fillId="48" borderId="49" xfId="0" applyFont="1" applyFill="1" applyBorder="1" applyAlignment="1">
      <alignment horizontal="left" vertical="center"/>
    </xf>
    <xf numFmtId="0" fontId="0" fillId="48" borderId="49" xfId="0" applyFill="1" applyBorder="1" applyAlignment="1">
      <alignment vertical="center"/>
    </xf>
    <xf numFmtId="0" fontId="147" fillId="15" borderId="0" xfId="0" applyFont="1" applyFill="1" applyAlignment="1">
      <alignment horizontal="center" vertical="center"/>
    </xf>
    <xf numFmtId="0" fontId="0" fillId="0" borderId="0" xfId="0" applyAlignment="1">
      <alignment horizontal="center" vertical="center"/>
    </xf>
    <xf numFmtId="0" fontId="57" fillId="0" borderId="30" xfId="0" applyFont="1" applyBorder="1" applyAlignment="1">
      <alignment horizontal="right" vertical="center" wrapText="1"/>
    </xf>
    <xf numFmtId="0" fontId="57" fillId="0" borderId="30" xfId="0" applyFont="1" applyBorder="1" applyAlignment="1">
      <alignment vertical="center"/>
    </xf>
    <xf numFmtId="0" fontId="103" fillId="16" borderId="30" xfId="0" applyFont="1" applyFill="1" applyBorder="1" applyAlignment="1">
      <alignment horizontal="center" vertical="center"/>
    </xf>
    <xf numFmtId="0" fontId="103" fillId="16" borderId="30" xfId="0" applyFont="1" applyFill="1" applyBorder="1" applyAlignment="1">
      <alignment vertical="center"/>
    </xf>
    <xf numFmtId="0" fontId="97" fillId="0" borderId="30" xfId="0" applyFont="1" applyBorder="1" applyAlignment="1">
      <alignment horizontal="right" vertical="center"/>
    </xf>
    <xf numFmtId="0" fontId="105" fillId="0" borderId="30" xfId="0" applyFont="1" applyBorder="1" applyAlignment="1">
      <alignment vertical="center"/>
    </xf>
    <xf numFmtId="0" fontId="57" fillId="0" borderId="30" xfId="0" applyFont="1" applyBorder="1" applyAlignment="1">
      <alignment horizontal="right" vertical="center"/>
    </xf>
    <xf numFmtId="0" fontId="25" fillId="16" borderId="30" xfId="0" applyFont="1" applyFill="1" applyBorder="1" applyAlignment="1">
      <alignment horizontal="right" vertical="center"/>
    </xf>
    <xf numFmtId="0" fontId="36" fillId="0" borderId="30" xfId="0" applyFont="1" applyBorder="1" applyAlignment="1">
      <alignment horizontal="center" vertical="center"/>
    </xf>
    <xf numFmtId="0" fontId="38" fillId="0" borderId="30" xfId="0" applyFont="1" applyBorder="1" applyAlignment="1">
      <alignment vertical="center"/>
    </xf>
    <xf numFmtId="0" fontId="60" fillId="16" borderId="30" xfId="0" applyFont="1" applyFill="1" applyBorder="1" applyAlignment="1">
      <alignment horizontal="center" vertical="center"/>
    </xf>
    <xf numFmtId="0" fontId="95" fillId="16" borderId="31" xfId="0" applyFont="1" applyFill="1" applyBorder="1" applyAlignment="1">
      <alignment horizontal="center" vertical="center"/>
    </xf>
    <xf numFmtId="0" fontId="95" fillId="16" borderId="28" xfId="0" applyFont="1" applyFill="1" applyBorder="1" applyAlignment="1">
      <alignment horizontal="center" vertical="center"/>
    </xf>
    <xf numFmtId="0" fontId="95" fillId="16" borderId="29" xfId="0" applyFont="1" applyFill="1" applyBorder="1" applyAlignment="1">
      <alignment horizontal="center" vertical="center"/>
    </xf>
    <xf numFmtId="0" fontId="41" fillId="16" borderId="30" xfId="0" applyFont="1" applyFill="1" applyBorder="1" applyAlignment="1">
      <alignment horizontal="center" vertical="center" wrapText="1"/>
    </xf>
    <xf numFmtId="0" fontId="41" fillId="16" borderId="30" xfId="0" applyFont="1" applyFill="1" applyBorder="1" applyAlignment="1">
      <alignment vertical="center"/>
    </xf>
    <xf numFmtId="0" fontId="41" fillId="16" borderId="37" xfId="0" applyFont="1" applyFill="1" applyBorder="1" applyAlignment="1">
      <alignment horizontal="center" vertical="center"/>
    </xf>
    <xf numFmtId="0" fontId="41" fillId="16" borderId="36" xfId="0" applyFont="1" applyFill="1" applyBorder="1" applyAlignment="1">
      <alignment horizontal="center" vertical="center"/>
    </xf>
    <xf numFmtId="0" fontId="41" fillId="16" borderId="38" xfId="0" applyFont="1" applyFill="1" applyBorder="1" applyAlignment="1">
      <alignment horizontal="center" vertical="center"/>
    </xf>
    <xf numFmtId="0" fontId="41" fillId="16" borderId="41" xfId="0" applyFont="1" applyFill="1" applyBorder="1" applyAlignment="1">
      <alignment horizontal="center" vertical="center"/>
    </xf>
    <xf numFmtId="0" fontId="41" fillId="16" borderId="40" xfId="0" applyFont="1" applyFill="1" applyBorder="1" applyAlignment="1">
      <alignment horizontal="center" vertical="center"/>
    </xf>
    <xf numFmtId="0" fontId="41" fillId="16" borderId="33" xfId="0" applyFont="1" applyFill="1" applyBorder="1" applyAlignment="1">
      <alignment horizontal="center" vertical="center"/>
    </xf>
    <xf numFmtId="0" fontId="96" fillId="16" borderId="30" xfId="0" applyFont="1" applyFill="1" applyBorder="1" applyAlignment="1">
      <alignment horizontal="center" vertical="center"/>
    </xf>
    <xf numFmtId="0" fontId="98" fillId="16" borderId="30" xfId="0" applyFont="1" applyFill="1" applyBorder="1" applyAlignment="1">
      <alignment vertical="center"/>
    </xf>
    <xf numFmtId="0" fontId="25" fillId="16" borderId="30"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25" fillId="16" borderId="30" xfId="0" applyFont="1" applyFill="1" applyBorder="1" applyAlignment="1">
      <alignment horizontal="center" vertical="center"/>
    </xf>
    <xf numFmtId="164" fontId="39" fillId="5" borderId="17" xfId="0" applyNumberFormat="1" applyFont="1" applyFill="1" applyBorder="1" applyAlignment="1">
      <alignment horizontal="center" vertical="center"/>
    </xf>
    <xf numFmtId="0" fontId="61" fillId="0" borderId="16" xfId="0" applyFont="1" applyBorder="1" applyAlignment="1">
      <alignment vertical="center"/>
    </xf>
    <xf numFmtId="164" fontId="36" fillId="3" borderId="1" xfId="0" applyNumberFormat="1" applyFont="1" applyFill="1" applyBorder="1" applyAlignment="1">
      <alignment horizontal="center" vertical="center"/>
    </xf>
    <xf numFmtId="0" fontId="38" fillId="0" borderId="2" xfId="0" applyFont="1" applyBorder="1" applyAlignment="1">
      <alignment vertical="center"/>
    </xf>
    <xf numFmtId="0" fontId="38" fillId="0" borderId="3" xfId="0" applyFont="1" applyBorder="1" applyAlignment="1">
      <alignment vertical="center"/>
    </xf>
    <xf numFmtId="0" fontId="87" fillId="7" borderId="17" xfId="0" applyFont="1" applyFill="1" applyBorder="1" applyAlignment="1">
      <alignment vertical="center"/>
    </xf>
    <xf numFmtId="0" fontId="38" fillId="0" borderId="15" xfId="0" applyFont="1" applyBorder="1" applyAlignment="1">
      <alignment vertical="center"/>
    </xf>
    <xf numFmtId="0" fontId="38" fillId="0" borderId="16" xfId="0" applyFont="1" applyBorder="1" applyAlignment="1">
      <alignment vertical="center"/>
    </xf>
    <xf numFmtId="0" fontId="87" fillId="7" borderId="17" xfId="0" applyFont="1" applyFill="1" applyBorder="1" applyAlignment="1">
      <alignment horizontal="center" vertical="center" wrapText="1"/>
    </xf>
    <xf numFmtId="164" fontId="38" fillId="3" borderId="1" xfId="0" applyNumberFormat="1" applyFont="1" applyFill="1" applyBorder="1" applyAlignment="1">
      <alignment horizontal="center" vertical="center"/>
    </xf>
    <xf numFmtId="4" fontId="87" fillId="7" borderId="21" xfId="0" applyNumberFormat="1" applyFont="1" applyFill="1" applyBorder="1" applyAlignment="1">
      <alignment horizontal="center" vertical="center" wrapText="1"/>
    </xf>
    <xf numFmtId="0" fontId="38" fillId="0" borderId="22" xfId="0" applyFont="1" applyBorder="1" applyAlignment="1">
      <alignment vertical="center"/>
    </xf>
    <xf numFmtId="0" fontId="38" fillId="0" borderId="23" xfId="0" applyFont="1" applyBorder="1" applyAlignment="1">
      <alignment vertical="center"/>
    </xf>
    <xf numFmtId="0" fontId="38" fillId="0" borderId="22" xfId="0" applyFont="1" applyBorder="1" applyAlignment="1">
      <alignment horizontal="center" vertical="center"/>
    </xf>
    <xf numFmtId="0" fontId="38" fillId="0" borderId="23" xfId="0" applyFont="1" applyBorder="1" applyAlignment="1">
      <alignment horizontal="center" vertical="center"/>
    </xf>
    <xf numFmtId="0" fontId="128" fillId="49" borderId="12" xfId="0" applyFont="1" applyFill="1" applyBorder="1" applyAlignment="1">
      <alignment horizontal="right" vertical="center"/>
    </xf>
    <xf numFmtId="0" fontId="127" fillId="48" borderId="9" xfId="0" applyFont="1" applyFill="1" applyBorder="1" applyAlignment="1">
      <alignment horizontal="right" vertical="center"/>
    </xf>
    <xf numFmtId="0" fontId="87" fillId="7" borderId="17" xfId="0" applyFont="1" applyFill="1" applyBorder="1" applyAlignment="1">
      <alignment vertical="center" wrapText="1"/>
    </xf>
    <xf numFmtId="0" fontId="0" fillId="0" borderId="0" xfId="0" applyAlignment="1">
      <alignment vertical="center"/>
    </xf>
    <xf numFmtId="0" fontId="37" fillId="5" borderId="17" xfId="0" applyFont="1" applyFill="1" applyBorder="1" applyAlignment="1">
      <alignment horizontal="center" vertical="center"/>
    </xf>
    <xf numFmtId="0" fontId="38" fillId="0" borderId="18" xfId="0" applyFont="1" applyBorder="1" applyAlignment="1">
      <alignment vertical="center"/>
    </xf>
    <xf numFmtId="0" fontId="128" fillId="49" borderId="12" xfId="0" applyFont="1" applyFill="1" applyBorder="1" applyAlignment="1">
      <alignment horizontal="left" vertical="center"/>
    </xf>
    <xf numFmtId="0" fontId="127" fillId="48" borderId="9" xfId="0" applyFont="1" applyFill="1" applyBorder="1" applyAlignment="1">
      <alignment vertical="center"/>
    </xf>
    <xf numFmtId="0" fontId="127" fillId="48" borderId="10" xfId="0" applyFont="1" applyFill="1" applyBorder="1" applyAlignment="1">
      <alignment vertical="center"/>
    </xf>
    <xf numFmtId="0" fontId="37" fillId="5" borderId="14" xfId="0" applyFont="1" applyFill="1" applyBorder="1" applyAlignment="1">
      <alignment horizontal="center" vertical="center"/>
    </xf>
    <xf numFmtId="0" fontId="101" fillId="15" borderId="0" xfId="0" applyFont="1" applyFill="1" applyAlignment="1">
      <alignment horizontal="center" vertical="top"/>
    </xf>
    <xf numFmtId="0" fontId="148" fillId="15" borderId="0" xfId="0" applyFont="1" applyFill="1" applyAlignment="1">
      <alignment horizontal="center" vertical="top"/>
    </xf>
    <xf numFmtId="0" fontId="11" fillId="0" borderId="0" xfId="0" applyFont="1" applyAlignment="1">
      <alignment horizontal="center"/>
    </xf>
    <xf numFmtId="0" fontId="56" fillId="26" borderId="8" xfId="0" applyFont="1" applyFill="1" applyBorder="1" applyAlignment="1">
      <alignment horizontal="left" vertical="center" wrapText="1"/>
    </xf>
    <xf numFmtId="0" fontId="58" fillId="15" borderId="12" xfId="0" applyFont="1" applyFill="1" applyBorder="1" applyAlignment="1">
      <alignment horizontal="left" vertical="center"/>
    </xf>
    <xf numFmtId="0" fontId="0" fillId="0" borderId="12" xfId="0" applyBorder="1" applyAlignment="1">
      <alignment vertical="center"/>
    </xf>
    <xf numFmtId="0" fontId="87" fillId="7" borderId="17" xfId="0" applyFont="1" applyFill="1" applyBorder="1" applyAlignment="1">
      <alignment horizontal="center" vertical="center"/>
    </xf>
    <xf numFmtId="0" fontId="38" fillId="0" borderId="15" xfId="0" applyFont="1" applyBorder="1" applyAlignment="1">
      <alignment horizontal="center" vertical="center"/>
    </xf>
    <xf numFmtId="0" fontId="38" fillId="0" borderId="16" xfId="0" applyFont="1" applyBorder="1" applyAlignment="1">
      <alignment horizontal="center" vertical="center"/>
    </xf>
    <xf numFmtId="0" fontId="88" fillId="7" borderId="17" xfId="0" applyFont="1" applyFill="1" applyBorder="1" applyAlignment="1">
      <alignment horizontal="center" vertical="center" wrapText="1"/>
    </xf>
    <xf numFmtId="0" fontId="88" fillId="0" borderId="15" xfId="0" applyFont="1" applyBorder="1" applyAlignment="1">
      <alignment vertical="center"/>
    </xf>
    <xf numFmtId="0" fontId="88" fillId="0" borderId="16" xfId="0" applyFont="1" applyBorder="1" applyAlignment="1">
      <alignment vertical="center"/>
    </xf>
    <xf numFmtId="4" fontId="57" fillId="0" borderId="39" xfId="0" applyNumberFormat="1" applyFont="1" applyBorder="1" applyAlignment="1">
      <alignment horizontal="center" vertical="center"/>
    </xf>
    <xf numFmtId="4" fontId="57" fillId="0" borderId="44" xfId="0" applyNumberFormat="1" applyFont="1" applyBorder="1" applyAlignment="1">
      <alignment horizontal="center" vertical="center"/>
    </xf>
    <xf numFmtId="4" fontId="57" fillId="0" borderId="34" xfId="0" applyNumberFormat="1" applyFont="1" applyBorder="1" applyAlignment="1">
      <alignment horizontal="center" vertical="center"/>
    </xf>
    <xf numFmtId="0" fontId="17" fillId="0" borderId="0" xfId="0" applyFont="1" applyAlignment="1">
      <alignment horizontal="center" vertical="center"/>
    </xf>
    <xf numFmtId="0" fontId="54" fillId="15" borderId="0" xfId="0" applyFont="1" applyFill="1" applyAlignment="1">
      <alignment horizontal="center"/>
    </xf>
    <xf numFmtId="0" fontId="140" fillId="15" borderId="0" xfId="0" applyFont="1" applyFill="1" applyAlignment="1">
      <alignment horizontal="center" vertical="center"/>
    </xf>
    <xf numFmtId="4" fontId="57" fillId="0" borderId="30" xfId="0" applyNumberFormat="1" applyFont="1" applyBorder="1" applyAlignment="1">
      <alignment horizontal="center" vertical="center"/>
    </xf>
    <xf numFmtId="0" fontId="57" fillId="0" borderId="30" xfId="0" applyFont="1" applyBorder="1" applyAlignment="1">
      <alignment horizontal="center" vertical="center"/>
    </xf>
    <xf numFmtId="4" fontId="45"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5" fillId="0" borderId="30" xfId="0" applyFont="1" applyBorder="1" applyAlignment="1">
      <alignment horizontal="center" vertical="center"/>
    </xf>
    <xf numFmtId="2" fontId="45" fillId="0" borderId="30" xfId="0" applyNumberFormat="1" applyFont="1" applyBorder="1" applyAlignment="1">
      <alignment horizontal="center" vertical="center"/>
    </xf>
    <xf numFmtId="0" fontId="41" fillId="0" borderId="30" xfId="0" applyFont="1" applyBorder="1" applyAlignment="1">
      <alignment vertical="center"/>
    </xf>
    <xf numFmtId="0" fontId="57" fillId="0" borderId="30" xfId="0" applyFont="1" applyBorder="1" applyAlignment="1">
      <alignment horizontal="left" vertical="center" wrapText="1"/>
    </xf>
    <xf numFmtId="0" fontId="57" fillId="0" borderId="30" xfId="0" applyFont="1" applyBorder="1" applyAlignment="1">
      <alignment horizontal="left" vertical="center"/>
    </xf>
    <xf numFmtId="0" fontId="46" fillId="16" borderId="30" xfId="0" applyFont="1" applyFill="1" applyBorder="1" applyAlignment="1">
      <alignment horizontal="center" vertical="center"/>
    </xf>
    <xf numFmtId="0" fontId="98" fillId="16" borderId="30" xfId="0" applyFont="1" applyFill="1" applyBorder="1" applyAlignment="1">
      <alignment horizontal="center" vertical="center"/>
    </xf>
    <xf numFmtId="0" fontId="46" fillId="16" borderId="30" xfId="0" applyFont="1" applyFill="1" applyBorder="1" applyAlignment="1">
      <alignment horizontal="center" vertical="center" wrapText="1"/>
    </xf>
    <xf numFmtId="4" fontId="59" fillId="16" borderId="30" xfId="0" applyNumberFormat="1" applyFont="1" applyFill="1" applyBorder="1" applyAlignment="1">
      <alignment horizontal="center" vertical="center" wrapText="1"/>
    </xf>
    <xf numFmtId="4" fontId="45" fillId="0" borderId="29" xfId="0" applyNumberFormat="1" applyFont="1" applyBorder="1" applyAlignment="1">
      <alignment horizontal="center" vertical="center"/>
    </xf>
    <xf numFmtId="0" fontId="59" fillId="29" borderId="125" xfId="0" applyFont="1" applyFill="1" applyBorder="1" applyAlignment="1">
      <alignment horizontal="center" vertical="center"/>
    </xf>
    <xf numFmtId="0" fontId="59" fillId="29" borderId="137" xfId="0" applyFont="1" applyFill="1" applyBorder="1" applyAlignment="1">
      <alignment horizontal="center" vertical="center"/>
    </xf>
    <xf numFmtId="0" fontId="59" fillId="29" borderId="138" xfId="0" applyFont="1" applyFill="1" applyBorder="1" applyAlignment="1">
      <alignment horizontal="center" vertical="center"/>
    </xf>
    <xf numFmtId="0" fontId="145" fillId="48" borderId="154" xfId="0" applyFont="1" applyFill="1" applyBorder="1" applyAlignment="1">
      <alignment horizontal="left" vertical="center"/>
    </xf>
    <xf numFmtId="0" fontId="145" fillId="48" borderId="155" xfId="0" applyFont="1" applyFill="1" applyBorder="1" applyAlignment="1">
      <alignment horizontal="left" vertical="center"/>
    </xf>
    <xf numFmtId="0" fontId="69" fillId="48" borderId="157" xfId="0" applyFont="1" applyFill="1" applyBorder="1" applyAlignment="1">
      <alignment horizontal="left" vertical="center"/>
    </xf>
    <xf numFmtId="0" fontId="69" fillId="48" borderId="158" xfId="0" applyFont="1" applyFill="1" applyBorder="1" applyAlignment="1">
      <alignment horizontal="left" vertical="center"/>
    </xf>
    <xf numFmtId="2" fontId="46" fillId="16" borderId="61" xfId="0" applyNumberFormat="1" applyFont="1" applyFill="1" applyBorder="1" applyAlignment="1">
      <alignment horizontal="left" vertical="center"/>
    </xf>
    <xf numFmtId="0" fontId="98" fillId="16" borderId="62" xfId="0" applyFont="1" applyFill="1" applyBorder="1" applyAlignment="1">
      <alignment horizontal="left" vertical="center"/>
    </xf>
    <xf numFmtId="3" fontId="46" fillId="41" borderId="30" xfId="0" applyNumberFormat="1" applyFont="1" applyFill="1" applyBorder="1" applyAlignment="1" applyProtection="1">
      <alignment horizontal="center" vertical="center"/>
      <protection locked="0"/>
    </xf>
    <xf numFmtId="0" fontId="98" fillId="16" borderId="60" xfId="0" applyFont="1" applyFill="1" applyBorder="1" applyAlignment="1" applyProtection="1">
      <alignment vertical="center"/>
      <protection locked="0"/>
    </xf>
    <xf numFmtId="0" fontId="123" fillId="15" borderId="0" xfId="0" applyFont="1" applyFill="1" applyAlignment="1">
      <alignment horizontal="left" vertical="center"/>
    </xf>
    <xf numFmtId="0" fontId="125" fillId="53" borderId="0" xfId="0" applyFont="1" applyFill="1" applyAlignment="1">
      <alignment vertical="center"/>
    </xf>
    <xf numFmtId="3" fontId="41" fillId="0" borderId="30" xfId="0" applyNumberFormat="1" applyFont="1" applyBorder="1" applyAlignment="1">
      <alignment horizontal="center" vertical="center"/>
    </xf>
    <xf numFmtId="0" fontId="59" fillId="29" borderId="30" xfId="0" applyFont="1" applyFill="1" applyBorder="1" applyAlignment="1">
      <alignment horizontal="center" vertical="center" wrapText="1"/>
    </xf>
    <xf numFmtId="0" fontId="205" fillId="29" borderId="29" xfId="0" applyFont="1" applyFill="1" applyBorder="1" applyAlignment="1">
      <alignment horizontal="left" vertical="center" wrapText="1"/>
    </xf>
    <xf numFmtId="0" fontId="206" fillId="16" borderId="30" xfId="0" applyFont="1" applyFill="1" applyBorder="1" applyAlignment="1">
      <alignment horizontal="left" vertical="center"/>
    </xf>
    <xf numFmtId="0" fontId="218" fillId="29" borderId="29" xfId="0" applyFont="1" applyFill="1" applyBorder="1" applyAlignment="1">
      <alignment horizontal="center" vertical="center" wrapText="1"/>
    </xf>
    <xf numFmtId="0" fontId="219" fillId="16" borderId="30" xfId="0" applyFont="1" applyFill="1" applyBorder="1" applyAlignment="1">
      <alignment horizontal="center" vertical="center"/>
    </xf>
    <xf numFmtId="0" fontId="219" fillId="16" borderId="31" xfId="0" applyFont="1" applyFill="1" applyBorder="1" applyAlignment="1">
      <alignment horizontal="center" vertical="center"/>
    </xf>
    <xf numFmtId="0" fontId="219" fillId="16" borderId="29" xfId="0" applyFont="1" applyFill="1" applyBorder="1" applyAlignment="1">
      <alignment horizontal="center" vertical="center"/>
    </xf>
    <xf numFmtId="0" fontId="204" fillId="16" borderId="29" xfId="0" applyFont="1" applyFill="1" applyBorder="1" applyAlignment="1">
      <alignment horizontal="center" vertical="center"/>
    </xf>
    <xf numFmtId="0" fontId="204" fillId="16" borderId="30" xfId="0" applyFont="1" applyFill="1" applyBorder="1" applyAlignment="1">
      <alignment vertical="center"/>
    </xf>
    <xf numFmtId="0" fontId="204" fillId="16" borderId="30" xfId="0" applyFont="1" applyFill="1" applyBorder="1" applyAlignment="1">
      <alignment horizontal="center" vertical="center"/>
    </xf>
    <xf numFmtId="0" fontId="226" fillId="29" borderId="30" xfId="0" applyFont="1" applyFill="1" applyBorder="1" applyAlignment="1">
      <alignment horizontal="center" vertical="center" wrapText="1"/>
    </xf>
    <xf numFmtId="0" fontId="227" fillId="16" borderId="30" xfId="0" applyFont="1" applyFill="1" applyBorder="1" applyAlignment="1">
      <alignment horizontal="center" vertical="center"/>
    </xf>
    <xf numFmtId="0" fontId="218" fillId="29" borderId="30" xfId="0" applyFont="1" applyFill="1" applyBorder="1" applyAlignment="1">
      <alignment horizontal="center" vertical="center" wrapText="1"/>
    </xf>
    <xf numFmtId="0" fontId="219" fillId="16" borderId="39" xfId="0" applyFont="1" applyFill="1" applyBorder="1" applyAlignment="1">
      <alignment horizontal="center" vertical="center"/>
    </xf>
    <xf numFmtId="0" fontId="219" fillId="16" borderId="30" xfId="0" applyFont="1" applyFill="1" applyBorder="1" applyAlignment="1">
      <alignment vertical="center"/>
    </xf>
    <xf numFmtId="0" fontId="219" fillId="16" borderId="31" xfId="0" applyFont="1" applyFill="1" applyBorder="1" applyAlignment="1">
      <alignment vertical="center"/>
    </xf>
    <xf numFmtId="3" fontId="41" fillId="0" borderId="39" xfId="0" applyNumberFormat="1" applyFont="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2" fontId="225" fillId="0" borderId="39" xfId="0" applyNumberFormat="1" applyFont="1" applyBorder="1" applyAlignment="1">
      <alignment horizontal="center" vertical="center" wrapText="1"/>
    </xf>
    <xf numFmtId="2" fontId="225" fillId="0" borderId="44" xfId="0" applyNumberFormat="1" applyFont="1" applyBorder="1" applyAlignment="1">
      <alignment horizontal="center" vertical="center" wrapText="1"/>
    </xf>
    <xf numFmtId="2" fontId="225" fillId="0" borderId="34" xfId="0" applyNumberFormat="1" applyFont="1" applyBorder="1" applyAlignment="1">
      <alignment horizontal="center" vertical="center" wrapText="1"/>
    </xf>
    <xf numFmtId="2" fontId="225" fillId="2" borderId="30" xfId="0" applyNumberFormat="1" applyFont="1" applyFill="1" applyBorder="1" applyAlignment="1" applyProtection="1">
      <alignment horizontal="center" vertical="center" wrapText="1"/>
      <protection locked="0"/>
    </xf>
    <xf numFmtId="0" fontId="31" fillId="0" borderId="30" xfId="0" applyFont="1" applyBorder="1" applyAlignment="1" applyProtection="1">
      <alignment vertical="center"/>
      <protection locked="0"/>
    </xf>
    <xf numFmtId="0" fontId="31" fillId="0" borderId="30" xfId="0" applyFont="1" applyBorder="1" applyAlignment="1" applyProtection="1">
      <alignment horizontal="center" vertical="center"/>
      <protection locked="0"/>
    </xf>
    <xf numFmtId="2" fontId="225" fillId="2" borderId="31" xfId="0" applyNumberFormat="1" applyFont="1" applyFill="1" applyBorder="1" applyAlignment="1" applyProtection="1">
      <alignment horizontal="center" vertical="center" wrapText="1"/>
      <protection locked="0"/>
    </xf>
    <xf numFmtId="0" fontId="31" fillId="0" borderId="31" xfId="0" applyFont="1" applyBorder="1" applyAlignment="1" applyProtection="1">
      <alignment vertical="center"/>
      <protection locked="0"/>
    </xf>
    <xf numFmtId="2" fontId="31" fillId="0" borderId="30" xfId="0" applyNumberFormat="1" applyFont="1" applyBorder="1" applyAlignment="1" applyProtection="1">
      <alignment horizontal="center" vertical="center"/>
      <protection locked="0"/>
    </xf>
    <xf numFmtId="2" fontId="31" fillId="0" borderId="31" xfId="0" applyNumberFormat="1" applyFont="1" applyBorder="1" applyAlignment="1" applyProtection="1">
      <alignment vertical="center"/>
      <protection locked="0"/>
    </xf>
    <xf numFmtId="0" fontId="165" fillId="29" borderId="112" xfId="0" applyFont="1" applyFill="1" applyBorder="1" applyAlignment="1">
      <alignment horizontal="center" vertical="center"/>
    </xf>
    <xf numFmtId="0" fontId="165" fillId="29" borderId="116" xfId="0" applyFont="1" applyFill="1" applyBorder="1" applyAlignment="1">
      <alignment horizontal="center" vertical="center"/>
    </xf>
    <xf numFmtId="0" fontId="165" fillId="29" borderId="113" xfId="0" applyFont="1" applyFill="1" applyBorder="1" applyAlignment="1">
      <alignment horizontal="center" vertical="center"/>
    </xf>
    <xf numFmtId="3" fontId="160" fillId="29" borderId="113" xfId="0" applyNumberFormat="1" applyFont="1" applyFill="1" applyBorder="1" applyAlignment="1">
      <alignment horizontal="center" vertical="center" wrapText="1"/>
    </xf>
    <xf numFmtId="3" fontId="160" fillId="29" borderId="60" xfId="0" applyNumberFormat="1" applyFont="1" applyFill="1" applyBorder="1" applyAlignment="1">
      <alignment horizontal="center" vertical="center" wrapText="1"/>
    </xf>
    <xf numFmtId="3" fontId="160" fillId="29" borderId="112" xfId="0" applyNumberFormat="1" applyFont="1" applyFill="1" applyBorder="1" applyAlignment="1">
      <alignment horizontal="center" vertical="center" wrapText="1"/>
    </xf>
    <xf numFmtId="3" fontId="160" fillId="29" borderId="59" xfId="0" applyNumberFormat="1" applyFont="1" applyFill="1" applyBorder="1" applyAlignment="1">
      <alignment horizontal="center" vertical="center" wrapText="1"/>
    </xf>
    <xf numFmtId="0" fontId="41" fillId="14" borderId="23" xfId="0" applyFont="1" applyFill="1" applyBorder="1" applyAlignment="1">
      <alignment horizontal="left" vertical="center"/>
    </xf>
    <xf numFmtId="0" fontId="41" fillId="14" borderId="23" xfId="0" applyFont="1" applyFill="1" applyBorder="1" applyAlignment="1">
      <alignment vertical="center"/>
    </xf>
    <xf numFmtId="0" fontId="191" fillId="28" borderId="29" xfId="0" applyFont="1" applyFill="1" applyBorder="1" applyAlignment="1">
      <alignment horizontal="left" vertical="center" wrapText="1"/>
    </xf>
    <xf numFmtId="0" fontId="223" fillId="15" borderId="30" xfId="0" applyFont="1" applyFill="1" applyBorder="1" applyAlignment="1">
      <alignment horizontal="left" vertical="center"/>
    </xf>
    <xf numFmtId="0" fontId="223" fillId="15" borderId="29" xfId="0" applyFont="1" applyFill="1" applyBorder="1" applyAlignment="1">
      <alignment horizontal="left" vertical="center"/>
    </xf>
    <xf numFmtId="0" fontId="60" fillId="16" borderId="39" xfId="0" applyFont="1" applyFill="1" applyBorder="1" applyAlignment="1">
      <alignment horizontal="center" vertical="center"/>
    </xf>
    <xf numFmtId="0" fontId="218" fillId="29" borderId="31" xfId="0" applyFont="1" applyFill="1" applyBorder="1" applyAlignment="1">
      <alignment horizontal="center" vertical="center"/>
    </xf>
    <xf numFmtId="0" fontId="219" fillId="16" borderId="28" xfId="0" applyFont="1" applyFill="1" applyBorder="1" applyAlignment="1">
      <alignment vertical="center"/>
    </xf>
    <xf numFmtId="0" fontId="219" fillId="16" borderId="29" xfId="0" applyFont="1" applyFill="1" applyBorder="1" applyAlignment="1">
      <alignment vertical="center"/>
    </xf>
    <xf numFmtId="0" fontId="205" fillId="29" borderId="31" xfId="0" applyFont="1" applyFill="1" applyBorder="1" applyAlignment="1">
      <alignment horizontal="center" vertical="center"/>
    </xf>
    <xf numFmtId="0" fontId="206" fillId="16" borderId="28" xfId="0" applyFont="1" applyFill="1" applyBorder="1" applyAlignment="1">
      <alignment vertical="center"/>
    </xf>
    <xf numFmtId="0" fontId="206" fillId="16" borderId="29" xfId="0" applyFont="1" applyFill="1" applyBorder="1" applyAlignment="1">
      <alignment vertical="center"/>
    </xf>
    <xf numFmtId="0" fontId="56" fillId="28" borderId="28" xfId="0" applyFont="1" applyFill="1" applyBorder="1" applyAlignment="1">
      <alignment horizontal="center" vertical="center"/>
    </xf>
    <xf numFmtId="0" fontId="58" fillId="15" borderId="28" xfId="0" applyFont="1" applyFill="1" applyBorder="1" applyAlignment="1">
      <alignment vertical="center"/>
    </xf>
    <xf numFmtId="166" fontId="41" fillId="11" borderId="39" xfId="1" applyNumberFormat="1" applyFont="1" applyFill="1" applyBorder="1" applyAlignment="1" applyProtection="1">
      <alignment horizontal="center" vertical="center"/>
      <protection locked="0"/>
    </xf>
    <xf numFmtId="166" fontId="41" fillId="11" borderId="34" xfId="1" applyNumberFormat="1" applyFont="1" applyFill="1" applyBorder="1" applyAlignment="1" applyProtection="1">
      <alignment horizontal="center" vertical="center"/>
      <protection locked="0"/>
    </xf>
    <xf numFmtId="0" fontId="203" fillId="28" borderId="23" xfId="0" applyFont="1" applyFill="1" applyBorder="1" applyAlignment="1">
      <alignment horizontal="left" vertical="center" wrapText="1"/>
    </xf>
    <xf numFmtId="0" fontId="220" fillId="28" borderId="23" xfId="0" applyFont="1" applyFill="1" applyBorder="1" applyAlignment="1">
      <alignment horizontal="left" vertical="center"/>
    </xf>
    <xf numFmtId="0" fontId="24" fillId="0" borderId="148" xfId="0" applyFont="1" applyBorder="1" applyAlignment="1">
      <alignment horizontal="left" vertical="center" wrapText="1"/>
    </xf>
    <xf numFmtId="0" fontId="24" fillId="0" borderId="121" xfId="0" applyFont="1" applyBorder="1" applyAlignment="1">
      <alignment horizontal="left" vertical="center" wrapText="1"/>
    </xf>
    <xf numFmtId="0" fontId="24" fillId="0" borderId="39" xfId="0" applyFont="1" applyBorder="1" applyAlignment="1">
      <alignment horizontal="center" vertical="center"/>
    </xf>
    <xf numFmtId="0" fontId="24" fillId="0" borderId="97" xfId="0" applyFont="1" applyBorder="1" applyAlignment="1">
      <alignment horizontal="center" vertical="center"/>
    </xf>
    <xf numFmtId="9" fontId="24" fillId="2" borderId="152" xfId="0" applyNumberFormat="1" applyFont="1" applyFill="1" applyBorder="1" applyAlignment="1" applyProtection="1">
      <alignment horizontal="center" vertical="center"/>
      <protection locked="0"/>
    </xf>
    <xf numFmtId="9" fontId="24" fillId="2" borderId="123" xfId="0" applyNumberFormat="1" applyFont="1" applyFill="1" applyBorder="1" applyAlignment="1" applyProtection="1">
      <alignment horizontal="center" vertical="center"/>
      <protection locked="0"/>
    </xf>
    <xf numFmtId="3" fontId="61" fillId="16" borderId="39" xfId="0" applyNumberFormat="1" applyFont="1" applyFill="1" applyBorder="1" applyAlignment="1">
      <alignment horizontal="left" vertical="center" wrapText="1"/>
    </xf>
    <xf numFmtId="3" fontId="61" fillId="16" borderId="34" xfId="0" applyNumberFormat="1" applyFont="1" applyFill="1" applyBorder="1" applyAlignment="1">
      <alignment horizontal="left" vertical="center" wrapText="1"/>
    </xf>
    <xf numFmtId="166" fontId="24" fillId="2" borderId="60" xfId="0" applyNumberFormat="1" applyFont="1" applyFill="1" applyBorder="1" applyAlignment="1" applyProtection="1">
      <alignment horizontal="center" vertical="center"/>
      <protection locked="0"/>
    </xf>
    <xf numFmtId="166" fontId="24" fillId="2" borderId="63" xfId="0" applyNumberFormat="1" applyFont="1" applyFill="1" applyBorder="1" applyAlignment="1" applyProtection="1">
      <alignment horizontal="center" vertical="center"/>
      <protection locked="0"/>
    </xf>
    <xf numFmtId="3" fontId="24" fillId="2" borderId="59" xfId="0" applyNumberFormat="1" applyFont="1" applyFill="1" applyBorder="1" applyAlignment="1" applyProtection="1">
      <alignment horizontal="center" vertical="center"/>
      <protection locked="0"/>
    </xf>
    <xf numFmtId="3" fontId="24" fillId="2" borderId="61" xfId="0" applyNumberFormat="1" applyFont="1" applyFill="1" applyBorder="1" applyAlignment="1" applyProtection="1">
      <alignment horizontal="center" vertical="center"/>
      <protection locked="0"/>
    </xf>
    <xf numFmtId="0" fontId="202" fillId="52" borderId="117" xfId="0" applyFont="1" applyFill="1" applyBorder="1" applyAlignment="1">
      <alignment horizontal="right" vertical="center" wrapText="1"/>
    </xf>
    <xf numFmtId="0" fontId="202" fillId="52" borderId="118" xfId="0" applyFont="1" applyFill="1" applyBorder="1" applyAlignment="1">
      <alignment horizontal="right" vertical="center" wrapText="1"/>
    </xf>
    <xf numFmtId="0" fontId="159" fillId="29" borderId="205" xfId="0" applyFont="1" applyFill="1" applyBorder="1" applyAlignment="1">
      <alignment horizontal="left" vertical="center"/>
    </xf>
    <xf numFmtId="0" fontId="159" fillId="29" borderId="206" xfId="0" applyFont="1" applyFill="1" applyBorder="1" applyAlignment="1">
      <alignment horizontal="left" vertical="center"/>
    </xf>
    <xf numFmtId="0" fontId="159" fillId="29" borderId="191" xfId="0" applyFont="1" applyFill="1" applyBorder="1" applyAlignment="1">
      <alignment horizontal="left" vertical="center"/>
    </xf>
    <xf numFmtId="0" fontId="191" fillId="28" borderId="23" xfId="0" applyFont="1" applyFill="1" applyBorder="1" applyAlignment="1">
      <alignment horizontal="left" vertical="center" wrapText="1"/>
    </xf>
    <xf numFmtId="0" fontId="200" fillId="52" borderId="148" xfId="0" applyFont="1" applyFill="1" applyBorder="1" applyAlignment="1">
      <alignment horizontal="right" vertical="center"/>
    </xf>
    <xf numFmtId="0" fontId="200" fillId="52" borderId="36" xfId="0" applyFont="1" applyFill="1" applyBorder="1" applyAlignment="1">
      <alignment horizontal="right" vertical="center"/>
    </xf>
    <xf numFmtId="0" fontId="200" fillId="61" borderId="207" xfId="0" applyFont="1" applyFill="1" applyBorder="1" applyAlignment="1">
      <alignment horizontal="right" vertical="center" wrapText="1"/>
    </xf>
    <xf numFmtId="0" fontId="200" fillId="61" borderId="208" xfId="0" applyFont="1" applyFill="1" applyBorder="1" applyAlignment="1">
      <alignment horizontal="right" vertical="center" wrapText="1"/>
    </xf>
    <xf numFmtId="0" fontId="200" fillId="52" borderId="150" xfId="0" applyFont="1" applyFill="1" applyBorder="1" applyAlignment="1">
      <alignment horizontal="right" vertical="center" wrapText="1"/>
    </xf>
    <xf numFmtId="0" fontId="200" fillId="52" borderId="149" xfId="0" applyFont="1" applyFill="1" applyBorder="1" applyAlignment="1">
      <alignment horizontal="right" vertical="center" wrapText="1"/>
    </xf>
    <xf numFmtId="0" fontId="200" fillId="52" borderId="31" xfId="0" applyFont="1" applyFill="1" applyBorder="1" applyAlignment="1">
      <alignment horizontal="right" vertical="center"/>
    </xf>
    <xf numFmtId="0" fontId="200" fillId="52" borderId="29" xfId="0" applyFont="1" applyFill="1" applyBorder="1" applyAlignment="1">
      <alignment horizontal="right" vertical="center"/>
    </xf>
    <xf numFmtId="0" fontId="200" fillId="52" borderId="37" xfId="0" applyFont="1" applyFill="1" applyBorder="1" applyAlignment="1">
      <alignment horizontal="right" vertical="center"/>
    </xf>
    <xf numFmtId="0" fontId="200" fillId="52" borderId="120" xfId="0" applyFont="1" applyFill="1" applyBorder="1" applyAlignment="1">
      <alignment horizontal="right" vertical="center"/>
    </xf>
    <xf numFmtId="0" fontId="159" fillId="29" borderId="192" xfId="0" applyFont="1" applyFill="1" applyBorder="1" applyAlignment="1">
      <alignment horizontal="center" vertical="center" wrapText="1"/>
    </xf>
    <xf numFmtId="0" fontId="159" fillId="29" borderId="193" xfId="0" applyFont="1" applyFill="1" applyBorder="1" applyAlignment="1">
      <alignment horizontal="center" vertical="center" wrapText="1"/>
    </xf>
    <xf numFmtId="0" fontId="159" fillId="29" borderId="194" xfId="0" applyFont="1" applyFill="1" applyBorder="1" applyAlignment="1">
      <alignment horizontal="center" vertical="center" wrapText="1"/>
    </xf>
    <xf numFmtId="0" fontId="200" fillId="52" borderId="134" xfId="0" applyFont="1" applyFill="1" applyBorder="1" applyAlignment="1">
      <alignment horizontal="right" vertical="center" wrapText="1"/>
    </xf>
    <xf numFmtId="0" fontId="170" fillId="16" borderId="202" xfId="0" applyFont="1" applyFill="1" applyBorder="1" applyAlignment="1">
      <alignment horizontal="center" vertical="center" wrapText="1"/>
    </xf>
    <xf numFmtId="0" fontId="170" fillId="16" borderId="131" xfId="0" applyFont="1" applyFill="1" applyBorder="1" applyAlignment="1">
      <alignment horizontal="center" vertical="center" wrapText="1"/>
    </xf>
    <xf numFmtId="0" fontId="170" fillId="57" borderId="203" xfId="0" applyFont="1" applyFill="1" applyBorder="1" applyAlignment="1">
      <alignment horizontal="center" vertical="center" wrapText="1"/>
    </xf>
    <xf numFmtId="0" fontId="170" fillId="57"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01" fillId="56" borderId="184" xfId="1" applyNumberFormat="1" applyFont="1" applyFill="1" applyBorder="1" applyAlignment="1">
      <alignment horizontal="center" vertical="center"/>
    </xf>
    <xf numFmtId="166" fontId="201" fillId="56" borderId="178" xfId="1" applyNumberFormat="1" applyFont="1" applyFill="1" applyBorder="1" applyAlignment="1">
      <alignment horizontal="center" vertical="center"/>
    </xf>
    <xf numFmtId="166" fontId="201" fillId="56" borderId="179" xfId="1" applyNumberFormat="1" applyFont="1" applyFill="1" applyBorder="1" applyAlignment="1">
      <alignment horizontal="center" vertical="center"/>
    </xf>
    <xf numFmtId="0" fontId="246" fillId="56" borderId="185" xfId="0" applyFont="1" applyFill="1" applyBorder="1" applyAlignment="1">
      <alignment horizontal="left" vertical="center" wrapText="1"/>
    </xf>
    <xf numFmtId="0" fontId="246" fillId="56" borderId="119" xfId="0" applyFont="1" applyFill="1" applyBorder="1" applyAlignment="1">
      <alignment horizontal="left" vertical="center" wrapText="1"/>
    </xf>
    <xf numFmtId="0" fontId="246" fillId="56" borderId="121" xfId="0" applyFont="1" applyFill="1" applyBorder="1" applyAlignment="1">
      <alignment horizontal="left" vertical="center" wrapText="1"/>
    </xf>
    <xf numFmtId="0" fontId="246" fillId="56" borderId="123" xfId="0" applyFont="1" applyFill="1" applyBorder="1" applyAlignment="1">
      <alignment horizontal="left" vertical="center" wrapText="1"/>
    </xf>
    <xf numFmtId="0" fontId="201" fillId="11" borderId="185" xfId="0" applyFont="1" applyFill="1" applyBorder="1" applyAlignment="1" applyProtection="1">
      <alignment horizontal="left" vertical="center" wrapText="1"/>
      <protection locked="0"/>
    </xf>
    <xf numFmtId="0" fontId="201" fillId="11" borderId="117" xfId="0" applyFont="1" applyFill="1" applyBorder="1" applyAlignment="1" applyProtection="1">
      <alignment horizontal="left" vertical="center" wrapText="1"/>
      <protection locked="0"/>
    </xf>
    <xf numFmtId="0" fontId="201" fillId="11" borderId="119" xfId="0" applyFont="1" applyFill="1" applyBorder="1" applyAlignment="1" applyProtection="1">
      <alignment horizontal="left" vertical="center" wrapText="1"/>
      <protection locked="0"/>
    </xf>
    <xf numFmtId="0" fontId="201" fillId="11" borderId="121" xfId="0" applyFont="1" applyFill="1" applyBorder="1" applyAlignment="1" applyProtection="1">
      <alignment horizontal="left" vertical="center" wrapText="1"/>
      <protection locked="0"/>
    </xf>
    <xf numFmtId="0" fontId="201" fillId="11" borderId="122" xfId="0" applyFont="1" applyFill="1" applyBorder="1" applyAlignment="1" applyProtection="1">
      <alignment horizontal="left" vertical="center" wrapText="1"/>
      <protection locked="0"/>
    </xf>
    <xf numFmtId="0" fontId="201" fillId="11" borderId="123" xfId="0" applyFont="1" applyFill="1" applyBorder="1" applyAlignment="1" applyProtection="1">
      <alignment horizontal="left" vertical="center" wrapText="1"/>
      <protection locked="0"/>
    </xf>
    <xf numFmtId="0" fontId="242" fillId="0" borderId="186" xfId="4" applyFont="1" applyBorder="1" applyAlignment="1">
      <alignment horizontal="right" vertical="center"/>
    </xf>
    <xf numFmtId="0" fontId="242" fillId="0" borderId="142" xfId="4" applyFont="1" applyBorder="1" applyAlignment="1">
      <alignment horizontal="right" vertical="center"/>
    </xf>
    <xf numFmtId="0" fontId="242" fillId="0" borderId="187" xfId="4" applyFont="1" applyBorder="1" applyAlignment="1">
      <alignment horizontal="right" vertical="center"/>
    </xf>
    <xf numFmtId="0" fontId="242" fillId="0" borderId="141" xfId="4" applyFont="1" applyBorder="1" applyAlignment="1">
      <alignment horizontal="right" vertical="center"/>
    </xf>
    <xf numFmtId="0" fontId="248" fillId="56" borderId="184" xfId="0" applyFont="1" applyFill="1" applyBorder="1" applyAlignment="1">
      <alignment horizontal="left" vertical="center"/>
    </xf>
    <xf numFmtId="0" fontId="248" fillId="56" borderId="178" xfId="0" applyFont="1" applyFill="1" applyBorder="1" applyAlignment="1">
      <alignment horizontal="left" vertical="center"/>
    </xf>
    <xf numFmtId="0" fontId="248" fillId="56" borderId="179" xfId="0" applyFont="1" applyFill="1" applyBorder="1" applyAlignment="1">
      <alignment horizontal="left" vertical="center"/>
    </xf>
    <xf numFmtId="0" fontId="170" fillId="56" borderId="184" xfId="0" applyFont="1" applyFill="1" applyBorder="1" applyAlignment="1">
      <alignment horizontal="left" vertical="center"/>
    </xf>
    <xf numFmtId="0" fontId="170" fillId="56" borderId="178" xfId="0" applyFont="1" applyFill="1" applyBorder="1" applyAlignment="1">
      <alignment horizontal="left" vertical="center"/>
    </xf>
    <xf numFmtId="0" fontId="170" fillId="56" borderId="179" xfId="0" applyFont="1" applyFill="1" applyBorder="1" applyAlignment="1">
      <alignment horizontal="left" vertical="center"/>
    </xf>
    <xf numFmtId="0" fontId="176" fillId="31" borderId="56" xfId="0" applyFont="1" applyFill="1" applyBorder="1" applyAlignment="1">
      <alignment horizontal="center" vertical="center" wrapText="1"/>
    </xf>
    <xf numFmtId="0" fontId="177" fillId="16" borderId="57" xfId="0" applyFont="1" applyFill="1" applyBorder="1" applyAlignment="1">
      <alignment wrapText="1"/>
    </xf>
    <xf numFmtId="0" fontId="177" fillId="16" borderId="58" xfId="0" applyFont="1" applyFill="1" applyBorder="1" applyAlignment="1">
      <alignment wrapText="1"/>
    </xf>
    <xf numFmtId="0" fontId="170" fillId="32" borderId="94" xfId="0" applyFont="1" applyFill="1" applyBorder="1" applyAlignment="1">
      <alignment horizontal="center" vertical="center"/>
    </xf>
    <xf numFmtId="0" fontId="178" fillId="16" borderId="95" xfId="0" applyFont="1" applyFill="1" applyBorder="1"/>
    <xf numFmtId="0" fontId="178" fillId="16" borderId="96" xfId="0" applyFont="1" applyFill="1" applyBorder="1"/>
    <xf numFmtId="0" fontId="145" fillId="48" borderId="28" xfId="0" applyFont="1" applyFill="1" applyBorder="1" applyAlignment="1">
      <alignment horizontal="left" vertical="center"/>
    </xf>
    <xf numFmtId="0" fontId="145" fillId="48" borderId="29" xfId="0" applyFont="1" applyFill="1" applyBorder="1"/>
    <xf numFmtId="0" fontId="167" fillId="37" borderId="23" xfId="0" applyFont="1" applyFill="1" applyBorder="1" applyAlignment="1">
      <alignment horizontal="left" vertical="center" wrapText="1"/>
    </xf>
    <xf numFmtId="0" fontId="176" fillId="31" borderId="56" xfId="0" applyFont="1" applyFill="1" applyBorder="1" applyAlignment="1">
      <alignment horizontal="center" vertical="center"/>
    </xf>
    <xf numFmtId="0" fontId="177" fillId="16" borderId="57" xfId="0" applyFont="1" applyFill="1" applyBorder="1"/>
    <xf numFmtId="0" fontId="177" fillId="16" borderId="58" xfId="0" applyFont="1" applyFill="1" applyBorder="1"/>
    <xf numFmtId="0" fontId="160" fillId="32" borderId="99" xfId="0" applyFont="1" applyFill="1" applyBorder="1" applyAlignment="1">
      <alignment horizontal="center" vertical="center"/>
    </xf>
    <xf numFmtId="0" fontId="161" fillId="16" borderId="100" xfId="0" applyFont="1" applyFill="1" applyBorder="1"/>
    <xf numFmtId="0" fontId="161" fillId="16" borderId="101" xfId="0" applyFont="1" applyFill="1" applyBorder="1"/>
    <xf numFmtId="0" fontId="168" fillId="37"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1536.4595073386222</c:v>
                </c:pt>
                <c:pt idx="3">
                  <c:v>0</c:v>
                </c:pt>
                <c:pt idx="4">
                  <c:v>0</c:v>
                </c:pt>
                <c:pt idx="5">
                  <c:v>0</c:v>
                </c:pt>
                <c:pt idx="6">
                  <c:v>0</c:v>
                </c:pt>
                <c:pt idx="7">
                  <c:v>3868.796239830629</c:v>
                </c:pt>
                <c:pt idx="8">
                  <c:v>439.0507846966205</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12252.405528169973</c:v>
                </c:pt>
                <c:pt idx="3">
                  <c:v>0</c:v>
                </c:pt>
                <c:pt idx="4">
                  <c:v>0</c:v>
                </c:pt>
                <c:pt idx="5">
                  <c:v>0</c:v>
                </c:pt>
                <c:pt idx="6">
                  <c:v>0</c:v>
                </c:pt>
                <c:pt idx="7">
                  <c:v>3895.2668094642145</c:v>
                </c:pt>
                <c:pt idx="8">
                  <c:v>432.88015992359766</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514.64999999999884</c:v>
                </c:pt>
                <c:pt idx="1">
                  <c:v>0</c:v>
                </c:pt>
                <c:pt idx="2">
                  <c:v>320.17731483326418</c:v>
                </c:pt>
                <c:pt idx="3">
                  <c:v>0</c:v>
                </c:pt>
                <c:pt idx="4">
                  <c:v>0</c:v>
                </c:pt>
                <c:pt idx="5">
                  <c:v>0</c:v>
                </c:pt>
                <c:pt idx="6">
                  <c:v>0</c:v>
                </c:pt>
                <c:pt idx="7">
                  <c:v>705.23623824985441</c:v>
                </c:pt>
                <c:pt idx="8">
                  <c:v>168.25494394420218</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2553.2350729195769</c:v>
                </c:pt>
                <c:pt idx="3">
                  <c:v>0</c:v>
                </c:pt>
                <c:pt idx="4">
                  <c:v>0</c:v>
                </c:pt>
                <c:pt idx="5">
                  <c:v>0</c:v>
                </c:pt>
                <c:pt idx="6">
                  <c:v>0</c:v>
                </c:pt>
                <c:pt idx="7">
                  <c:v>710.0615130370162</c:v>
                </c:pt>
                <c:pt idx="8" formatCode="0">
                  <c:v>165.89021038381674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51.02922312590983</c:v>
                </c:pt>
                <c:pt idx="3" formatCode="#,##0">
                  <c:v>0</c:v>
                </c:pt>
                <c:pt idx="4" formatCode="#,##0">
                  <c:v>0</c:v>
                </c:pt>
                <c:pt idx="5" formatCode="#,##0">
                  <c:v>0</c:v>
                </c:pt>
                <c:pt idx="6" formatCode="#,##0">
                  <c:v>0</c:v>
                </c:pt>
                <c:pt idx="7" formatCode="#,##0">
                  <c:v>366.34163838396557</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73.8</c:v>
                </c:pt>
                <c:pt idx="1">
                  <c:v>0</c:v>
                </c:pt>
                <c:pt idx="2">
                  <c:v>9.2545673076923052</c:v>
                </c:pt>
                <c:pt idx="3">
                  <c:v>0</c:v>
                </c:pt>
                <c:pt idx="4">
                  <c:v>0</c:v>
                </c:pt>
                <c:pt idx="5">
                  <c:v>0</c:v>
                </c:pt>
                <c:pt idx="6">
                  <c:v>0</c:v>
                </c:pt>
                <c:pt idx="7">
                  <c:v>73.298486718749999</c:v>
                </c:pt>
                <c:pt idx="8">
                  <c:v>14.612861249999996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-16.176181257637332</c:v>
                </c:pt>
                <c:pt idx="1">
                  <c:v>-56.115174264760697</c:v>
                </c:pt>
                <c:pt idx="2">
                  <c:v>-87.518010170433257</c:v>
                </c:pt>
                <c:pt idx="3">
                  <c:v>-86.343370448049214</c:v>
                </c:pt>
                <c:pt idx="4">
                  <c:v>-85.082040400065551</c:v>
                </c:pt>
                <c:pt idx="5">
                  <c:v>-83.733612581951959</c:v>
                </c:pt>
                <c:pt idx="6">
                  <c:v>-82.297677634188815</c:v>
                </c:pt>
                <c:pt idx="7">
                  <c:v>-80.773824273266783</c:v>
                </c:pt>
                <c:pt idx="8">
                  <c:v>-79.161639282644003</c:v>
                </c:pt>
                <c:pt idx="9">
                  <c:v>-77.460707503660885</c:v>
                </c:pt>
                <c:pt idx="10">
                  <c:v>-75.670611826412127</c:v>
                </c:pt>
                <c:pt idx="11">
                  <c:v>-73.790933180575891</c:v>
                </c:pt>
                <c:pt idx="12">
                  <c:v>-71.821250526199805</c:v>
                </c:pt>
                <c:pt idx="13">
                  <c:v>-69.761140844443744</c:v>
                </c:pt>
                <c:pt idx="14">
                  <c:v>-67.610179128279015</c:v>
                </c:pt>
                <c:pt idx="15">
                  <c:v>-65.3679383731439</c:v>
                </c:pt>
                <c:pt idx="16">
                  <c:v>-63.033989567555238</c:v>
                </c:pt>
                <c:pt idx="17">
                  <c:v>-60.607901683675898</c:v>
                </c:pt>
                <c:pt idx="18">
                  <c:v>-58.089241667837911</c:v>
                </c:pt>
                <c:pt idx="19">
                  <c:v>-55.477574431021068</c:v>
                </c:pt>
                <c:pt idx="20">
                  <c:v>-52.772462839286781</c:v>
                </c:pt>
                <c:pt idx="21">
                  <c:v>-49.973467704166929</c:v>
                </c:pt>
                <c:pt idx="22">
                  <c:v>-47.080147773007596</c:v>
                </c:pt>
                <c:pt idx="23">
                  <c:v>-44.092059719267411</c:v>
                </c:pt>
                <c:pt idx="24">
                  <c:v>-41.008758132770232</c:v>
                </c:pt>
                <c:pt idx="25">
                  <c:v>-37.829795509912103</c:v>
                </c:pt>
                <c:pt idx="26">
                  <c:v>-34.554722243822127</c:v>
                </c:pt>
                <c:pt idx="27">
                  <c:v>-31.183086614477123</c:v>
                </c:pt>
                <c:pt idx="28">
                  <c:v>-27.714434778769782</c:v>
                </c:pt>
                <c:pt idx="29">
                  <c:v>-24.148310760530205</c:v>
                </c:pt>
                <c:pt idx="30">
                  <c:v>-20.484256440500491</c:v>
                </c:pt>
                <c:pt idx="31">
                  <c:v>-16.721811546262227</c:v>
                </c:pt>
                <c:pt idx="32">
                  <c:v>-12.860513642116628</c:v>
                </c:pt>
                <c:pt idx="33">
                  <c:v>-8.8998981189171325</c:v>
                </c:pt>
                <c:pt idx="34">
                  <c:v>-4.8394981838541886</c:v>
                </c:pt>
                <c:pt idx="35">
                  <c:v>-0.67884485019203655</c:v>
                </c:pt>
                <c:pt idx="36">
                  <c:v>3.5825330730427343</c:v>
                </c:pt>
                <c:pt idx="37">
                  <c:v>7.9451089914211215</c:v>
                </c:pt>
                <c:pt idx="38">
                  <c:v>12.409358535520306</c:v>
                </c:pt>
                <c:pt idx="39">
                  <c:v>16.975759571381168</c:v>
                </c:pt>
                <c:pt idx="40">
                  <c:v>21.644792211014984</c:v>
                </c:pt>
                <c:pt idx="41">
                  <c:v>26.416938822959494</c:v>
                </c:pt>
                <c:pt idx="42">
                  <c:v>31.292684042884552</c:v>
                </c:pt>
                <c:pt idx="43">
                  <c:v>36.272514784247669</c:v>
                </c:pt>
                <c:pt idx="44">
                  <c:v>41.3569202489996</c:v>
                </c:pt>
                <c:pt idx="45">
                  <c:v>46.546391938340285</c:v>
                </c:pt>
                <c:pt idx="46">
                  <c:v>51.841423663525291</c:v>
                </c:pt>
                <c:pt idx="47">
                  <c:v>57.242511556723073</c:v>
                </c:pt>
                <c:pt idx="48">
                  <c:v>62.750154081923291</c:v>
                </c:pt>
                <c:pt idx="49">
                  <c:v>68.364852045896356</c:v>
                </c:pt>
                <c:pt idx="50">
                  <c:v>74.08710860920452</c:v>
                </c:pt>
                <c:pt idx="51">
                  <c:v>79.917429297264647</c:v>
                </c:pt>
                <c:pt idx="52">
                  <c:v>85.856322011463064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15.933684484650088</c:v>
                </c:pt>
                <c:pt idx="1">
                  <c:v>23.24899839335043</c:v>
                </c:pt>
                <c:pt idx="2">
                  <c:v>31.21955444146834</c:v>
                </c:pt>
                <c:pt idx="3">
                  <c:v>22.104802555662992</c:v>
                </c:pt>
                <c:pt idx="4">
                  <c:v>13.391253645261408</c:v>
                </c:pt>
                <c:pt idx="5">
                  <c:v>5.0793688985979664</c:v>
                </c:pt>
                <c:pt idx="6">
                  <c:v>-2.8303883284077731</c:v>
                </c:pt>
                <c:pt idx="7">
                  <c:v>-10.337552502063438</c:v>
                </c:pt>
                <c:pt idx="8">
                  <c:v>-17.441655900668287</c:v>
                </c:pt>
                <c:pt idx="9">
                  <c:v>-24.142228604229601</c:v>
                </c:pt>
                <c:pt idx="10">
                  <c:v>-30.438798484130693</c:v>
                </c:pt>
                <c:pt idx="11">
                  <c:v>-36.330891192750371</c:v>
                </c:pt>
                <c:pt idx="12">
                  <c:v>-41.818030153033625</c:v>
                </c:pt>
                <c:pt idx="13">
                  <c:v>-46.899736548013301</c:v>
                </c:pt>
                <c:pt idx="14">
                  <c:v>-51.575529310282484</c:v>
                </c:pt>
                <c:pt idx="15">
                  <c:v>-55.844925111417439</c:v>
                </c:pt>
                <c:pt idx="16">
                  <c:v>-59.707438351350852</c:v>
                </c:pt>
                <c:pt idx="17">
                  <c:v>-63.162581147695093</c:v>
                </c:pt>
                <c:pt idx="18">
                  <c:v>-66.209863325015306</c:v>
                </c:pt>
                <c:pt idx="19">
                  <c:v>-68.848792404052105</c:v>
                </c:pt>
                <c:pt idx="20">
                  <c:v>-71.078873590893565</c:v>
                </c:pt>
                <c:pt idx="21">
                  <c:v>-72.899609766096376</c:v>
                </c:pt>
                <c:pt idx="22">
                  <c:v>-74.310501473755849</c:v>
                </c:pt>
                <c:pt idx="23">
                  <c:v>-69.249490953015425</c:v>
                </c:pt>
                <c:pt idx="24">
                  <c:v>-64.080707797436517</c:v>
                </c:pt>
                <c:pt idx="25">
                  <c:v>-58.803645475635385</c:v>
                </c:pt>
                <c:pt idx="26">
                  <c:v>-53.41779507553079</c:v>
                </c:pt>
                <c:pt idx="27">
                  <c:v>-47.922645293154687</c:v>
                </c:pt>
                <c:pt idx="28">
                  <c:v>-42.31768242141041</c:v>
                </c:pt>
                <c:pt idx="29">
                  <c:v>-36.602390338777923</c:v>
                </c:pt>
                <c:pt idx="30">
                  <c:v>-30.77625049796606</c:v>
                </c:pt>
                <c:pt idx="31">
                  <c:v>-24.838741914511381</c:v>
                </c:pt>
                <c:pt idx="32">
                  <c:v>-18.789341155323463</c:v>
                </c:pt>
                <c:pt idx="33">
                  <c:v>-12.627522327176351</c:v>
                </c:pt>
                <c:pt idx="34">
                  <c:v>-6.3527570651459371</c:v>
                </c:pt>
                <c:pt idx="35">
                  <c:v>3.548547900702026E-2</c:v>
                </c:pt>
                <c:pt idx="36">
                  <c:v>6.5377386485085118</c:v>
                </c:pt>
                <c:pt idx="37">
                  <c:v>13.154538293297659</c:v>
                </c:pt>
                <c:pt idx="38">
                  <c:v>19.886422781808328</c:v>
                </c:pt>
                <c:pt idx="39">
                  <c:v>26.733933012806002</c:v>
                </c:pt>
                <c:pt idx="40">
                  <c:v>33.697612427280383</c:v>
                </c:pt>
                <c:pt idx="41">
                  <c:v>40.778007020393794</c:v>
                </c:pt>
                <c:pt idx="42">
                  <c:v>47.975665353485844</c:v>
                </c:pt>
                <c:pt idx="43">
                  <c:v>55.291138566134435</c:v>
                </c:pt>
                <c:pt idx="44">
                  <c:v>62.72498038827348</c:v>
                </c:pt>
                <c:pt idx="45">
                  <c:v>70.277747152367581</c:v>
                </c:pt>
                <c:pt idx="46">
                  <c:v>77.949997805643932</c:v>
                </c:pt>
                <c:pt idx="47">
                  <c:v>85.742293922381691</c:v>
                </c:pt>
                <c:pt idx="48">
                  <c:v>93.655199716259119</c:v>
                </c:pt>
                <c:pt idx="49">
                  <c:v>101.68928205275878</c:v>
                </c:pt>
                <c:pt idx="50">
                  <c:v>109.84511046163099</c:v>
                </c:pt>
                <c:pt idx="51">
                  <c:v>118.12325714941592</c:v>
                </c:pt>
                <c:pt idx="52">
                  <c:v>126.52429701202443</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-17.751741312131205</c:v>
                </c:pt>
                <c:pt idx="1">
                  <c:v>-61.580792238148376</c:v>
                </c:pt>
                <c:pt idx="2">
                  <c:v>-96.042264361033446</c:v>
                </c:pt>
                <c:pt idx="3">
                  <c:v>-94.753214729689205</c:v>
                </c:pt>
                <c:pt idx="4">
                  <c:v>-93.369031135031932</c:v>
                </c:pt>
                <c:pt idx="5">
                  <c:v>-91.889266447434068</c:v>
                </c:pt>
                <c:pt idx="6">
                  <c:v>-90.3134714357588</c:v>
                </c:pt>
                <c:pt idx="7">
                  <c:v>-88.64119475748295</c:v>
                </c:pt>
                <c:pt idx="8">
                  <c:v>-86.871982948773507</c:v>
                </c:pt>
                <c:pt idx="9">
                  <c:v>-85.005380414517433</c:v>
                </c:pt>
                <c:pt idx="10">
                  <c:v>-83.040929418304643</c:v>
                </c:pt>
                <c:pt idx="11">
                  <c:v>-80.978170072363952</c:v>
                </c:pt>
                <c:pt idx="12">
                  <c:v>-78.816640327451637</c:v>
                </c:pt>
                <c:pt idx="13">
                  <c:v>-76.555875962692539</c:v>
                </c:pt>
                <c:pt idx="14">
                  <c:v>-74.195410575373373</c:v>
                </c:pt>
                <c:pt idx="15">
                  <c:v>-71.7347755706881</c:v>
                </c:pt>
                <c:pt idx="16">
                  <c:v>-69.173500151435093</c:v>
                </c:pt>
                <c:pt idx="17">
                  <c:v>-66.5111113076659</c:v>
                </c:pt>
                <c:pt idx="18">
                  <c:v>-63.747133806285291</c:v>
                </c:pt>
                <c:pt idx="19">
                  <c:v>-60.881090180602492</c:v>
                </c:pt>
                <c:pt idx="20">
                  <c:v>-57.912500719833282</c:v>
                </c:pt>
                <c:pt idx="21">
                  <c:v>-54.840883458552753</c:v>
                </c:pt>
                <c:pt idx="22">
                  <c:v>-51.665754166098502</c:v>
                </c:pt>
                <c:pt idx="23">
                  <c:v>-48.386626335924021</c:v>
                </c:pt>
                <c:pt idx="24">
                  <c:v>-45.003011174902021</c:v>
                </c:pt>
                <c:pt idx="25">
                  <c:v>-41.514417592577509</c:v>
                </c:pt>
                <c:pt idx="26">
                  <c:v>-37.920352190370373</c:v>
                </c:pt>
                <c:pt idx="27">
                  <c:v>-34.220319250727165</c:v>
                </c:pt>
                <c:pt idx="28">
                  <c:v>-30.413820726221932</c:v>
                </c:pt>
                <c:pt idx="29">
                  <c:v>-26.500356228605821</c:v>
                </c:pt>
                <c:pt idx="30">
                  <c:v>-22.479423017805214</c:v>
                </c:pt>
                <c:pt idx="31">
                  <c:v>-18.350515990868143</c:v>
                </c:pt>
                <c:pt idx="32">
                  <c:v>-14.113127670858763</c:v>
                </c:pt>
                <c:pt idx="33">
                  <c:v>-9.7667481956996376</c:v>
                </c:pt>
                <c:pt idx="34">
                  <c:v>-5.3108653069615634</c:v>
                </c:pt>
                <c:pt idx="35">
                  <c:v>-0.74496433860071853</c:v>
                </c:pt>
                <c:pt idx="36">
                  <c:v>3.9314717943571189</c:v>
                </c:pt>
                <c:pt idx="37">
                  <c:v>8.7189626071855599</c:v>
                </c:pt>
                <c:pt idx="38">
                  <c:v>13.618030056880006</c:v>
                </c:pt>
                <c:pt idx="39">
                  <c:v>18.629198553633714</c:v>
                </c:pt>
                <c:pt idx="40">
                  <c:v>23.752994972367866</c:v>
                </c:pt>
                <c:pt idx="41">
                  <c:v>28.989948664315772</c:v>
                </c:pt>
                <c:pt idx="42">
                  <c:v>34.340591468661529</c:v>
                </c:pt>
                <c:pt idx="43">
                  <c:v>39.805457724233413</c:v>
                </c:pt>
                <c:pt idx="44">
                  <c:v>45.385084281252183</c:v>
                </c:pt>
                <c:pt idx="45">
                  <c:v>51.080010513134653</c:v>
                </c:pt>
                <c:pt idx="46">
                  <c:v>56.890778328352674</c:v>
                </c:pt>
                <c:pt idx="47">
                  <c:v>62.817932182347924</c:v>
                </c:pt>
                <c:pt idx="48">
                  <c:v>68.862019089502638</c:v>
                </c:pt>
                <c:pt idx="49">
                  <c:v>75.023588635166689</c:v>
                </c:pt>
                <c:pt idx="50">
                  <c:v>81.30319298774107</c:v>
                </c:pt>
                <c:pt idx="51">
                  <c:v>87.701386910818243</c:v>
                </c:pt>
                <c:pt idx="52">
                  <c:v>94.218727775379591</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16.899265764419884</c:v>
                </c:pt>
                <c:pt idx="1">
                  <c:v>24.657887695987466</c:v>
                </c:pt>
                <c:pt idx="2">
                  <c:v>33.111459440621317</c:v>
                </c:pt>
                <c:pt idx="3">
                  <c:v>23.444353590536164</c:v>
                </c:pt>
                <c:pt idx="4">
                  <c:v>14.202763616164242</c:v>
                </c:pt>
                <c:pt idx="5">
                  <c:v>5.3871786538529971</c:v>
                </c:pt>
                <c:pt idx="6">
                  <c:v>-3.00190986110929</c:v>
                </c:pt>
                <c:pt idx="7">
                  <c:v>-10.964008183688488</c:v>
                </c:pt>
                <c:pt idx="8">
                  <c:v>-18.498620248248791</c:v>
                </c:pt>
                <c:pt idx="9">
                  <c:v>-25.605247657645918</c:v>
                </c:pt>
                <c:pt idx="10">
                  <c:v>-32.283389672269017</c:v>
                </c:pt>
                <c:pt idx="11">
                  <c:v>-38.532543199031046</c:v>
                </c:pt>
                <c:pt idx="12">
                  <c:v>-44.352202780307465</c:v>
                </c:pt>
                <c:pt idx="13">
                  <c:v>-49.741860582822909</c:v>
                </c:pt>
                <c:pt idx="14">
                  <c:v>-54.701006386485602</c:v>
                </c:pt>
                <c:pt idx="15">
                  <c:v>-59.229127573169336</c:v>
                </c:pt>
                <c:pt idx="16">
                  <c:v>-63.325709115442713</c:v>
                </c:pt>
                <c:pt idx="17">
                  <c:v>-66.990233565245418</c:v>
                </c:pt>
                <c:pt idx="18">
                  <c:v>-70.222181042511238</c:v>
                </c:pt>
                <c:pt idx="19">
                  <c:v>-73.021029223737656</c:v>
                </c:pt>
                <c:pt idx="20">
                  <c:v>-75.386253330501702</c:v>
                </c:pt>
                <c:pt idx="21">
                  <c:v>-77.317326117921795</c:v>
                </c:pt>
                <c:pt idx="22">
                  <c:v>-78.813717863065435</c:v>
                </c:pt>
                <c:pt idx="23">
                  <c:v>-73.446010104768149</c:v>
                </c:pt>
                <c:pt idx="24">
                  <c:v>-67.963998689961159</c:v>
                </c:pt>
                <c:pt idx="25">
                  <c:v>-62.367146391458874</c:v>
                </c:pt>
                <c:pt idx="26">
                  <c:v>-56.654913457107938</c:v>
                </c:pt>
                <c:pt idx="27">
                  <c:v>-50.826757597919837</c:v>
                </c:pt>
                <c:pt idx="28">
                  <c:v>-44.882133976147855</c:v>
                </c:pt>
                <c:pt idx="29">
                  <c:v>-38.820495193307842</c:v>
                </c:pt>
                <c:pt idx="30">
                  <c:v>-32.641291278142781</c:v>
                </c:pt>
                <c:pt idx="31">
                  <c:v>-26.343969674530747</c:v>
                </c:pt>
                <c:pt idx="32">
                  <c:v>-19.927975229336042</c:v>
                </c:pt>
                <c:pt idx="33">
                  <c:v>-13.392750180203214</c:v>
                </c:pt>
                <c:pt idx="34">
                  <c:v>-6.737734143293757</c:v>
                </c:pt>
                <c:pt idx="35">
                  <c:v>3.7635899034869524E-2</c:v>
                </c:pt>
                <c:pt idx="36">
                  <c:v>6.933925610608151</c:v>
                </c:pt>
                <c:pt idx="37">
                  <c:v>13.951703313871519</c:v>
                </c:pt>
                <c:pt idx="38">
                  <c:v>21.091540002385933</c:v>
                </c:pt>
                <c:pt idx="39">
                  <c:v>28.354009353382065</c:v>
                </c:pt>
                <c:pt idx="40">
                  <c:v>35.73968774037359</c:v>
                </c:pt>
                <c:pt idx="41">
                  <c:v>43.249154245829672</c:v>
                </c:pt>
                <c:pt idx="42">
                  <c:v>50.882990673907102</c:v>
                </c:pt>
                <c:pt idx="43">
                  <c:v>58.641781563242198</c:v>
                </c:pt>
                <c:pt idx="44">
                  <c:v>66.526114199802862</c:v>
                </c:pt>
                <c:pt idx="45">
                  <c:v>74.536578629801056</c:v>
                </c:pt>
                <c:pt idx="46">
                  <c:v>82.673767672665946</c:v>
                </c:pt>
                <c:pt idx="47">
                  <c:v>90.938276934078004</c:v>
                </c:pt>
                <c:pt idx="48">
                  <c:v>99.330704819064408</c:v>
                </c:pt>
                <c:pt idx="49">
                  <c:v>107.85165254515594</c:v>
                </c:pt>
                <c:pt idx="50">
                  <c:v>116.50172415560581</c:v>
                </c:pt>
                <c:pt idx="51">
                  <c:v>125.2815265326705</c:v>
                </c:pt>
                <c:pt idx="52">
                  <c:v>134.1916694109531</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6">
          <cell r="E16">
            <v>73.8</v>
          </cell>
        </row>
        <row r="18">
          <cell r="E18">
            <v>514.64999999999895</v>
          </cell>
        </row>
        <row r="20">
          <cell r="E20">
            <v>37.099999999999902</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1847" t="s">
        <v>424</v>
      </c>
      <c r="D2" s="1848"/>
      <c r="E2" s="1848"/>
      <c r="F2" s="1848"/>
      <c r="G2" s="1848"/>
      <c r="H2" s="380"/>
      <c r="I2" s="1851" t="s">
        <v>868</v>
      </c>
      <c r="J2" s="1852"/>
      <c r="K2" s="1852"/>
    </row>
    <row r="3" spans="2:18" ht="10.5" customHeight="1" x14ac:dyDescent="0.25">
      <c r="B3" s="379"/>
      <c r="C3" s="378"/>
      <c r="D3" s="378"/>
      <c r="E3" s="378"/>
      <c r="F3" s="378"/>
      <c r="G3" s="378"/>
      <c r="H3" s="379"/>
      <c r="I3" s="379"/>
      <c r="J3" s="379"/>
      <c r="K3" s="379"/>
    </row>
    <row r="4" spans="2:18" ht="37.9" customHeight="1" x14ac:dyDescent="0.25">
      <c r="B4" s="381"/>
      <c r="C4" s="1849" t="s">
        <v>715</v>
      </c>
      <c r="D4" s="1850"/>
      <c r="E4" s="1850"/>
      <c r="F4" s="1850"/>
      <c r="G4" s="1850"/>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1844" t="s">
        <v>448</v>
      </c>
      <c r="K6" s="1846"/>
      <c r="L6" s="1846"/>
      <c r="M6" s="1846"/>
      <c r="N6" s="1846"/>
      <c r="O6" s="1846"/>
      <c r="P6" s="1846"/>
      <c r="Q6" s="1846"/>
      <c r="R6" s="1846"/>
    </row>
    <row r="7" spans="2:18" ht="18" customHeight="1" x14ac:dyDescent="0.25">
      <c r="B7" s="69"/>
      <c r="I7" s="382"/>
      <c r="J7" s="1846"/>
      <c r="K7" s="1846"/>
      <c r="L7" s="1846"/>
      <c r="M7" s="1846"/>
      <c r="N7" s="1846"/>
      <c r="O7" s="1846"/>
      <c r="P7" s="1846"/>
      <c r="Q7" s="1846"/>
      <c r="R7" s="1846"/>
    </row>
    <row r="8" spans="2:18" ht="18" customHeight="1" x14ac:dyDescent="0.25">
      <c r="B8" s="69"/>
      <c r="I8" s="382"/>
      <c r="J8" s="70"/>
      <c r="K8" s="70"/>
      <c r="L8" s="70"/>
      <c r="M8" s="70"/>
      <c r="N8" s="70"/>
      <c r="O8" s="70"/>
      <c r="P8" s="70"/>
      <c r="Q8" s="70"/>
      <c r="R8" s="70"/>
    </row>
    <row r="9" spans="2:18" ht="22.9" customHeight="1" x14ac:dyDescent="0.25">
      <c r="B9" s="69"/>
      <c r="I9" s="103" t="s">
        <v>717</v>
      </c>
      <c r="J9" s="1844" t="s">
        <v>720</v>
      </c>
      <c r="K9" s="1846"/>
      <c r="L9" s="1846"/>
      <c r="M9" s="1846"/>
      <c r="N9" s="1846"/>
      <c r="O9" s="1846"/>
      <c r="P9" s="1846"/>
      <c r="Q9" s="1846"/>
      <c r="R9" s="1846"/>
    </row>
    <row r="10" spans="2:18" ht="22.9" customHeight="1" x14ac:dyDescent="0.25">
      <c r="B10" s="69"/>
      <c r="I10" s="382"/>
      <c r="J10" s="1846"/>
      <c r="K10" s="1846"/>
      <c r="L10" s="1846"/>
      <c r="M10" s="1846"/>
      <c r="N10" s="1846"/>
      <c r="O10" s="1846"/>
      <c r="P10" s="1846"/>
      <c r="Q10" s="1846"/>
      <c r="R10" s="1846"/>
    </row>
    <row r="11" spans="2:18" ht="22.9" customHeight="1" x14ac:dyDescent="0.25">
      <c r="I11" s="382"/>
      <c r="J11" s="1846"/>
      <c r="K11" s="1846"/>
      <c r="L11" s="1846"/>
      <c r="M11" s="1846"/>
      <c r="N11" s="1846"/>
      <c r="O11" s="1846"/>
      <c r="P11" s="1846"/>
      <c r="Q11" s="1846"/>
      <c r="R11" s="1846"/>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1845" t="s">
        <v>721</v>
      </c>
      <c r="K13" s="1845"/>
      <c r="L13" s="1845"/>
      <c r="M13" s="1845"/>
      <c r="N13" s="1845"/>
      <c r="O13" s="1845"/>
      <c r="P13" s="1845"/>
      <c r="Q13" s="1845"/>
      <c r="R13" s="1845"/>
    </row>
    <row r="14" spans="2:18" ht="18" customHeight="1" x14ac:dyDescent="0.25">
      <c r="B14" s="69"/>
      <c r="C14" s="74"/>
      <c r="I14" s="382"/>
      <c r="J14" s="1845"/>
      <c r="K14" s="1845"/>
      <c r="L14" s="1845"/>
      <c r="M14" s="1845"/>
      <c r="N14" s="1845"/>
      <c r="O14" s="1845"/>
      <c r="P14" s="1845"/>
      <c r="Q14" s="1845"/>
      <c r="R14" s="1845"/>
    </row>
    <row r="15" spans="2:18" ht="18" customHeight="1" x14ac:dyDescent="0.25">
      <c r="B15" s="69"/>
      <c r="C15" s="74"/>
      <c r="I15" s="382"/>
      <c r="J15" s="1845"/>
      <c r="K15" s="1845"/>
      <c r="L15" s="1845"/>
      <c r="M15" s="1845"/>
      <c r="N15" s="1845"/>
      <c r="O15" s="1845"/>
      <c r="P15" s="1845"/>
      <c r="Q15" s="1845"/>
      <c r="R15" s="1845"/>
    </row>
    <row r="16" spans="2:18" ht="18" customHeight="1" x14ac:dyDescent="0.25">
      <c r="B16" s="69"/>
      <c r="C16" s="74"/>
      <c r="I16" s="382"/>
      <c r="J16" s="1845"/>
      <c r="K16" s="1845"/>
      <c r="L16" s="1845"/>
      <c r="M16" s="1845"/>
      <c r="N16" s="1845"/>
      <c r="O16" s="1845"/>
      <c r="P16" s="1845"/>
      <c r="Q16" s="1845"/>
      <c r="R16" s="1845"/>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1844" t="s">
        <v>449</v>
      </c>
      <c r="K18" s="1844"/>
      <c r="L18" s="1844"/>
      <c r="M18" s="1844"/>
      <c r="N18" s="1844"/>
      <c r="O18" s="1844"/>
      <c r="P18" s="1844"/>
      <c r="Q18" s="1844"/>
      <c r="R18" s="1844"/>
    </row>
    <row r="19" spans="1:18" ht="18" customHeight="1" x14ac:dyDescent="0.25">
      <c r="B19" s="69"/>
      <c r="D19" s="74"/>
      <c r="E19" s="74"/>
      <c r="F19" s="74"/>
      <c r="G19" s="74"/>
      <c r="H19" s="74"/>
      <c r="I19" s="74"/>
      <c r="J19" s="1844"/>
      <c r="K19" s="1844"/>
      <c r="L19" s="1844"/>
      <c r="M19" s="1844"/>
      <c r="N19" s="1844"/>
      <c r="O19" s="1844"/>
      <c r="P19" s="1844"/>
      <c r="Q19" s="1844"/>
      <c r="R19" s="1844"/>
    </row>
    <row r="20" spans="1:18" ht="18" customHeight="1" x14ac:dyDescent="0.25">
      <c r="B20" s="69"/>
      <c r="C20" s="74"/>
      <c r="D20" s="74"/>
      <c r="E20" s="74"/>
      <c r="F20" s="74"/>
      <c r="G20" s="74"/>
      <c r="H20" s="74"/>
      <c r="I20" s="74"/>
      <c r="J20" s="1844"/>
      <c r="K20" s="1844"/>
      <c r="L20" s="1844"/>
      <c r="M20" s="1844"/>
      <c r="N20" s="1844"/>
      <c r="O20" s="1844"/>
      <c r="P20" s="1844"/>
      <c r="Q20" s="1844"/>
      <c r="R20" s="1844"/>
    </row>
    <row r="21" spans="1:18" ht="40.15" customHeight="1" x14ac:dyDescent="0.25">
      <c r="A21" s="459"/>
      <c r="B21" s="383"/>
      <c r="C21" s="384"/>
      <c r="D21" s="384"/>
      <c r="E21" s="384"/>
      <c r="F21" s="384"/>
      <c r="G21" s="387"/>
      <c r="I21" s="74"/>
      <c r="J21" s="1844"/>
      <c r="K21" s="1844"/>
      <c r="L21" s="1844"/>
      <c r="M21" s="1844"/>
      <c r="N21" s="1844"/>
      <c r="O21" s="1844"/>
      <c r="P21" s="1844"/>
      <c r="Q21" s="1844"/>
      <c r="R21" s="1844"/>
    </row>
    <row r="22" spans="1:18" ht="34.9" customHeight="1" x14ac:dyDescent="0.25">
      <c r="B22" s="71"/>
      <c r="C22" s="71"/>
      <c r="D22" s="71"/>
      <c r="E22" s="71"/>
      <c r="F22" s="71"/>
      <c r="G22" s="71"/>
      <c r="H22" s="71"/>
      <c r="I22" s="71"/>
      <c r="J22" s="1844"/>
      <c r="K22" s="1844"/>
      <c r="L22" s="1844"/>
      <c r="M22" s="1844"/>
      <c r="N22" s="1844"/>
      <c r="O22" s="1844"/>
      <c r="P22" s="1844"/>
      <c r="Q22" s="1844"/>
      <c r="R22" s="1844"/>
    </row>
    <row r="23" spans="1:18" ht="18" customHeight="1" x14ac:dyDescent="0.25">
      <c r="B23" s="71"/>
      <c r="C23" s="193" t="s">
        <v>450</v>
      </c>
      <c r="D23" s="460" t="s">
        <v>423</v>
      </c>
      <c r="E23" s="72"/>
      <c r="F23" s="71"/>
      <c r="G23" s="71"/>
      <c r="H23" s="71"/>
      <c r="J23" s="1844"/>
      <c r="K23" s="1844"/>
      <c r="L23" s="1844"/>
      <c r="M23" s="1844"/>
      <c r="N23" s="1844"/>
      <c r="O23" s="1844"/>
      <c r="P23" s="1844"/>
      <c r="Q23" s="1844"/>
      <c r="R23" s="1844"/>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8" sqref="E8"/>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1853" t="s">
        <v>906</v>
      </c>
      <c r="E2" s="1854"/>
      <c r="F2" s="1855"/>
      <c r="G2" s="399"/>
      <c r="H2" s="1856" t="s">
        <v>5</v>
      </c>
      <c r="I2" s="1857"/>
      <c r="J2" s="1858"/>
      <c r="K2" s="399"/>
      <c r="L2" s="399"/>
      <c r="M2" s="399"/>
      <c r="N2" s="399"/>
      <c r="O2" s="800"/>
      <c r="P2" s="800" t="s">
        <v>6</v>
      </c>
      <c r="Q2" s="800"/>
      <c r="R2" s="800"/>
      <c r="S2" s="800"/>
      <c r="T2" s="800"/>
      <c r="U2" s="800"/>
      <c r="V2" s="2"/>
      <c r="W2" s="2"/>
      <c r="X2" s="2"/>
      <c r="Y2" s="2"/>
    </row>
    <row r="3" spans="1:25" ht="18" customHeight="1" x14ac:dyDescent="0.25">
      <c r="B3" s="399"/>
      <c r="C3" s="467" t="s">
        <v>437</v>
      </c>
      <c r="D3" s="1853" t="s">
        <v>907</v>
      </c>
      <c r="E3" s="1854"/>
      <c r="F3" s="1855"/>
      <c r="G3" s="399"/>
      <c r="H3" s="1859"/>
      <c r="I3" s="1860"/>
      <c r="J3" s="1861"/>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1866" t="s">
        <v>424</v>
      </c>
      <c r="M4" s="1867"/>
      <c r="N4" s="1867"/>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1868" t="str">
        <f>Apresentação!I2</f>
        <v>RC-RSU V.1.0 - 15/10/2020</v>
      </c>
      <c r="M5" s="1868"/>
      <c r="N5" s="1868"/>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1002</v>
      </c>
      <c r="G8" s="465" t="s">
        <v>1003</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0.3250752556505514</v>
      </c>
      <c r="F9" s="536">
        <f>(E10)*1000/E8</f>
        <v>0.17930159840815166</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'[1]Arranjos NOVO'!$E$16</f>
        <v>73.8</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73.8</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1876" t="s">
        <v>839</v>
      </c>
      <c r="D16" s="1877"/>
      <c r="E16" s="1877"/>
      <c r="F16" s="1877"/>
      <c r="G16" s="1877"/>
      <c r="H16" s="1877"/>
      <c r="I16" s="1877"/>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1862" t="s">
        <v>16</v>
      </c>
      <c r="D23" s="1865" t="s">
        <v>684</v>
      </c>
      <c r="E23" s="1863"/>
      <c r="F23" s="1863"/>
      <c r="G23" s="1871" t="s">
        <v>740</v>
      </c>
      <c r="H23" s="1871" t="s">
        <v>17</v>
      </c>
      <c r="I23" s="1863"/>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1863"/>
      <c r="D24" s="1864" t="s">
        <v>18</v>
      </c>
      <c r="E24" s="1864" t="s">
        <v>19</v>
      </c>
      <c r="F24" s="1864" t="s">
        <v>20</v>
      </c>
      <c r="G24" s="1863"/>
      <c r="H24" s="1863"/>
      <c r="I24" s="1863"/>
      <c r="J24" s="465"/>
      <c r="K24" s="482"/>
      <c r="L24" s="465"/>
      <c r="M24" s="465"/>
      <c r="N24" s="399"/>
      <c r="O24" s="800"/>
      <c r="P24" s="800"/>
      <c r="Q24" s="800"/>
      <c r="R24" s="800"/>
      <c r="S24" s="800"/>
      <c r="T24" s="800"/>
      <c r="U24" s="800"/>
      <c r="V24" s="2"/>
      <c r="W24" s="6"/>
      <c r="X24" s="6"/>
      <c r="Y24" s="6"/>
    </row>
    <row r="25" spans="1:25" ht="30.4" customHeight="1" x14ac:dyDescent="0.25">
      <c r="B25" s="399"/>
      <c r="C25" s="1863"/>
      <c r="D25" s="1863"/>
      <c r="E25" s="1863"/>
      <c r="F25" s="1863"/>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35.719199999999994</v>
      </c>
      <c r="H26" s="1872">
        <f>E26+E27</f>
        <v>51.4</v>
      </c>
      <c r="I26" s="1874"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2.214</v>
      </c>
      <c r="H27" s="1873"/>
      <c r="I27" s="1875"/>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9.6677999999999997</v>
      </c>
      <c r="H28" s="1872">
        <f>SUM(E28:E33)</f>
        <v>31.900000000000002</v>
      </c>
      <c r="I28" s="1874"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6.5682000000000009</v>
      </c>
      <c r="H29" s="1873"/>
      <c r="I29" s="1875"/>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3.3947999999999996</v>
      </c>
      <c r="H30" s="1873"/>
      <c r="I30" s="1875"/>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1.7711999999999997</v>
      </c>
      <c r="H31" s="1873"/>
      <c r="I31" s="1875"/>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1.6973999999999998</v>
      </c>
      <c r="H32" s="1873"/>
      <c r="I32" s="1875"/>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0.44279999999999992</v>
      </c>
      <c r="H33" s="1873"/>
      <c r="I33" s="1875"/>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3.2841000000000005</v>
      </c>
      <c r="H34" s="1872">
        <f>SUM(E34:E37)</f>
        <v>10.14</v>
      </c>
      <c r="I34" s="1879"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0.70848</v>
      </c>
      <c r="H35" s="1873"/>
      <c r="I35" s="1875"/>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2.952</v>
      </c>
      <c r="H36" s="1873"/>
      <c r="I36" s="1875"/>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0.53874</v>
      </c>
      <c r="H37" s="1873"/>
      <c r="I37" s="1875"/>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1872">
        <f>SUM(E38:E39)</f>
        <v>6.5600000000000023</v>
      </c>
      <c r="I38" s="1879"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4.8412800000000011</v>
      </c>
      <c r="H39" s="1873"/>
      <c r="I39" s="1875"/>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73.799999999999983</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73.8</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73.8</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1883" t="s">
        <v>48</v>
      </c>
      <c r="D51" s="1881" t="s">
        <v>459</v>
      </c>
      <c r="E51" s="1882"/>
      <c r="F51" s="1882"/>
      <c r="G51" s="1882"/>
      <c r="H51" s="1882"/>
      <c r="I51" s="1882"/>
      <c r="J51" s="1882"/>
      <c r="K51" s="1882"/>
      <c r="L51" s="1882"/>
      <c r="M51" s="1882"/>
      <c r="N51" s="1882"/>
      <c r="O51" s="800"/>
      <c r="P51" s="800"/>
      <c r="Q51" s="800"/>
      <c r="R51" s="800"/>
      <c r="S51" s="800"/>
      <c r="T51" s="800"/>
      <c r="U51" s="800"/>
      <c r="V51" s="2"/>
      <c r="W51" s="2"/>
      <c r="X51" s="2"/>
      <c r="Y51" s="2"/>
    </row>
    <row r="52" spans="1:25" ht="18" customHeight="1" x14ac:dyDescent="0.25">
      <c r="B52" s="399"/>
      <c r="C52" s="1870"/>
      <c r="D52" s="1869" t="s">
        <v>25</v>
      </c>
      <c r="E52" s="1870"/>
      <c r="F52" s="1884" t="s">
        <v>49</v>
      </c>
      <c r="G52" s="1869" t="s">
        <v>426</v>
      </c>
      <c r="H52" s="1870"/>
      <c r="I52" s="1869" t="s">
        <v>427</v>
      </c>
      <c r="J52" s="1869" t="s">
        <v>51</v>
      </c>
      <c r="K52" s="1870"/>
      <c r="L52" s="1869" t="s">
        <v>428</v>
      </c>
      <c r="M52" s="1880"/>
      <c r="N52" s="1878" t="s">
        <v>52</v>
      </c>
      <c r="O52" s="800"/>
      <c r="P52" s="800"/>
      <c r="Q52" s="800"/>
      <c r="R52" s="800"/>
      <c r="S52" s="800"/>
      <c r="T52" s="800"/>
      <c r="U52" s="800"/>
      <c r="V52" s="2"/>
      <c r="W52" s="2"/>
      <c r="X52" s="2"/>
      <c r="Y52" s="2"/>
    </row>
    <row r="53" spans="1:25" ht="31.15" customHeight="1" x14ac:dyDescent="0.25">
      <c r="B53" s="399"/>
      <c r="C53" s="1870"/>
      <c r="D53" s="441" t="s">
        <v>53</v>
      </c>
      <c r="E53" s="441" t="s">
        <v>54</v>
      </c>
      <c r="F53" s="1870"/>
      <c r="G53" s="441" t="s">
        <v>55</v>
      </c>
      <c r="H53" s="441" t="s">
        <v>56</v>
      </c>
      <c r="I53" s="1870"/>
      <c r="J53" s="441" t="s">
        <v>57</v>
      </c>
      <c r="K53" s="441" t="s">
        <v>461</v>
      </c>
      <c r="L53" s="441" t="s">
        <v>429</v>
      </c>
      <c r="M53" s="442" t="s">
        <v>460</v>
      </c>
      <c r="N53" s="1870"/>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35.719199999999994</v>
      </c>
      <c r="E56" s="95">
        <f>G27-E55</f>
        <v>2.214</v>
      </c>
      <c r="F56" s="95">
        <f>G28-F54</f>
        <v>9.6677999999999997</v>
      </c>
      <c r="G56" s="95">
        <f>G29-G54</f>
        <v>6.5682000000000009</v>
      </c>
      <c r="H56" s="95">
        <f>G30-H54</f>
        <v>3.3947999999999996</v>
      </c>
      <c r="I56" s="95">
        <f>G31-I54</f>
        <v>1.7711999999999997</v>
      </c>
      <c r="J56" s="95">
        <f>G32-J54</f>
        <v>1.6973999999999998</v>
      </c>
      <c r="K56" s="95">
        <f>G33-K54</f>
        <v>0.44279999999999992</v>
      </c>
      <c r="L56" s="95">
        <f>SUM(G34:G37)</f>
        <v>7.48332</v>
      </c>
      <c r="M56" s="95">
        <f>SUM(G38:G39)</f>
        <v>4.8412800000000011</v>
      </c>
      <c r="N56" s="95">
        <f>SUM(D56:M56)</f>
        <v>73.799999999999983</v>
      </c>
      <c r="O56" s="800"/>
      <c r="P56" s="800"/>
      <c r="Q56" s="800"/>
      <c r="R56" s="800"/>
      <c r="S56" s="800"/>
      <c r="T56" s="800"/>
      <c r="U56" s="800"/>
      <c r="V56" s="2"/>
      <c r="W56" s="2"/>
      <c r="X56" s="2"/>
      <c r="Y56" s="2"/>
    </row>
    <row r="57" spans="1:25" ht="18" customHeight="1" x14ac:dyDescent="0.25">
      <c r="B57" s="399"/>
      <c r="C57" s="217" t="s">
        <v>52</v>
      </c>
      <c r="D57" s="95">
        <f>SUM(D55:D56)</f>
        <v>35.719199999999994</v>
      </c>
      <c r="E57" s="95">
        <f>SUM(E55:E56)</f>
        <v>2.214</v>
      </c>
      <c r="F57" s="95">
        <f t="shared" ref="F57:L57" si="2">SUM(F54:F56)</f>
        <v>9.6677999999999997</v>
      </c>
      <c r="G57" s="95">
        <f t="shared" si="2"/>
        <v>6.5682000000000009</v>
      </c>
      <c r="H57" s="95">
        <f t="shared" si="2"/>
        <v>3.3947999999999996</v>
      </c>
      <c r="I57" s="95">
        <f t="shared" si="2"/>
        <v>1.7711999999999997</v>
      </c>
      <c r="J57" s="95">
        <f t="shared" si="2"/>
        <v>1.6973999999999998</v>
      </c>
      <c r="K57" s="95">
        <f t="shared" si="2"/>
        <v>0.44279999999999992</v>
      </c>
      <c r="L57" s="95">
        <f t="shared" si="2"/>
        <v>7.48332</v>
      </c>
      <c r="M57" s="95">
        <f>M56</f>
        <v>4.8412800000000011</v>
      </c>
      <c r="N57" s="95">
        <f>SUM(N54:N56)</f>
        <v>73.799999999999983</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F122" sqref="F122"/>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1885" t="str">
        <f>IF('R-Entrada'!D2&lt;&gt;0,'R-Entrada'!D2,"")</f>
        <v>CIRSOP - Consórcio RSU Oeste Paulista</v>
      </c>
      <c r="E2" s="1886"/>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1885" t="str">
        <f>IF('R-Entrada'!D3&lt;&gt;0,'R-Entrada'!D3,"")</f>
        <v>Biodigestão c/ Prod. E. Elétrica</v>
      </c>
      <c r="E3" s="1886"/>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1856" t="s">
        <v>685</v>
      </c>
      <c r="G5" s="1902"/>
      <c r="H5" s="1903"/>
      <c r="I5" s="399"/>
      <c r="J5" s="122"/>
      <c r="K5" s="518" t="s">
        <v>674</v>
      </c>
      <c r="L5" s="399"/>
      <c r="M5" s="399"/>
      <c r="N5" s="1866" t="s">
        <v>424</v>
      </c>
      <c r="O5" s="1911"/>
      <c r="P5" s="1911"/>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1904"/>
      <c r="G6" s="1905"/>
      <c r="H6" s="1906"/>
      <c r="I6" s="468"/>
      <c r="J6" s="629"/>
      <c r="K6" s="518" t="s">
        <v>675</v>
      </c>
      <c r="L6" s="399"/>
      <c r="M6" s="399"/>
      <c r="N6" s="1868" t="str">
        <f>Apresentação!I2</f>
        <v>RC-RSU V.1.0 - 15/10/2020</v>
      </c>
      <c r="O6" s="1868"/>
      <c r="P6" s="1868"/>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1912" t="s">
        <v>462</v>
      </c>
      <c r="C8" s="1912"/>
      <c r="D8" s="1912"/>
      <c r="E8" s="1912"/>
      <c r="F8" s="1912"/>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1871" t="s">
        <v>48</v>
      </c>
      <c r="D10" s="1865" t="s">
        <v>459</v>
      </c>
      <c r="E10" s="1863"/>
      <c r="F10" s="1863"/>
      <c r="G10" s="1863"/>
      <c r="H10" s="1863"/>
      <c r="I10" s="1863"/>
      <c r="J10" s="1863"/>
      <c r="K10" s="1863"/>
      <c r="L10" s="1863"/>
      <c r="M10" s="1863"/>
      <c r="N10" s="1863"/>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1863"/>
      <c r="D11" s="1865" t="s">
        <v>25</v>
      </c>
      <c r="E11" s="1863"/>
      <c r="F11" s="1871" t="s">
        <v>49</v>
      </c>
      <c r="G11" s="1865" t="s">
        <v>426</v>
      </c>
      <c r="H11" s="1863"/>
      <c r="I11" s="1865" t="s">
        <v>427</v>
      </c>
      <c r="J11" s="1865" t="s">
        <v>51</v>
      </c>
      <c r="K11" s="1863"/>
      <c r="L11" s="1865" t="s">
        <v>428</v>
      </c>
      <c r="M11" s="1863"/>
      <c r="N11" s="1901"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1863"/>
      <c r="D12" s="444" t="s">
        <v>53</v>
      </c>
      <c r="E12" s="444" t="s">
        <v>54</v>
      </c>
      <c r="F12" s="1863"/>
      <c r="G12" s="444" t="s">
        <v>55</v>
      </c>
      <c r="H12" s="444" t="s">
        <v>56</v>
      </c>
      <c r="I12" s="1863"/>
      <c r="J12" s="444" t="s">
        <v>57</v>
      </c>
      <c r="K12" s="444" t="s">
        <v>461</v>
      </c>
      <c r="L12" s="444" t="s">
        <v>429</v>
      </c>
      <c r="M12" s="440" t="s">
        <v>460</v>
      </c>
      <c r="N12" s="1863"/>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35.719199999999994</v>
      </c>
      <c r="E15" s="113">
        <f>'R-Entrada'!E56</f>
        <v>2.214</v>
      </c>
      <c r="F15" s="113">
        <f>'R-Entrada'!F56</f>
        <v>9.6677999999999997</v>
      </c>
      <c r="G15" s="113">
        <f>'R-Entrada'!G56</f>
        <v>6.5682000000000009</v>
      </c>
      <c r="H15" s="113">
        <f>'R-Entrada'!H56</f>
        <v>3.3947999999999996</v>
      </c>
      <c r="I15" s="113">
        <f>'R-Entrada'!I56</f>
        <v>1.7711999999999997</v>
      </c>
      <c r="J15" s="113">
        <f>'R-Entrada'!J56</f>
        <v>1.6973999999999998</v>
      </c>
      <c r="K15" s="113">
        <f>'R-Entrada'!K56</f>
        <v>0.44279999999999992</v>
      </c>
      <c r="L15" s="113">
        <f>'R-Entrada'!L56</f>
        <v>7.48332</v>
      </c>
      <c r="M15" s="113">
        <f>'R-Entrada'!M56</f>
        <v>4.8412800000000011</v>
      </c>
      <c r="N15" s="90">
        <f>SUM(D15:M15)</f>
        <v>73.799999999999983</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35.719199999999994</v>
      </c>
      <c r="E16" s="142">
        <f>SUM(E14:E15)</f>
        <v>2.214</v>
      </c>
      <c r="F16" s="142">
        <f t="shared" ref="F16:L16" si="0">SUM(F13:F15)</f>
        <v>9.6677999999999997</v>
      </c>
      <c r="G16" s="142">
        <f t="shared" si="0"/>
        <v>6.5682000000000009</v>
      </c>
      <c r="H16" s="142">
        <f t="shared" si="0"/>
        <v>3.3947999999999996</v>
      </c>
      <c r="I16" s="142">
        <f t="shared" si="0"/>
        <v>1.7711999999999997</v>
      </c>
      <c r="J16" s="142">
        <f t="shared" si="0"/>
        <v>1.6973999999999998</v>
      </c>
      <c r="K16" s="142">
        <f t="shared" si="0"/>
        <v>0.44279999999999992</v>
      </c>
      <c r="L16" s="142">
        <f t="shared" si="0"/>
        <v>7.48332</v>
      </c>
      <c r="M16" s="142">
        <f>M15</f>
        <v>4.8412800000000011</v>
      </c>
      <c r="N16" s="90">
        <f>SUM(N13:N15)</f>
        <v>73.799999999999983</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31.900000000000006</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0.30211874999999999</v>
      </c>
      <c r="M24" s="106">
        <f>IF($E$28="Sim",F$13*'R-Avançado'!$H$11/100*$E$29/$N$13,0)</f>
        <v>0</v>
      </c>
      <c r="N24" s="106">
        <f>IF($E$32="Sim",F$13*'R-Avançado'!$G$11/100*$E$33/$N$13,0)</f>
        <v>0</v>
      </c>
      <c r="O24" s="562">
        <f>IF(AND($I$25&gt;0,$I$24="Sim"),$I$27/$N$15*F$15*'R-Avançado'!$F$11/100,0)</f>
        <v>0.30211874999999999</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73.799999999999983</v>
      </c>
      <c r="J25" s="525"/>
      <c r="K25" s="559" t="s">
        <v>29</v>
      </c>
      <c r="L25" s="105">
        <f t="shared" si="1"/>
        <v>0.20525625000000003</v>
      </c>
      <c r="M25" s="106">
        <f>IF($E$28="Sim",G$13*'R-Avançado'!$H$11/100*$E$29/$N$13,0)</f>
        <v>0</v>
      </c>
      <c r="N25" s="106">
        <f>IF($E$32="Sim",G$13*'R-Avançado'!$G$11/100*$E$33/$N$13,0)</f>
        <v>0</v>
      </c>
      <c r="O25" s="562">
        <f>IF(AND($I$25&gt;0,$I$24="Sim"),$I$27/$N$15*G$15*'R-Avançado'!$F$11/100,0)</f>
        <v>0.20525625000000003</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12.5</v>
      </c>
      <c r="J26" s="1908" t="str">
        <f>IF(AND(I24="Sim",I27&lt;&gt;0,I27&lt;50),"Mín. é 50 t/d. Rever Célula I26","")</f>
        <v>Mín. é 50 t/d. Rever Célula I26</v>
      </c>
      <c r="K26" s="559" t="s">
        <v>77</v>
      </c>
      <c r="L26" s="105">
        <f t="shared" si="1"/>
        <v>0.10608749999999999</v>
      </c>
      <c r="M26" s="106">
        <f>IF($E$28="Sim",H$13*'R-Avançado'!$H$11/100*$E$29/$N$13,0)</f>
        <v>0</v>
      </c>
      <c r="N26" s="106">
        <f>IF($E$32="Sim",H$13*'R-Avançado'!$G$11/100*$E$33/$N$13,0)</f>
        <v>0</v>
      </c>
      <c r="O26" s="562">
        <f>IF(AND($I$25&gt;0,$I$24="Sim"),$I$27/$N$15*H$15*'R-Avançado'!$F$11/100,0)</f>
        <v>0.10608749999999999</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9.2249999999999979</v>
      </c>
      <c r="J27" s="1909"/>
      <c r="K27" s="559" t="s">
        <v>31</v>
      </c>
      <c r="L27" s="105">
        <f t="shared" si="1"/>
        <v>5.5349999999999989E-2</v>
      </c>
      <c r="M27" s="106">
        <f>IF($E$28="Sim",I$13*'R-Avançado'!$H$11/100*$E$29/$N$13,0)</f>
        <v>0</v>
      </c>
      <c r="N27" s="106">
        <f>IF($E$32="Sim",I$13*'R-Avançado'!$G$11/100*$E$33/$N$13,0)</f>
        <v>0</v>
      </c>
      <c r="O27" s="562">
        <f>IF(AND($I$25&gt;0,$I$24="Sim"),$I$27/$N$15*I$15*'R-Avançado'!$F$11/100,0)</f>
        <v>5.5349999999999989E-2</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1908" t="str">
        <f>IF(E29&gt;100,"Máx. é 100 t/d. Rever Célula E25","")</f>
        <v/>
      </c>
      <c r="G28" s="572"/>
      <c r="H28" s="528" t="s">
        <v>80</v>
      </c>
      <c r="I28" s="776" t="s">
        <v>63</v>
      </c>
      <c r="J28" s="466"/>
      <c r="K28" s="559" t="s">
        <v>32</v>
      </c>
      <c r="L28" s="105">
        <f t="shared" si="1"/>
        <v>5.3043749999999994E-2</v>
      </c>
      <c r="M28" s="106">
        <f>IF($E$28="Sim",J$13*'R-Avançado'!$H$11/100*$E$29/$N$13,0)</f>
        <v>0</v>
      </c>
      <c r="N28" s="106">
        <f>IF($E$32="Sim",J$13*'R-Avançado'!$G$11/100*$E$33/$N$13,0)</f>
        <v>0</v>
      </c>
      <c r="O28" s="562">
        <f>IF(AND($I$25&gt;0,$I$24="Sim"),$I$27/$N$15*J$15*'R-Avançado'!$F$11/100,0)</f>
        <v>5.3043749999999994E-2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1909"/>
      <c r="G29" s="572"/>
      <c r="H29" s="528" t="s">
        <v>82</v>
      </c>
      <c r="I29" s="776" t="s">
        <v>63</v>
      </c>
      <c r="J29" s="466"/>
      <c r="K29" s="559" t="s">
        <v>83</v>
      </c>
      <c r="L29" s="105">
        <f t="shared" si="1"/>
        <v>1.3837499999999997E-2</v>
      </c>
      <c r="M29" s="106">
        <f>IF($E$28="Sim",K$13*'R-Avançado'!$H$11/100*$E$29/$N$13,0)</f>
        <v>0</v>
      </c>
      <c r="N29" s="106">
        <f>IF($E$32="Sim",K$13*'R-Avançado'!$G$11/100*$E$33/$N$13,0)</f>
        <v>0</v>
      </c>
      <c r="O29" s="562">
        <f>IF(AND($I$25&gt;0,$I$24="Sim"),$I$27/$N$15*K$15*'R-Avançado'!$F$11/100,0)</f>
        <v>1.3837499999999997E-2</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1909"/>
      <c r="G30" s="399"/>
      <c r="H30" s="399"/>
      <c r="I30" s="399"/>
      <c r="J30" s="536"/>
      <c r="K30" s="560" t="s">
        <v>464</v>
      </c>
      <c r="L30" s="107">
        <f>SUM(L24:L29)</f>
        <v>0.73569374999999992</v>
      </c>
      <c r="M30" s="185">
        <f>SUM(M24:M29)</f>
        <v>0</v>
      </c>
      <c r="N30" s="185">
        <f>SUM(N24:N29)</f>
        <v>0</v>
      </c>
      <c r="O30" s="563">
        <f>SUM(O24:O29)</f>
        <v>0.73569374999999992</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1889" t="s">
        <v>84</v>
      </c>
      <c r="H31" s="1890"/>
      <c r="I31" s="1891"/>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1908" t="str">
        <f>IF(AND(E24&gt;0,E33&lt;50,E33&gt;0),"Mín. é 50 t/d. Rever Célula E25","")</f>
        <v/>
      </c>
      <c r="G32" s="565"/>
      <c r="H32" s="528" t="s">
        <v>91</v>
      </c>
      <c r="I32" s="660" t="s">
        <v>88</v>
      </c>
      <c r="J32" s="399"/>
      <c r="K32" s="217" t="s">
        <v>722</v>
      </c>
      <c r="L32" s="90">
        <f>O32+O33</f>
        <v>4.0304024999999992</v>
      </c>
      <c r="M32" s="576"/>
      <c r="N32" s="804" t="s">
        <v>53</v>
      </c>
      <c r="O32" s="802">
        <f>IF(AND($I$25&gt;0,$I$24="Sim"),I27/N15*D15*'R-Avançado'!E11/100,0)</f>
        <v>3.7951649999999995</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1909"/>
      <c r="G33" s="565"/>
      <c r="H33" s="528" t="s">
        <v>92</v>
      </c>
      <c r="I33" s="660" t="s">
        <v>88</v>
      </c>
      <c r="J33" s="399"/>
      <c r="K33" s="217" t="s">
        <v>723</v>
      </c>
      <c r="L33" s="90">
        <f>'R-Entrada'!E45</f>
        <v>0</v>
      </c>
      <c r="M33" s="577"/>
      <c r="N33" s="804" t="s">
        <v>54</v>
      </c>
      <c r="O33" s="802">
        <f>IF(AND($I$25&gt;0,$I$24="Sim"),I27/N15*E15*'R-Avançado'!E11/100,0)</f>
        <v>0.23523749999999999</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1909"/>
      <c r="G34" s="573"/>
      <c r="H34" s="528" t="s">
        <v>866</v>
      </c>
      <c r="I34" s="775" t="s">
        <v>88</v>
      </c>
      <c r="J34" s="399"/>
      <c r="K34" s="574" t="s">
        <v>728</v>
      </c>
      <c r="L34" s="90">
        <f>SUM(M34:O34)</f>
        <v>3.4870499999999995</v>
      </c>
      <c r="M34" s="90">
        <f>IF(E28="Sim",E29*(1-'R-Avançado'!H11/100)*0.9,0)</f>
        <v>0</v>
      </c>
      <c r="N34" s="803">
        <f>IF(E32="Sim",E33*(1-'R-Avançado'!G11/100)*0.9,0)</f>
        <v>0</v>
      </c>
      <c r="O34" s="90">
        <f>D43+E43+F43+G43+H43+L43</f>
        <v>3.4870499999999995</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0.97185374999999996</v>
      </c>
      <c r="M35" s="90">
        <f>IF(E28="Sim",E29*(1-'R-Avançado'!H11/100)*0.1,0)</f>
        <v>0</v>
      </c>
      <c r="N35" s="90">
        <f>IF(E32="Sim",E33*(1-'R-Avançado'!G11/100)*0.1,0)</f>
        <v>0</v>
      </c>
      <c r="O35" s="90">
        <f>M43+K43+J43+I43</f>
        <v>0.97185374999999996</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1869" t="s">
        <v>465</v>
      </c>
      <c r="E38" s="1870"/>
      <c r="F38" s="1870"/>
      <c r="G38" s="1870"/>
      <c r="H38" s="1870"/>
      <c r="I38" s="1870"/>
      <c r="J38" s="1870"/>
      <c r="K38" s="1870"/>
      <c r="L38" s="1870"/>
      <c r="M38" s="1870"/>
      <c r="N38" s="1870"/>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1869" t="s">
        <v>25</v>
      </c>
      <c r="E39" s="1907"/>
      <c r="F39" s="1884" t="s">
        <v>49</v>
      </c>
      <c r="G39" s="1869" t="s">
        <v>426</v>
      </c>
      <c r="H39" s="1907"/>
      <c r="I39" s="1869" t="s">
        <v>50</v>
      </c>
      <c r="J39" s="1869" t="s">
        <v>51</v>
      </c>
      <c r="K39" s="1907"/>
      <c r="L39" s="1869" t="s">
        <v>428</v>
      </c>
      <c r="M39" s="1907"/>
      <c r="N39" s="1878"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1910"/>
      <c r="G40" s="441" t="s">
        <v>55</v>
      </c>
      <c r="H40" s="441" t="s">
        <v>56</v>
      </c>
      <c r="I40" s="1907"/>
      <c r="J40" s="441" t="s">
        <v>57</v>
      </c>
      <c r="K40" s="441" t="s">
        <v>461</v>
      </c>
      <c r="L40" s="441" t="s">
        <v>429</v>
      </c>
      <c r="M40" s="442" t="s">
        <v>460</v>
      </c>
      <c r="N40" s="1907"/>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4.4648999999999992</v>
      </c>
      <c r="E41" s="112">
        <f t="shared" si="2"/>
        <v>0.27675</v>
      </c>
      <c r="F41" s="112">
        <f t="shared" si="2"/>
        <v>1.208475</v>
      </c>
      <c r="G41" s="112">
        <f t="shared" si="2"/>
        <v>0.82102500000000012</v>
      </c>
      <c r="H41" s="112">
        <f t="shared" si="2"/>
        <v>0.42434999999999995</v>
      </c>
      <c r="I41" s="112">
        <f t="shared" si="2"/>
        <v>0.22139999999999996</v>
      </c>
      <c r="J41" s="112">
        <f t="shared" si="2"/>
        <v>0.21217499999999997</v>
      </c>
      <c r="K41" s="112">
        <f t="shared" si="2"/>
        <v>5.5349999999999989E-2</v>
      </c>
      <c r="L41" s="112">
        <f t="shared" si="2"/>
        <v>0.935415</v>
      </c>
      <c r="M41" s="112">
        <f t="shared" si="2"/>
        <v>0.60516000000000014</v>
      </c>
      <c r="N41" s="90">
        <f>SUM(D41:M41)</f>
        <v>9.2249999999999979</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3.7951649999999995</v>
      </c>
      <c r="E42" s="112">
        <f>O33</f>
        <v>0.23523749999999999</v>
      </c>
      <c r="F42" s="112">
        <f>O24</f>
        <v>0.30211874999999999</v>
      </c>
      <c r="G42" s="112">
        <f>O25</f>
        <v>0.20525625000000003</v>
      </c>
      <c r="H42" s="112">
        <f>O26</f>
        <v>0.10608749999999999</v>
      </c>
      <c r="I42" s="112">
        <f>O27</f>
        <v>5.5349999999999989E-2</v>
      </c>
      <c r="J42" s="112">
        <f>O28</f>
        <v>5.3043749999999994E-2</v>
      </c>
      <c r="K42" s="112">
        <f>O29</f>
        <v>1.3837499999999997E-2</v>
      </c>
      <c r="L42" s="112">
        <v>0</v>
      </c>
      <c r="M42" s="112">
        <v>0</v>
      </c>
      <c r="N42" s="90">
        <f>SUM(D42:M42)</f>
        <v>4.7660962499999986</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0.66973499999999975</v>
      </c>
      <c r="E43" s="113">
        <f t="shared" si="3"/>
        <v>4.1512500000000008E-2</v>
      </c>
      <c r="F43" s="113">
        <f t="shared" si="3"/>
        <v>0.90635624999999997</v>
      </c>
      <c r="G43" s="113">
        <f t="shared" si="3"/>
        <v>0.61576875000000009</v>
      </c>
      <c r="H43" s="113">
        <f t="shared" si="3"/>
        <v>0.31826249999999995</v>
      </c>
      <c r="I43" s="113">
        <f t="shared" si="3"/>
        <v>0.16604999999999998</v>
      </c>
      <c r="J43" s="113">
        <f t="shared" si="3"/>
        <v>0.15913124999999997</v>
      </c>
      <c r="K43" s="113">
        <f t="shared" si="3"/>
        <v>4.1512499999999994E-2</v>
      </c>
      <c r="L43" s="113">
        <f t="shared" si="3"/>
        <v>0.935415</v>
      </c>
      <c r="M43" s="113">
        <f t="shared" si="3"/>
        <v>0.60516000000000014</v>
      </c>
      <c r="N43" s="90">
        <f>SUM(D43:M43)</f>
        <v>4.4589037499999993</v>
      </c>
      <c r="O43" s="483"/>
      <c r="P43" s="438"/>
      <c r="Q43" s="479"/>
      <c r="R43" s="479"/>
      <c r="S43" s="479" t="s">
        <v>61</v>
      </c>
      <c r="T43" s="479">
        <f>IF($I$28="CDR",O34,0)</f>
        <v>0</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31.254299999999994</v>
      </c>
      <c r="E44" s="90">
        <f t="shared" si="4"/>
        <v>1.9372499999999999</v>
      </c>
      <c r="F44" s="90">
        <f t="shared" si="4"/>
        <v>8.4593249999999998</v>
      </c>
      <c r="G44" s="90">
        <f t="shared" si="4"/>
        <v>5.7471750000000004</v>
      </c>
      <c r="H44" s="90">
        <f t="shared" si="4"/>
        <v>2.9704499999999996</v>
      </c>
      <c r="I44" s="90">
        <f t="shared" si="4"/>
        <v>1.5497999999999996</v>
      </c>
      <c r="J44" s="90">
        <f t="shared" si="4"/>
        <v>1.4852249999999998</v>
      </c>
      <c r="K44" s="90">
        <f t="shared" si="4"/>
        <v>0.38744999999999991</v>
      </c>
      <c r="L44" s="90">
        <f t="shared" si="4"/>
        <v>6.5479050000000001</v>
      </c>
      <c r="M44" s="90">
        <f t="shared" si="4"/>
        <v>4.2361200000000014</v>
      </c>
      <c r="N44" s="90">
        <f>SUM(D44:M44)</f>
        <v>64.574999999999989</v>
      </c>
      <c r="O44" s="483"/>
      <c r="P44" s="438"/>
      <c r="Q44" s="479"/>
      <c r="R44" s="479" t="s">
        <v>98</v>
      </c>
      <c r="S44" s="479" t="s">
        <v>63</v>
      </c>
      <c r="T44" s="479">
        <f>IF($I$28="Incineração",O34+O35,0)</f>
        <v>4.4589037499999993</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0</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0</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0</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0</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0</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100</v>
      </c>
      <c r="K59" s="583" t="str">
        <f>IF(J59&lt;&gt;0,"&gt;&gt;&gt;&gt;","")</f>
        <v>&gt;&gt;&gt;&gt;</v>
      </c>
      <c r="L59" s="584">
        <f>IF(J59&gt;0,J59/100*E60,"")</f>
        <v>0</v>
      </c>
      <c r="M59" s="575" t="str">
        <f>IF(J59&gt;0,"t/d","")</f>
        <v>t/d</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0</v>
      </c>
      <c r="K60" s="400" t="str">
        <f>IF(J60&lt;&gt;0,"&gt;&gt;&gt;&gt;","")</f>
        <v/>
      </c>
      <c r="L60" s="582" t="str">
        <f>IF(J60&gt;0,J60/100*E60,"")</f>
        <v/>
      </c>
      <c r="M60" s="401" t="str">
        <f>IF(J60&gt;0,"t/d","")</f>
        <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1887" t="s">
        <v>112</v>
      </c>
      <c r="O61" s="1888"/>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1896" t="s">
        <v>125</v>
      </c>
      <c r="J72" s="1897"/>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1894" t="s">
        <v>484</v>
      </c>
      <c r="E77" s="1895"/>
      <c r="F77" s="1895"/>
      <c r="G77" s="1895"/>
      <c r="H77" s="1895"/>
      <c r="I77" s="1895"/>
      <c r="J77" s="1895"/>
      <c r="K77" s="1895"/>
      <c r="L77" s="1895"/>
      <c r="M77" s="1895"/>
      <c r="N77" s="1895"/>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1894" t="s">
        <v>25</v>
      </c>
      <c r="E78" s="1895"/>
      <c r="F78" s="1899" t="s">
        <v>49</v>
      </c>
      <c r="G78" s="1894" t="s">
        <v>426</v>
      </c>
      <c r="H78" s="1895"/>
      <c r="I78" s="1894" t="s">
        <v>427</v>
      </c>
      <c r="J78" s="1894" t="s">
        <v>51</v>
      </c>
      <c r="K78" s="1895"/>
      <c r="L78" s="1894" t="s">
        <v>428</v>
      </c>
      <c r="M78" s="1895"/>
      <c r="N78" s="1898"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1900"/>
      <c r="G79" s="445" t="s">
        <v>55</v>
      </c>
      <c r="H79" s="445" t="s">
        <v>56</v>
      </c>
      <c r="I79" s="1895"/>
      <c r="J79" s="445" t="s">
        <v>57</v>
      </c>
      <c r="K79" s="445" t="s">
        <v>461</v>
      </c>
      <c r="L79" s="445" t="s">
        <v>429</v>
      </c>
      <c r="M79" s="446" t="s">
        <v>460</v>
      </c>
      <c r="N79" s="1895"/>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31.924034999999993</v>
      </c>
      <c r="E80" s="125">
        <f t="shared" si="5"/>
        <v>1.9787625</v>
      </c>
      <c r="F80" s="125">
        <f t="shared" si="5"/>
        <v>9.3656812499999997</v>
      </c>
      <c r="G80" s="125">
        <f t="shared" si="5"/>
        <v>6.3629437500000003</v>
      </c>
      <c r="H80" s="125">
        <f t="shared" si="5"/>
        <v>3.2887124999999995</v>
      </c>
      <c r="I80" s="125">
        <f t="shared" si="5"/>
        <v>1.7158499999999997</v>
      </c>
      <c r="J80" s="125">
        <f t="shared" si="5"/>
        <v>1.6443562499999997</v>
      </c>
      <c r="K80" s="125">
        <f t="shared" si="5"/>
        <v>0.42896249999999991</v>
      </c>
      <c r="L80" s="125">
        <f t="shared" si="5"/>
        <v>7.48332</v>
      </c>
      <c r="M80" s="125">
        <f t="shared" si="5"/>
        <v>4.8412800000000011</v>
      </c>
      <c r="N80" s="599">
        <f>SUM(D80:M80)</f>
        <v>69.033903749999993</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31.254299999999994</v>
      </c>
      <c r="E81" s="130">
        <f t="shared" si="6"/>
        <v>1.9372499999999999</v>
      </c>
      <c r="F81" s="130">
        <f t="shared" si="6"/>
        <v>8.4593249999999998</v>
      </c>
      <c r="G81" s="130">
        <f t="shared" si="6"/>
        <v>5.7471750000000004</v>
      </c>
      <c r="H81" s="130">
        <f t="shared" si="6"/>
        <v>2.9704499999999996</v>
      </c>
      <c r="I81" s="130">
        <f t="shared" si="6"/>
        <v>1.5497999999999996</v>
      </c>
      <c r="J81" s="130">
        <f t="shared" si="6"/>
        <v>1.4852249999999998</v>
      </c>
      <c r="K81" s="130">
        <f t="shared" si="6"/>
        <v>0.38744999999999991</v>
      </c>
      <c r="L81" s="130">
        <f t="shared" si="6"/>
        <v>6.5479050000000001</v>
      </c>
      <c r="M81" s="130">
        <f t="shared" si="6"/>
        <v>4.2361200000000014</v>
      </c>
      <c r="N81" s="600">
        <f>SUM(D81:M81)</f>
        <v>64.574999999999989</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0.66973499999999975</v>
      </c>
      <c r="E82" s="130">
        <f t="shared" si="7"/>
        <v>4.1512500000000008E-2</v>
      </c>
      <c r="F82" s="130">
        <f t="shared" si="7"/>
        <v>0.90635624999999997</v>
      </c>
      <c r="G82" s="130">
        <f t="shared" si="7"/>
        <v>0.61576875000000009</v>
      </c>
      <c r="H82" s="130">
        <f t="shared" si="7"/>
        <v>0.31826249999999995</v>
      </c>
      <c r="I82" s="130">
        <f t="shared" si="7"/>
        <v>0.16604999999999998</v>
      </c>
      <c r="J82" s="130">
        <f t="shared" si="7"/>
        <v>0.15913124999999997</v>
      </c>
      <c r="K82" s="130">
        <f t="shared" si="7"/>
        <v>4.1512499999999994E-2</v>
      </c>
      <c r="L82" s="130">
        <f t="shared" si="7"/>
        <v>0.935415</v>
      </c>
      <c r="M82" s="130">
        <f t="shared" si="7"/>
        <v>0.60516000000000014</v>
      </c>
      <c r="N82" s="600">
        <f>SUM(D82:M82)</f>
        <v>4.4589037499999993</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0</v>
      </c>
      <c r="E86" s="186">
        <f t="shared" si="8"/>
        <v>0</v>
      </c>
      <c r="F86" s="186">
        <f t="shared" si="8"/>
        <v>0</v>
      </c>
      <c r="G86" s="186">
        <f t="shared" si="8"/>
        <v>0</v>
      </c>
      <c r="H86" s="186">
        <f t="shared" si="8"/>
        <v>0</v>
      </c>
      <c r="I86" s="186">
        <f t="shared" si="8"/>
        <v>0</v>
      </c>
      <c r="J86" s="186">
        <f t="shared" si="8"/>
        <v>0</v>
      </c>
      <c r="K86" s="186">
        <f t="shared" si="8"/>
        <v>0</v>
      </c>
      <c r="L86" s="186">
        <f t="shared" si="8"/>
        <v>0</v>
      </c>
      <c r="M86" s="186">
        <f t="shared" si="8"/>
        <v>0</v>
      </c>
      <c r="N86" s="186">
        <f>SUM(D86:M86)</f>
        <v>0</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0</v>
      </c>
      <c r="E87" s="132">
        <f>IF($E$51&gt;0,E43,0)</f>
        <v>0</v>
      </c>
      <c r="F87" s="132">
        <f>IF($E$51&gt;0,F43,0)</f>
        <v>0</v>
      </c>
      <c r="G87" s="132">
        <f>IF($E$51&gt;0,G43,0)</f>
        <v>0</v>
      </c>
      <c r="H87" s="132">
        <f>IF($E$51&gt;0,H43,0)</f>
        <v>0</v>
      </c>
      <c r="I87" s="123"/>
      <c r="J87" s="123"/>
      <c r="K87" s="123"/>
      <c r="L87" s="144">
        <f>IF($E$51&gt;0,L43,0)</f>
        <v>0</v>
      </c>
      <c r="M87" s="132"/>
      <c r="N87" s="607">
        <f>SUM(D87:M87)</f>
        <v>0</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31.924034999999993</v>
      </c>
      <c r="E90" s="125">
        <f t="shared" si="9"/>
        <v>1.9787625</v>
      </c>
      <c r="F90" s="125">
        <f t="shared" si="9"/>
        <v>9.3656812499999997</v>
      </c>
      <c r="G90" s="125">
        <f t="shared" si="9"/>
        <v>6.3629437500000003</v>
      </c>
      <c r="H90" s="125">
        <f t="shared" si="9"/>
        <v>3.2887124999999995</v>
      </c>
      <c r="I90" s="125">
        <f t="shared" si="9"/>
        <v>1.7158499999999997</v>
      </c>
      <c r="J90" s="125">
        <f t="shared" si="9"/>
        <v>1.6443562499999997</v>
      </c>
      <c r="K90" s="125">
        <f t="shared" si="9"/>
        <v>0.42896249999999991</v>
      </c>
      <c r="L90" s="125">
        <f t="shared" si="9"/>
        <v>7.48332</v>
      </c>
      <c r="M90" s="125">
        <f t="shared" si="9"/>
        <v>4.8412800000000011</v>
      </c>
      <c r="N90" s="599">
        <f>SUM(D90:M90)</f>
        <v>69.033903749999993</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35.719199999999994</v>
      </c>
      <c r="E92" s="186">
        <f>E90-E94+E97+(IF(I29="Incineração",O33,0))</f>
        <v>2.214</v>
      </c>
      <c r="F92" s="186">
        <f t="shared" ref="F92:L92" si="10">F90-F94</f>
        <v>9.3656812499999997</v>
      </c>
      <c r="G92" s="186">
        <f t="shared" si="10"/>
        <v>6.3629437500000003</v>
      </c>
      <c r="H92" s="186">
        <f t="shared" si="10"/>
        <v>3.2887124999999995</v>
      </c>
      <c r="I92" s="186">
        <f t="shared" si="10"/>
        <v>1.7158499999999997</v>
      </c>
      <c r="J92" s="186">
        <f t="shared" si="10"/>
        <v>1.6443562499999997</v>
      </c>
      <c r="K92" s="186">
        <f t="shared" si="10"/>
        <v>0.42896249999999991</v>
      </c>
      <c r="L92" s="186">
        <f t="shared" si="10"/>
        <v>7.48332</v>
      </c>
      <c r="M92" s="186">
        <f>M90-M94+M100+M101</f>
        <v>4.8412800000000011</v>
      </c>
      <c r="N92" s="186">
        <f>SUM(D92:M93)</f>
        <v>73.064306250000001</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0</v>
      </c>
      <c r="J94" s="186">
        <f t="shared" si="11"/>
        <v>0</v>
      </c>
      <c r="K94" s="186">
        <f t="shared" si="11"/>
        <v>0</v>
      </c>
      <c r="L94" s="186">
        <f t="shared" si="11"/>
        <v>0</v>
      </c>
      <c r="M94" s="186">
        <f>SUM(M95:M101)</f>
        <v>14.612861249999996</v>
      </c>
      <c r="N94" s="186">
        <f t="shared" ref="N94:N101" si="12">SUM(D94:M94)</f>
        <v>14.612861249999996</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0</v>
      </c>
      <c r="J96" s="130">
        <f t="shared" si="14"/>
        <v>0</v>
      </c>
      <c r="K96" s="130">
        <f t="shared" si="14"/>
        <v>0</v>
      </c>
      <c r="L96" s="130">
        <f>IF(OR($I$28="Incineração",I28="CDR"),0,L43)</f>
        <v>0</v>
      </c>
      <c r="M96" s="130">
        <f>IF($I$28="Incineração",0,M43)</f>
        <v>0</v>
      </c>
      <c r="N96" s="600">
        <f t="shared" si="12"/>
        <v>0</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0</v>
      </c>
      <c r="N100" s="600">
        <f t="shared" si="12"/>
        <v>0</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14.612861249999996</v>
      </c>
      <c r="N101" s="600">
        <f t="shared" si="12"/>
        <v>14.612861249999996</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64.574999999999989</v>
      </c>
      <c r="F107" s="546" t="str">
        <f>IF(AND(H106="Sim",E107=0),"Valor '0,00', mesmo com 'Sim' porque não há mistos sem triagem disponíveis","")</f>
        <v/>
      </c>
      <c r="G107" s="515"/>
      <c r="H107" s="515"/>
      <c r="I107" s="515"/>
      <c r="J107" s="515"/>
      <c r="K107" s="515"/>
      <c r="L107" s="611"/>
      <c r="M107" s="549"/>
      <c r="N107" s="116" t="s">
        <v>482</v>
      </c>
      <c r="O107" s="614">
        <f>IF(E112&gt;0,K112*J90*(E110/E112+E107/E112)*(E110+E107)/E112,0)</f>
        <v>1.321151913760414</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
      </c>
      <c r="G108" s="515"/>
      <c r="H108" s="547"/>
      <c r="I108" s="515"/>
      <c r="J108" s="545"/>
      <c r="K108" s="515"/>
      <c r="L108" s="611"/>
      <c r="M108" s="549"/>
      <c r="N108" s="116" t="s">
        <v>152</v>
      </c>
      <c r="O108" s="614">
        <f>IF(E112&gt;0,K90*K112*(E107/E112+E110/E112)*(E107+E110)/E112,0)</f>
        <v>0.34464832532880363</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1892" t="str">
        <f>IF(AND(E112&gt;0,E112&lt;500),"Cap. mín. é 500 t/d.  Rever envios à incineração em H106, E30, E34 ou I28","")</f>
        <v>Cap. mín. é 500 t/d.  Rever envios à incineração em H106, E30, E34 ou I28</v>
      </c>
      <c r="G109" s="789"/>
      <c r="H109" s="137"/>
      <c r="I109" s="109" t="s">
        <v>153</v>
      </c>
      <c r="J109" s="187">
        <f>'R-Avançado'!F28</f>
        <v>25.2</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4.4589037499999993</v>
      </c>
      <c r="F110" s="1893"/>
      <c r="G110" s="550"/>
      <c r="H110" s="550"/>
      <c r="I110" s="550"/>
      <c r="J110" s="554"/>
      <c r="K110" s="609"/>
      <c r="L110" s="611"/>
      <c r="M110" s="549"/>
      <c r="N110" s="116" t="s">
        <v>155</v>
      </c>
      <c r="O110" s="614">
        <f>(E112*J111/100)*(1-J113/100)</f>
        <v>14.612861249999996</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4.0304024999999992</v>
      </c>
      <c r="F111" s="1893"/>
      <c r="G111" s="611"/>
      <c r="H111" s="552"/>
      <c r="I111" s="109" t="s">
        <v>156</v>
      </c>
      <c r="J111" s="187">
        <f>'R-Avançado'!F29</f>
        <v>20</v>
      </c>
      <c r="K111" s="610"/>
      <c r="L111" s="611"/>
      <c r="M111" s="549"/>
      <c r="N111" s="116" t="s">
        <v>134</v>
      </c>
      <c r="O111" s="615">
        <f>E112*E114*J109/100</f>
        <v>49534.248252065823</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73.064306249999987</v>
      </c>
      <c r="F112" s="1893"/>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1893"/>
      <c r="G113" s="137"/>
      <c r="H113" s="137"/>
      <c r="I113" s="109" t="s">
        <v>159</v>
      </c>
      <c r="J113" s="138">
        <v>0</v>
      </c>
      <c r="K113" s="610"/>
      <c r="L113" s="611"/>
      <c r="M113" s="549"/>
      <c r="N113" s="116" t="s">
        <v>160</v>
      </c>
      <c r="O113" s="612">
        <f>E112*(1-J111/100)-O107-O108</f>
        <v>56.78564476091077</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2690.2941707016817</v>
      </c>
      <c r="F114" s="1893"/>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1893"/>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14.612861249999996</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10.229002874999997</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1913" t="str">
        <f>IF('R-Entrada'!D2&lt;&gt;0,'R-Entrada'!D2,"")</f>
        <v>CIRSOP - Consórcio RSU Oeste Paulista</v>
      </c>
      <c r="E2" s="1914"/>
      <c r="F2" s="433"/>
      <c r="G2" s="433"/>
      <c r="H2" s="433"/>
      <c r="I2" s="433"/>
      <c r="J2" s="433"/>
      <c r="K2" s="433"/>
      <c r="L2" s="433"/>
      <c r="M2" s="433"/>
      <c r="N2" s="433"/>
      <c r="O2" s="433"/>
      <c r="P2" s="433"/>
      <c r="Q2" s="433"/>
      <c r="R2" s="433"/>
      <c r="S2" s="433"/>
      <c r="T2" s="433"/>
      <c r="U2" s="433"/>
    </row>
    <row r="3" spans="1:21" ht="15" customHeight="1" x14ac:dyDescent="0.25">
      <c r="B3" s="433"/>
      <c r="C3" s="415" t="s">
        <v>437</v>
      </c>
      <c r="D3" s="1913" t="str">
        <f>IF('R-Entrada'!D3&lt;&gt;0,'R-Entrada'!D3,"")</f>
        <v>Biodigestão c/ Prod. E. Elétrica</v>
      </c>
      <c r="E3" s="1914"/>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1915" t="s">
        <v>424</v>
      </c>
      <c r="O5" s="1916"/>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1868" t="str">
        <f>Apresentação!I2</f>
        <v>RC-RSU V.1.0 - 15/10/2020</v>
      </c>
      <c r="O6" s="1916"/>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1928" t="s">
        <v>864</v>
      </c>
      <c r="F8" s="1929"/>
      <c r="G8" s="1929"/>
      <c r="H8" s="1930"/>
      <c r="I8" s="433"/>
      <c r="J8" s="1933"/>
      <c r="K8" s="1934"/>
      <c r="L8" s="1931" t="s">
        <v>185</v>
      </c>
      <c r="M8" s="1931" t="s">
        <v>486</v>
      </c>
      <c r="N8" s="433"/>
      <c r="O8" s="433"/>
      <c r="P8" s="433"/>
      <c r="Q8" s="433"/>
      <c r="R8" s="433"/>
      <c r="S8" s="433"/>
      <c r="T8" s="433"/>
      <c r="U8" s="433"/>
    </row>
    <row r="9" spans="1:21" ht="18" customHeight="1" x14ac:dyDescent="0.25">
      <c r="A9" s="433"/>
      <c r="B9" s="433"/>
      <c r="C9" s="433"/>
      <c r="D9" s="1939"/>
      <c r="E9" s="675" t="s">
        <v>25</v>
      </c>
      <c r="F9" s="1928" t="s">
        <v>865</v>
      </c>
      <c r="G9" s="1929"/>
      <c r="H9" s="1930"/>
      <c r="I9" s="433"/>
      <c r="J9" s="1935"/>
      <c r="K9" s="1936"/>
      <c r="L9" s="1932"/>
      <c r="M9" s="1932"/>
      <c r="N9" s="433"/>
      <c r="O9" s="433"/>
      <c r="P9" s="433"/>
      <c r="Q9" s="433"/>
      <c r="R9" s="433"/>
      <c r="S9" s="433"/>
      <c r="T9" s="433"/>
      <c r="U9" s="433"/>
    </row>
    <row r="10" spans="1:21" ht="18" customHeight="1" x14ac:dyDescent="0.25">
      <c r="A10" s="433"/>
      <c r="B10" s="433"/>
      <c r="C10" s="433"/>
      <c r="D10" s="1940"/>
      <c r="E10" s="456" t="s">
        <v>679</v>
      </c>
      <c r="F10" s="456" t="s">
        <v>679</v>
      </c>
      <c r="G10" s="456" t="s">
        <v>680</v>
      </c>
      <c r="H10" s="456" t="s">
        <v>508</v>
      </c>
      <c r="I10" s="433"/>
      <c r="J10" s="1937"/>
      <c r="K10" s="1938"/>
      <c r="L10" s="1932"/>
      <c r="M10" s="1932"/>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25</v>
      </c>
      <c r="G11" s="836">
        <f>IF('R-Definição'!I33="Alta",G12,G13)</f>
        <v>50</v>
      </c>
      <c r="H11" s="836">
        <f>IF('R-Definição'!I32="Alta",H12,H13)</f>
        <v>35</v>
      </c>
      <c r="I11" s="433"/>
      <c r="J11" s="1923" t="s">
        <v>487</v>
      </c>
      <c r="K11" s="1923"/>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1923" t="s">
        <v>488</v>
      </c>
      <c r="K12" s="1923"/>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1941" t="s">
        <v>190</v>
      </c>
      <c r="E17" s="453" t="s">
        <v>191</v>
      </c>
      <c r="F17" s="453" t="s">
        <v>905</v>
      </c>
      <c r="G17" s="433"/>
      <c r="H17" s="1943"/>
      <c r="I17" s="1943" t="s">
        <v>192</v>
      </c>
      <c r="J17" s="1895"/>
      <c r="K17" s="433"/>
      <c r="L17" s="1942" t="s">
        <v>692</v>
      </c>
      <c r="M17" s="1907"/>
      <c r="N17" s="433"/>
      <c r="O17" s="433"/>
      <c r="P17" s="433"/>
      <c r="Q17" s="433"/>
      <c r="R17" s="433"/>
      <c r="S17" s="433"/>
      <c r="T17" s="433"/>
      <c r="U17" s="433"/>
    </row>
    <row r="18" spans="1:21" ht="18" customHeight="1" x14ac:dyDescent="0.25">
      <c r="A18" s="433"/>
      <c r="B18" s="433"/>
      <c r="C18" s="657"/>
      <c r="D18" s="1895"/>
      <c r="E18" s="453" t="s">
        <v>968</v>
      </c>
      <c r="F18" s="453" t="s">
        <v>904</v>
      </c>
      <c r="G18" s="433"/>
      <c r="H18" s="1895"/>
      <c r="I18" s="453" t="s">
        <v>188</v>
      </c>
      <c r="J18" s="646" t="s">
        <v>131</v>
      </c>
      <c r="K18" s="433"/>
      <c r="L18" s="1907"/>
      <c r="M18" s="1907"/>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1921" t="s">
        <v>693</v>
      </c>
      <c r="E23" s="1922"/>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1921" t="s">
        <v>489</v>
      </c>
      <c r="E24" s="1922"/>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1925"/>
      <c r="D27" s="1926"/>
      <c r="E27" s="1926"/>
      <c r="F27" s="306" t="s">
        <v>194</v>
      </c>
      <c r="G27" s="433"/>
      <c r="H27" s="1927" t="s">
        <v>490</v>
      </c>
      <c r="I27" s="1907"/>
      <c r="J27" s="1907"/>
      <c r="K27" s="433"/>
      <c r="L27" s="1924"/>
      <c r="M27" s="1895"/>
      <c r="N27" s="1895"/>
      <c r="O27" s="453" t="s">
        <v>240</v>
      </c>
      <c r="P27" s="433"/>
      <c r="Q27" s="433"/>
      <c r="R27" s="433"/>
      <c r="S27" s="433"/>
      <c r="T27" s="433"/>
      <c r="U27" s="433"/>
    </row>
    <row r="28" spans="1:21" ht="18" customHeight="1" x14ac:dyDescent="0.25">
      <c r="A28" s="433"/>
      <c r="B28" s="433"/>
      <c r="C28" s="1921" t="s">
        <v>694</v>
      </c>
      <c r="D28" s="1922"/>
      <c r="E28" s="1922"/>
      <c r="F28" s="1484">
        <f>((0.54+0.09)/2.5)*100*1</f>
        <v>25.2</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1921" t="s">
        <v>195</v>
      </c>
      <c r="D29" s="1922"/>
      <c r="E29" s="1922"/>
      <c r="F29" s="199">
        <v>20</v>
      </c>
      <c r="G29" s="433"/>
      <c r="H29" s="199">
        <v>50</v>
      </c>
      <c r="I29" s="199">
        <v>30</v>
      </c>
      <c r="J29" s="199">
        <v>10</v>
      </c>
      <c r="K29" s="433"/>
      <c r="L29" s="1923" t="s">
        <v>492</v>
      </c>
      <c r="M29" s="1918"/>
      <c r="N29" s="1918"/>
      <c r="O29" s="1376">
        <v>35</v>
      </c>
      <c r="P29" s="433"/>
      <c r="Q29" s="433"/>
      <c r="R29" s="433"/>
      <c r="S29" s="433"/>
      <c r="T29" s="433"/>
      <c r="U29" s="433"/>
    </row>
    <row r="30" spans="1:21" ht="18" customHeight="1" x14ac:dyDescent="0.25">
      <c r="A30" s="433"/>
      <c r="B30" s="433"/>
      <c r="C30" s="1921" t="s">
        <v>158</v>
      </c>
      <c r="D30" s="1922"/>
      <c r="E30" s="1922"/>
      <c r="F30" s="199">
        <v>90</v>
      </c>
      <c r="G30" s="433"/>
      <c r="H30" s="158"/>
      <c r="I30" s="198"/>
      <c r="J30" s="158"/>
      <c r="K30" s="433"/>
      <c r="L30" s="1923" t="s">
        <v>695</v>
      </c>
      <c r="M30" s="1918"/>
      <c r="N30" s="1918"/>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1919"/>
      <c r="C33" s="1920"/>
      <c r="D33" s="1920"/>
      <c r="E33" s="1869" t="s">
        <v>197</v>
      </c>
      <c r="F33" s="1907"/>
      <c r="G33" s="1907"/>
      <c r="H33" s="1907"/>
      <c r="I33" s="1907"/>
      <c r="J33" s="1907"/>
      <c r="K33" s="1907"/>
      <c r="L33" s="1907"/>
      <c r="M33" s="1907"/>
      <c r="N33" s="1907"/>
      <c r="O33" s="433"/>
      <c r="P33" s="433"/>
      <c r="Q33" s="433"/>
      <c r="R33" s="433"/>
      <c r="S33" s="433"/>
      <c r="T33" s="433"/>
      <c r="U33" s="433"/>
    </row>
    <row r="34" spans="1:21" ht="18" customHeight="1" x14ac:dyDescent="0.25">
      <c r="A34" s="433"/>
      <c r="B34" s="1920"/>
      <c r="C34" s="1920"/>
      <c r="D34" s="1920"/>
      <c r="E34" s="1869" t="s">
        <v>25</v>
      </c>
      <c r="F34" s="1907"/>
      <c r="G34" s="1884" t="s">
        <v>49</v>
      </c>
      <c r="H34" s="1869" t="s">
        <v>426</v>
      </c>
      <c r="I34" s="1907"/>
      <c r="J34" s="1869" t="s">
        <v>427</v>
      </c>
      <c r="K34" s="1869" t="s">
        <v>51</v>
      </c>
      <c r="L34" s="1907"/>
      <c r="M34" s="1869" t="s">
        <v>428</v>
      </c>
      <c r="N34" s="1907"/>
      <c r="O34" s="433"/>
      <c r="P34" s="433"/>
      <c r="Q34" s="433"/>
      <c r="R34" s="433"/>
      <c r="S34" s="433"/>
      <c r="T34" s="433"/>
      <c r="U34" s="433"/>
    </row>
    <row r="35" spans="1:21" ht="18" customHeight="1" x14ac:dyDescent="0.25">
      <c r="A35" s="433"/>
      <c r="B35" s="1920"/>
      <c r="C35" s="1920"/>
      <c r="D35" s="1920"/>
      <c r="E35" s="441" t="s">
        <v>53</v>
      </c>
      <c r="F35" s="441" t="s">
        <v>430</v>
      </c>
      <c r="G35" s="1907"/>
      <c r="H35" s="441" t="s">
        <v>55</v>
      </c>
      <c r="I35" s="441" t="s">
        <v>56</v>
      </c>
      <c r="J35" s="1907"/>
      <c r="K35" s="441" t="s">
        <v>57</v>
      </c>
      <c r="L35" s="441" t="s">
        <v>461</v>
      </c>
      <c r="M35" s="441" t="s">
        <v>429</v>
      </c>
      <c r="N35" s="441" t="s">
        <v>460</v>
      </c>
      <c r="O35" s="433"/>
      <c r="P35" s="433"/>
      <c r="Q35" s="433"/>
      <c r="R35" s="433"/>
      <c r="S35" s="433"/>
      <c r="T35" s="433"/>
      <c r="U35" s="433"/>
    </row>
    <row r="36" spans="1:21" ht="18" customHeight="1" x14ac:dyDescent="0.25">
      <c r="A36" s="433"/>
      <c r="B36" s="1923" t="s">
        <v>431</v>
      </c>
      <c r="C36" s="1918"/>
      <c r="D36" s="1918"/>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1923" t="s">
        <v>696</v>
      </c>
      <c r="C37" s="1918"/>
      <c r="D37" s="1918"/>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1917" t="s">
        <v>741</v>
      </c>
      <c r="C38" s="1918"/>
      <c r="D38" s="1918"/>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1972" t="s">
        <v>744</v>
      </c>
      <c r="C1" s="1973"/>
      <c r="D1" s="1973"/>
      <c r="E1" s="1973"/>
      <c r="F1" s="1973"/>
      <c r="G1" s="1973"/>
      <c r="H1" s="1973"/>
      <c r="I1" s="1973"/>
      <c r="J1" s="1973"/>
      <c r="K1" s="1973"/>
      <c r="L1" s="1973"/>
      <c r="M1" s="1973"/>
      <c r="N1" s="1973"/>
      <c r="O1" s="1973"/>
      <c r="P1" s="1974"/>
      <c r="Q1" s="1974"/>
      <c r="R1" s="1959" t="s">
        <v>198</v>
      </c>
      <c r="S1" s="1960"/>
      <c r="T1" s="1960"/>
      <c r="U1" s="1960"/>
      <c r="V1" s="1965" t="str">
        <f>IF('R-Entrada'!D3&lt;&gt;0,'R-Entrada'!D3,"")</f>
        <v>Biodigestão c/ Prod. E. Elétrica</v>
      </c>
      <c r="W1" s="1966"/>
      <c r="X1" s="1966"/>
      <c r="Y1" s="1966"/>
      <c r="Z1" s="1966"/>
      <c r="AA1" s="1966"/>
      <c r="AB1" s="1967"/>
      <c r="AC1" s="1959" t="s">
        <v>4</v>
      </c>
      <c r="AD1" s="1960"/>
      <c r="AE1" s="1960"/>
      <c r="AF1" s="1960"/>
      <c r="AG1" s="1965" t="str">
        <f>IF('R-Entrada'!D2&lt;&gt;0,'R-Entrada'!D2,"")</f>
        <v>CIRSOP - Consórcio RSU Oeste Paulista</v>
      </c>
      <c r="AH1" s="1966"/>
      <c r="AI1" s="1966"/>
      <c r="AJ1" s="1966"/>
      <c r="AK1" s="1966"/>
      <c r="AL1" s="1966"/>
      <c r="AM1" s="1966"/>
      <c r="AN1" s="1966"/>
      <c r="AO1" s="1966"/>
      <c r="AP1" s="1966"/>
      <c r="AQ1" s="1966"/>
      <c r="AR1" s="1967"/>
      <c r="AS1" s="841" t="s">
        <v>738</v>
      </c>
      <c r="AT1" s="838"/>
      <c r="AV1" s="153"/>
    </row>
    <row r="2" spans="2:69" s="152" customFormat="1" ht="3" customHeight="1" x14ac:dyDescent="0.25">
      <c r="B2" s="1968"/>
      <c r="C2" s="1950"/>
      <c r="D2" s="1950"/>
      <c r="E2" s="1950"/>
      <c r="F2" s="1950"/>
      <c r="G2" s="1950"/>
      <c r="H2" s="1950"/>
      <c r="I2" s="1951"/>
      <c r="J2" s="154"/>
      <c r="K2" s="1963"/>
      <c r="L2" s="1950"/>
      <c r="M2" s="1950"/>
      <c r="N2" s="1950"/>
      <c r="O2" s="1950"/>
      <c r="P2" s="1950"/>
      <c r="Q2" s="1950"/>
      <c r="R2" s="1950"/>
      <c r="S2" s="1950"/>
      <c r="T2" s="1950"/>
      <c r="U2" s="1950"/>
      <c r="V2" s="1950"/>
      <c r="W2" s="1950"/>
      <c r="X2" s="1950"/>
      <c r="Y2" s="1950"/>
      <c r="Z2" s="1950"/>
      <c r="AA2" s="1950"/>
      <c r="AB2" s="1950"/>
      <c r="AC2" s="1950"/>
      <c r="AD2" s="1950"/>
      <c r="AE2" s="1950"/>
      <c r="AF2" s="1950"/>
      <c r="AG2" s="1950"/>
      <c r="AH2" s="1950"/>
      <c r="AI2" s="1950"/>
      <c r="AJ2" s="1951"/>
      <c r="AK2" s="1963"/>
      <c r="AL2" s="1950"/>
      <c r="AM2" s="1950"/>
      <c r="AN2" s="1950"/>
      <c r="AO2" s="1950"/>
      <c r="AP2" s="1950"/>
      <c r="AQ2" s="1950"/>
      <c r="AR2" s="1950"/>
      <c r="AS2" s="1950"/>
      <c r="AT2" s="1964"/>
      <c r="AU2" s="153"/>
    </row>
    <row r="3" spans="2:69" s="152" customFormat="1" ht="16.899999999999999" customHeight="1" x14ac:dyDescent="0.25">
      <c r="B3" s="155"/>
      <c r="C3" s="146">
        <f>'R-Entrada'!E14</f>
        <v>73.8</v>
      </c>
      <c r="D3" s="156"/>
      <c r="E3" s="1949" t="s">
        <v>199</v>
      </c>
      <c r="F3" s="1950"/>
      <c r="G3" s="1950"/>
      <c r="H3" s="1951"/>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1949" t="s">
        <v>200</v>
      </c>
      <c r="F5" s="1950"/>
      <c r="G5" s="1950"/>
      <c r="H5" s="1951"/>
      <c r="I5" s="154"/>
      <c r="J5" s="154"/>
      <c r="K5" s="154"/>
      <c r="L5" s="154"/>
      <c r="M5" s="154"/>
      <c r="N5" s="154"/>
      <c r="O5" s="154"/>
      <c r="P5" s="154"/>
      <c r="Q5" s="154"/>
      <c r="R5" s="154"/>
      <c r="S5" s="154"/>
      <c r="T5" s="154"/>
      <c r="U5" s="154"/>
      <c r="V5" s="154"/>
      <c r="W5" s="154"/>
      <c r="X5" s="154"/>
      <c r="Y5" s="154"/>
      <c r="Z5" s="154"/>
      <c r="AA5" s="154"/>
      <c r="AB5" s="1969" t="s">
        <v>424</v>
      </c>
      <c r="AC5" s="1911"/>
      <c r="AD5" s="1911"/>
      <c r="AE5" s="1911"/>
      <c r="AF5" s="1911"/>
      <c r="AG5" s="1911"/>
      <c r="AH5" s="1911"/>
      <c r="AI5" s="1911"/>
      <c r="AJ5" s="1911"/>
      <c r="AK5" s="1911"/>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1949" t="s">
        <v>58</v>
      </c>
      <c r="F7" s="1950"/>
      <c r="G7" s="1950"/>
      <c r="H7" s="1951"/>
      <c r="I7" s="154"/>
      <c r="J7" s="154"/>
      <c r="K7" s="154"/>
      <c r="L7" s="154"/>
      <c r="M7" s="154"/>
      <c r="N7" s="154"/>
      <c r="O7" s="154"/>
      <c r="P7" s="154"/>
      <c r="Q7" s="154"/>
      <c r="R7" s="154"/>
      <c r="S7" s="154"/>
      <c r="T7" s="154"/>
      <c r="U7" s="154"/>
      <c r="V7" s="154"/>
      <c r="W7" s="154"/>
      <c r="X7" s="154"/>
      <c r="Y7" s="154"/>
      <c r="Z7" s="154"/>
      <c r="AA7" s="154"/>
      <c r="AB7" s="1970" t="str">
        <f>Apresentação!I2</f>
        <v>RC-RSU V.1.0 - 15/10/2020</v>
      </c>
      <c r="AC7" s="1971"/>
      <c r="AD7" s="1971"/>
      <c r="AE7" s="1971"/>
      <c r="AF7" s="1971"/>
      <c r="AG7" s="1971"/>
      <c r="AH7" s="1971"/>
      <c r="AI7" s="1971"/>
      <c r="AJ7" s="1971"/>
      <c r="AK7" s="1971"/>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73.8</v>
      </c>
      <c r="D9" s="154"/>
      <c r="E9" s="1949" t="s">
        <v>201</v>
      </c>
      <c r="F9" s="1950"/>
      <c r="G9" s="1950"/>
      <c r="H9" s="1951"/>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73.8</v>
      </c>
      <c r="D11" s="154"/>
      <c r="E11" s="1961" t="s">
        <v>745</v>
      </c>
      <c r="F11" s="1962"/>
      <c r="G11" s="1962"/>
      <c r="H11" s="1962"/>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1954" t="s">
        <v>202</v>
      </c>
      <c r="AP11" s="147"/>
      <c r="AQ11" s="1954" t="s">
        <v>203</v>
      </c>
      <c r="AR11" s="147"/>
      <c r="AS11" s="1954"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1957"/>
      <c r="AP12" s="147"/>
      <c r="AQ12" s="1955"/>
      <c r="AR12" s="147"/>
      <c r="AS12" s="1955"/>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1958"/>
      <c r="AP13" s="147"/>
      <c r="AQ13" s="1956"/>
      <c r="AR13" s="147"/>
      <c r="AS13" s="1956"/>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1952" t="s">
        <v>742</v>
      </c>
      <c r="J15" s="1950"/>
      <c r="K15" s="1950"/>
      <c r="L15" s="1950"/>
      <c r="M15" s="1950"/>
      <c r="N15" s="1950"/>
      <c r="O15" s="1951"/>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1952" t="s">
        <v>743</v>
      </c>
      <c r="M19" s="1950"/>
      <c r="N19" s="1950"/>
      <c r="O19" s="1950"/>
      <c r="P19" s="1950"/>
      <c r="Q19" s="1950"/>
      <c r="R19" s="1951"/>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9.2249999999999979</v>
      </c>
      <c r="G23" s="154"/>
      <c r="H23" s="154"/>
      <c r="I23" s="154"/>
      <c r="J23" s="154"/>
      <c r="K23" s="154"/>
      <c r="L23" s="154"/>
      <c r="M23" s="154"/>
      <c r="N23" s="154"/>
      <c r="O23" s="154"/>
      <c r="P23" s="154"/>
      <c r="Q23" s="1952" t="s">
        <v>746</v>
      </c>
      <c r="R23" s="1950"/>
      <c r="S23" s="1950"/>
      <c r="T23" s="1950"/>
      <c r="U23" s="1950"/>
      <c r="V23" s="1950"/>
      <c r="W23" s="1951"/>
      <c r="X23" s="154"/>
      <c r="Y23" s="154"/>
      <c r="Z23" s="154"/>
      <c r="AA23" s="154"/>
      <c r="AB23" s="154"/>
      <c r="AC23" s="154"/>
      <c r="AD23" s="154"/>
      <c r="AE23" s="154"/>
      <c r="AF23" s="154"/>
      <c r="AG23" s="154"/>
      <c r="AH23" s="154"/>
      <c r="AI23" s="154"/>
      <c r="AJ23" s="154"/>
      <c r="AK23" s="154"/>
      <c r="AL23" s="154"/>
      <c r="AM23" s="154"/>
      <c r="AN23" s="147"/>
      <c r="AO23" s="146">
        <f>'R-Resumo Bal. Massa'!G64</f>
        <v>0.73569374999999992</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1953">
        <f>F15+F19+F23-AO15-AO19-AO23-AS17-AS21-AS25-S25</f>
        <v>4.4589037499999993</v>
      </c>
      <c r="K25" s="1947"/>
      <c r="L25" s="1947"/>
      <c r="M25" s="1948"/>
      <c r="N25" s="154"/>
      <c r="O25" s="154"/>
      <c r="P25" s="154"/>
      <c r="Q25" s="154"/>
      <c r="R25" s="154"/>
      <c r="S25" s="1946">
        <f>IF('R-Definição'!I29&lt;&gt;"Aterro sanitário",'R-Resumo Bal. Massa'!F22,0)</f>
        <v>4.0304024999999992</v>
      </c>
      <c r="T25" s="1948"/>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0</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0</v>
      </c>
      <c r="O27" s="154"/>
      <c r="P27" s="154"/>
      <c r="Q27" s="154"/>
      <c r="R27" s="154"/>
      <c r="S27" s="154"/>
      <c r="T27" s="154"/>
      <c r="U27" s="154"/>
      <c r="V27" s="1946">
        <f>'R-Resumo Bal. Massa'!B25</f>
        <v>0</v>
      </c>
      <c r="W27" s="1948"/>
      <c r="X27" s="154"/>
      <c r="Y27" s="1975" t="s">
        <v>99</v>
      </c>
      <c r="Z27" s="1950"/>
      <c r="AA27" s="1950"/>
      <c r="AB27" s="1951"/>
      <c r="AC27" s="154"/>
      <c r="AD27" s="154"/>
      <c r="AE27" s="154"/>
      <c r="AF27" s="154"/>
      <c r="AG27" s="154"/>
      <c r="AH27" s="154"/>
      <c r="AI27" s="154"/>
      <c r="AJ27" s="154"/>
      <c r="AK27" s="154"/>
      <c r="AL27" s="154"/>
      <c r="AM27" s="154"/>
      <c r="AN27" s="147"/>
      <c r="AO27" s="146">
        <f>'R-Resumo Bal. Massa'!E29</f>
        <v>0</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1946">
        <f>'R-Definição'!E59</f>
        <v>0</v>
      </c>
      <c r="T29" s="1948"/>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0</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1946">
        <f>SUM('R-Resumo Bal. Massa'!D40:D42)</f>
        <v>4.4589037499999993</v>
      </c>
      <c r="K31" s="1947"/>
      <c r="L31" s="1947"/>
      <c r="M31" s="1948"/>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0</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1946">
        <f>'R-Resumo Bal. Massa'!D36</f>
        <v>0</v>
      </c>
      <c r="T33" s="1948"/>
      <c r="U33" s="154"/>
      <c r="V33" s="154"/>
      <c r="W33" s="154"/>
      <c r="X33" s="154"/>
      <c r="Y33" s="1946">
        <f>'R-Definição'!E60*'R-Definição'!J59/100</f>
        <v>0</v>
      </c>
      <c r="Z33" s="1948"/>
      <c r="AA33" s="154"/>
      <c r="AB33" s="1978" t="s">
        <v>114</v>
      </c>
      <c r="AC33" s="1979"/>
      <c r="AD33" s="1979"/>
      <c r="AE33" s="1979"/>
      <c r="AF33" s="1980"/>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946">
        <f>'R-Definição'!J68</f>
        <v>0</v>
      </c>
      <c r="AE35" s="1948"/>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1946">
        <f>'R-Resumo Bal. Massa'!D35</f>
        <v>0</v>
      </c>
      <c r="T37" s="1948"/>
      <c r="U37" s="154"/>
      <c r="V37" s="154"/>
      <c r="W37" s="154"/>
      <c r="X37" s="154"/>
      <c r="Y37" s="154"/>
      <c r="Z37" s="154"/>
      <c r="AA37" s="154"/>
      <c r="AB37" s="154"/>
      <c r="AC37" s="154"/>
      <c r="AD37" s="1975" t="s">
        <v>131</v>
      </c>
      <c r="AE37" s="1950"/>
      <c r="AF37" s="1950"/>
      <c r="AG37" s="1951"/>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1946">
        <f>'R-Resumo Bal. Massa'!D43</f>
        <v>4.0304024999999992</v>
      </c>
      <c r="U41" s="1948"/>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64.574999999999989</v>
      </c>
      <c r="G43" s="154"/>
      <c r="H43" s="154"/>
      <c r="I43" s="154"/>
      <c r="J43" s="1946">
        <f>SUM('R-Resumo Bal. Massa'!D39:D42)</f>
        <v>69.033903749999993</v>
      </c>
      <c r="K43" s="1947"/>
      <c r="L43" s="1947"/>
      <c r="M43" s="1948"/>
      <c r="N43" s="154"/>
      <c r="O43" s="154"/>
      <c r="P43" s="154"/>
      <c r="Q43" s="154"/>
      <c r="R43" s="154"/>
      <c r="S43" s="154"/>
      <c r="T43" s="1946">
        <f>'R-Resumo Bal. Massa'!D44</f>
        <v>73.064306249999987</v>
      </c>
      <c r="U43" s="1948"/>
      <c r="V43" s="154"/>
      <c r="W43" s="154"/>
      <c r="X43" s="154"/>
      <c r="Y43" s="154"/>
      <c r="Z43" s="154"/>
      <c r="AA43" s="154"/>
      <c r="AB43" s="154"/>
      <c r="AC43" s="154"/>
      <c r="AD43" s="154"/>
      <c r="AE43" s="154"/>
      <c r="AF43" s="154"/>
      <c r="AG43" s="661"/>
      <c r="AH43" s="1975" t="s">
        <v>204</v>
      </c>
      <c r="AI43" s="1976"/>
      <c r="AJ43" s="1976"/>
      <c r="AK43" s="1977"/>
      <c r="AL43" s="154"/>
      <c r="AM43" s="154"/>
      <c r="AN43" s="147"/>
      <c r="AO43" s="146">
        <f>'R-Resumo Bal. Massa'!E44</f>
        <v>1.6658002390892177</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56.78564476091077</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14.612861249999996</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1944">
        <f>'R-Definição'!E126</f>
        <v>10.229002874999997</v>
      </c>
      <c r="J51" s="1945"/>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2.4014939890892175</v>
      </c>
      <c r="AP51" s="150"/>
      <c r="AQ51" s="840">
        <f>AQ29+AQ33+AQ39+AQ45</f>
        <v>56.78564476091077</v>
      </c>
      <c r="AR51" s="150"/>
      <c r="AS51" s="840">
        <f>'R-Resumo Bal. Massa'!D53</f>
        <v>14.612861249999996</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1944" t="str">
        <f>IF('R-Definição'!O124&gt;0,'R-Definição'!O124,"Não")</f>
        <v>Não</v>
      </c>
      <c r="J53" s="1945"/>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3.3</v>
      </c>
      <c r="AP53" s="151"/>
      <c r="AQ53" s="839">
        <f>IF(C11&lt;&gt;0,ROUND(100-AO53-AS53,1),0)</f>
        <v>76.900000000000006</v>
      </c>
      <c r="AR53" s="151"/>
      <c r="AS53" s="839">
        <f>IF(C11&lt;&gt;0,ROUND(AS51/(AO51+AQ51+AS51)*100,1),0)</f>
        <v>19.8</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1984"/>
      <c r="K4" s="1877"/>
      <c r="L4" s="2"/>
      <c r="M4" s="2"/>
      <c r="N4" s="2"/>
      <c r="O4" s="2"/>
      <c r="P4" s="2"/>
      <c r="Q4" s="2"/>
      <c r="R4" s="2"/>
      <c r="S4" s="2"/>
      <c r="T4" s="2"/>
    </row>
    <row r="5" spans="1:20" ht="25.9" customHeight="1" x14ac:dyDescent="0.25">
      <c r="A5" s="2"/>
      <c r="B5" s="92"/>
      <c r="C5" s="190" t="s">
        <v>494</v>
      </c>
      <c r="D5" s="92"/>
      <c r="E5" s="92"/>
      <c r="F5" s="92"/>
      <c r="G5" s="92"/>
      <c r="H5" s="92"/>
      <c r="I5" s="2"/>
      <c r="J5" s="1986" t="s">
        <v>424</v>
      </c>
      <c r="K5" s="1911"/>
      <c r="L5" s="1911"/>
      <c r="M5" s="2"/>
      <c r="N5" s="2"/>
      <c r="O5" s="2"/>
      <c r="P5" s="2"/>
      <c r="Q5" s="2"/>
      <c r="R5" s="2"/>
      <c r="S5" s="2"/>
      <c r="T5" s="2"/>
    </row>
    <row r="6" spans="1:20" ht="18" customHeight="1" x14ac:dyDescent="0.25">
      <c r="A6" s="2"/>
      <c r="B6" s="60"/>
      <c r="C6" s="60"/>
      <c r="D6" s="60"/>
      <c r="E6" s="60"/>
      <c r="F6" s="60"/>
      <c r="G6" s="60"/>
      <c r="H6" s="60"/>
      <c r="I6" s="2"/>
      <c r="J6" s="1868" t="str">
        <f>Apresentação!I2</f>
        <v>RC-RSU V.1.0 - 15/10/2020</v>
      </c>
      <c r="K6" s="1985"/>
      <c r="L6" s="1985"/>
      <c r="M6" s="2"/>
      <c r="N6" s="2"/>
      <c r="O6" s="2"/>
      <c r="P6" s="2"/>
      <c r="Q6" s="2"/>
      <c r="R6" s="2"/>
      <c r="S6" s="2"/>
      <c r="T6" s="2"/>
    </row>
    <row r="7" spans="1:20" ht="18" customHeight="1" x14ac:dyDescent="0.25">
      <c r="A7" s="2"/>
      <c r="B7" s="1869" t="s">
        <v>495</v>
      </c>
      <c r="C7" s="1907"/>
      <c r="D7" s="1907"/>
      <c r="E7" s="1907"/>
      <c r="F7" s="1907"/>
      <c r="G7" s="1907"/>
      <c r="H7" s="1907"/>
      <c r="I7" s="2"/>
      <c r="J7" s="662"/>
      <c r="K7" s="662"/>
      <c r="L7" s="662"/>
      <c r="M7" s="2"/>
      <c r="N7" s="2"/>
      <c r="O7" s="2"/>
      <c r="P7" s="2"/>
      <c r="Q7" s="2"/>
      <c r="R7" s="2"/>
      <c r="S7" s="2"/>
      <c r="T7" s="2"/>
    </row>
    <row r="8" spans="1:20" ht="18" customHeight="1" x14ac:dyDescent="0.25">
      <c r="A8" s="2"/>
      <c r="B8" s="1884" t="s">
        <v>209</v>
      </c>
      <c r="C8" s="1884" t="s">
        <v>210</v>
      </c>
      <c r="D8" s="1869" t="s">
        <v>211</v>
      </c>
      <c r="E8" s="1884" t="s">
        <v>212</v>
      </c>
      <c r="F8" s="1870"/>
      <c r="G8" s="1870"/>
      <c r="H8" s="1870"/>
      <c r="I8" s="2"/>
      <c r="J8" s="2"/>
      <c r="K8" s="2"/>
      <c r="L8" s="2"/>
      <c r="M8" s="2"/>
      <c r="N8" s="2"/>
      <c r="O8" s="2"/>
      <c r="P8" s="13"/>
      <c r="Q8" s="2"/>
      <c r="R8" s="2"/>
      <c r="S8" s="2"/>
      <c r="T8" s="2"/>
    </row>
    <row r="9" spans="1:20" ht="18" customHeight="1" x14ac:dyDescent="0.25">
      <c r="A9" s="6"/>
      <c r="B9" s="1870"/>
      <c r="C9" s="1870"/>
      <c r="D9" s="1870"/>
      <c r="E9" s="1884" t="s">
        <v>213</v>
      </c>
      <c r="F9" s="1999" t="s">
        <v>25</v>
      </c>
      <c r="G9" s="1869" t="s">
        <v>214</v>
      </c>
      <c r="H9" s="1884" t="s">
        <v>215</v>
      </c>
      <c r="I9" s="6"/>
      <c r="J9" s="6"/>
      <c r="K9" s="6"/>
      <c r="L9" s="6"/>
      <c r="M9" s="6"/>
      <c r="N9" s="6"/>
      <c r="O9" s="6"/>
      <c r="P9" s="2"/>
      <c r="Q9" s="2"/>
      <c r="R9" s="6"/>
      <c r="S9" s="2"/>
      <c r="T9" s="2"/>
    </row>
    <row r="10" spans="1:20" ht="18" customHeight="1" x14ac:dyDescent="0.25">
      <c r="A10" s="6"/>
      <c r="B10" s="1870"/>
      <c r="C10" s="1870"/>
      <c r="D10" s="1870"/>
      <c r="E10" s="1870"/>
      <c r="F10" s="1870"/>
      <c r="G10" s="1870"/>
      <c r="H10" s="1870"/>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73.799999999999983</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73.799999999999983</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9.2249999999999979</v>
      </c>
      <c r="C21" s="447" t="s">
        <v>699</v>
      </c>
      <c r="D21" s="207">
        <f>IF('R-Definição'!$I$24="Sim",'R-Definição'!$I$27,0)</f>
        <v>9.2249999999999979</v>
      </c>
      <c r="E21" s="207">
        <f>'R-Definição'!O30</f>
        <v>0.73569374999999992</v>
      </c>
      <c r="F21" s="207">
        <f>'R-Definição'!L32</f>
        <v>4.0304024999999992</v>
      </c>
      <c r="G21" s="207">
        <f>SUM('R-Definição'!O34:'R-Definição'!O35)</f>
        <v>4.4589037499999993</v>
      </c>
      <c r="H21" s="20"/>
      <c r="I21" s="2"/>
      <c r="J21" s="2"/>
      <c r="K21" s="2"/>
      <c r="L21" s="2"/>
      <c r="M21" s="6"/>
      <c r="N21" s="6"/>
      <c r="O21" s="6"/>
      <c r="P21" s="6"/>
      <c r="Q21" s="6"/>
      <c r="R21" s="2"/>
      <c r="S21" s="2"/>
      <c r="T21" s="2"/>
    </row>
    <row r="22" spans="1:20" ht="18" customHeight="1" x14ac:dyDescent="0.25">
      <c r="A22" s="2"/>
      <c r="B22" s="672"/>
      <c r="C22" s="673" t="s">
        <v>217</v>
      </c>
      <c r="D22" s="668">
        <f>SUM(D19:D21)</f>
        <v>9.2249999999999979</v>
      </c>
      <c r="E22" s="208">
        <f>SUM(E19:E21)</f>
        <v>0.73569374999999992</v>
      </c>
      <c r="F22" s="208">
        <f>SUM(F19:F21)</f>
        <v>4.0304024999999992</v>
      </c>
      <c r="G22" s="208">
        <f>SUM(G19:G21)</f>
        <v>4.4589037499999993</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1987">
        <f>D29</f>
        <v>0</v>
      </c>
      <c r="C25" s="217" t="s">
        <v>681</v>
      </c>
      <c r="D25" s="207">
        <f>'R-Definição'!E49</f>
        <v>0</v>
      </c>
      <c r="E25" s="1989">
        <f>'R-Definição'!O49+'R-Definição'!O50</f>
        <v>0</v>
      </c>
      <c r="F25" s="1991"/>
      <c r="G25" s="1989">
        <f>'R-Definição'!O53</f>
        <v>0</v>
      </c>
      <c r="H25" s="1989">
        <f>'R-Definição'!O55</f>
        <v>0</v>
      </c>
      <c r="I25" s="2"/>
      <c r="J25" s="2"/>
      <c r="K25" s="2"/>
      <c r="L25" s="2"/>
      <c r="M25" s="2"/>
      <c r="N25" s="2"/>
      <c r="O25" s="2"/>
      <c r="P25" s="2"/>
      <c r="Q25" s="2"/>
      <c r="R25" s="2"/>
      <c r="S25" s="2"/>
      <c r="T25" s="2"/>
    </row>
    <row r="26" spans="1:20" ht="18" customHeight="1" x14ac:dyDescent="0.25">
      <c r="A26" s="2"/>
      <c r="B26" s="1988"/>
      <c r="C26" s="217" t="s">
        <v>682</v>
      </c>
      <c r="D26" s="207">
        <f>'R-Definição'!E50</f>
        <v>0</v>
      </c>
      <c r="E26" s="1990"/>
      <c r="F26" s="1990"/>
      <c r="G26" s="1990"/>
      <c r="H26" s="1990"/>
      <c r="I26" s="2"/>
      <c r="J26" s="2"/>
      <c r="K26" s="2"/>
      <c r="L26" s="2"/>
      <c r="M26" s="2"/>
      <c r="N26" s="2"/>
      <c r="O26" s="2"/>
      <c r="P26" s="2"/>
      <c r="Q26" s="2"/>
      <c r="R26" s="2"/>
      <c r="S26" s="2"/>
      <c r="T26" s="2"/>
    </row>
    <row r="27" spans="1:20" ht="18" customHeight="1" x14ac:dyDescent="0.25">
      <c r="A27" s="2"/>
      <c r="B27" s="1988"/>
      <c r="C27" s="217" t="s">
        <v>496</v>
      </c>
      <c r="D27" s="207">
        <f>'R-Definição'!E51</f>
        <v>0</v>
      </c>
      <c r="E27" s="1990"/>
      <c r="F27" s="1990"/>
      <c r="G27" s="1990"/>
      <c r="H27" s="1990"/>
      <c r="I27" s="2"/>
      <c r="J27" s="2"/>
      <c r="K27" s="2"/>
      <c r="L27" s="2"/>
      <c r="M27" s="2"/>
      <c r="N27" s="2"/>
      <c r="O27" s="2"/>
      <c r="P27" s="2"/>
      <c r="Q27" s="2"/>
      <c r="R27" s="2"/>
      <c r="S27" s="2"/>
      <c r="T27" s="2"/>
    </row>
    <row r="28" spans="1:20" ht="18" customHeight="1" x14ac:dyDescent="0.25">
      <c r="A28" s="2"/>
      <c r="B28" s="1988"/>
      <c r="C28" s="217" t="s">
        <v>497</v>
      </c>
      <c r="D28" s="207">
        <f>'R-Definição'!E52</f>
        <v>0</v>
      </c>
      <c r="E28" s="1990"/>
      <c r="F28" s="1990"/>
      <c r="G28" s="1990"/>
      <c r="H28" s="1990"/>
      <c r="I28" s="2"/>
      <c r="J28" s="2"/>
      <c r="K28" s="2"/>
      <c r="L28" s="2"/>
      <c r="M28" s="2"/>
      <c r="N28" s="2"/>
      <c r="O28" s="2"/>
      <c r="P28" s="2"/>
      <c r="Q28" s="2"/>
      <c r="R28" s="2"/>
      <c r="S28" s="2"/>
      <c r="T28" s="2"/>
    </row>
    <row r="29" spans="1:20" ht="18" customHeight="1" x14ac:dyDescent="0.25">
      <c r="A29" s="2"/>
      <c r="B29" s="206"/>
      <c r="C29" s="673" t="s">
        <v>217</v>
      </c>
      <c r="D29" s="668">
        <f>SUM(D25:D28)</f>
        <v>0</v>
      </c>
      <c r="E29" s="208">
        <f>E25</f>
        <v>0</v>
      </c>
      <c r="F29" s="208"/>
      <c r="G29" s="208">
        <f>SUM(G25)</f>
        <v>0</v>
      </c>
      <c r="H29" s="208">
        <f>SUM(H25:H28)</f>
        <v>0</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2000">
        <f>'R-Definição'!O67+'R-Definição'!O68</f>
        <v>0</v>
      </c>
      <c r="G34" s="1989">
        <f>'R-Definição'!O73</f>
        <v>0</v>
      </c>
      <c r="H34" s="1989">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1993"/>
      <c r="G35" s="1993"/>
      <c r="H35" s="1993"/>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1987">
        <f>'R-Definição'!E112</f>
        <v>73.064306249999987</v>
      </c>
      <c r="C39" s="447" t="s">
        <v>221</v>
      </c>
      <c r="D39" s="207">
        <f>'R-Definição'!E107</f>
        <v>64.574999999999989</v>
      </c>
      <c r="E39" s="1992">
        <f>'R-Definição'!O107+'R-Definição'!O108+'R-Definição'!O109</f>
        <v>1.6658002390892177</v>
      </c>
      <c r="F39" s="1991"/>
      <c r="G39" s="1992">
        <f>'R-Definição'!O110</f>
        <v>14.612861249999996</v>
      </c>
      <c r="H39" s="1992">
        <f>'R-Definição'!O113</f>
        <v>56.78564476091077</v>
      </c>
      <c r="I39" s="2"/>
      <c r="J39" s="2"/>
      <c r="K39" s="2"/>
      <c r="L39" s="2"/>
      <c r="M39" s="2"/>
      <c r="N39" s="2"/>
      <c r="O39" s="2"/>
      <c r="P39" s="2"/>
      <c r="Q39" s="2"/>
      <c r="R39" s="2"/>
      <c r="S39" s="2"/>
      <c r="T39" s="2"/>
    </row>
    <row r="40" spans="1:20" ht="18" customHeight="1" x14ac:dyDescent="0.25">
      <c r="A40" s="2"/>
      <c r="B40" s="1918"/>
      <c r="C40" s="447" t="s">
        <v>700</v>
      </c>
      <c r="D40" s="207">
        <f>'R-Definição'!E108</f>
        <v>0</v>
      </c>
      <c r="E40" s="1993"/>
      <c r="F40" s="1993"/>
      <c r="G40" s="1993"/>
      <c r="H40" s="1993"/>
      <c r="I40" s="2"/>
      <c r="J40" s="2"/>
      <c r="K40" s="2"/>
      <c r="L40" s="2"/>
      <c r="M40" s="2"/>
      <c r="N40" s="2"/>
      <c r="O40" s="2"/>
      <c r="P40" s="2"/>
      <c r="Q40" s="2"/>
      <c r="R40" s="2"/>
      <c r="S40" s="2"/>
      <c r="T40" s="2"/>
    </row>
    <row r="41" spans="1:20" ht="18" customHeight="1" x14ac:dyDescent="0.25">
      <c r="A41" s="2"/>
      <c r="B41" s="1918"/>
      <c r="C41" s="447" t="s">
        <v>683</v>
      </c>
      <c r="D41" s="207">
        <f>'R-Definição'!E109</f>
        <v>0</v>
      </c>
      <c r="E41" s="1993"/>
      <c r="F41" s="1993"/>
      <c r="G41" s="1993"/>
      <c r="H41" s="1993"/>
      <c r="I41" s="2"/>
      <c r="J41" s="2"/>
      <c r="K41" s="2"/>
      <c r="L41" s="2"/>
      <c r="M41" s="2"/>
      <c r="N41" s="2"/>
      <c r="O41" s="2"/>
      <c r="P41" s="2"/>
      <c r="Q41" s="2"/>
      <c r="R41" s="2"/>
      <c r="S41" s="2"/>
      <c r="T41" s="2"/>
    </row>
    <row r="42" spans="1:20" ht="18" customHeight="1" x14ac:dyDescent="0.25">
      <c r="A42" s="2"/>
      <c r="B42" s="1918"/>
      <c r="C42" s="220" t="s">
        <v>729</v>
      </c>
      <c r="D42" s="207">
        <f>'R-Definição'!E110</f>
        <v>4.4589037499999993</v>
      </c>
      <c r="E42" s="1993"/>
      <c r="F42" s="1993"/>
      <c r="G42" s="1993"/>
      <c r="H42" s="1993"/>
      <c r="I42" s="2"/>
      <c r="J42" s="2"/>
      <c r="K42" s="2"/>
      <c r="L42" s="2"/>
      <c r="M42" s="2"/>
      <c r="N42" s="2"/>
      <c r="O42" s="2"/>
      <c r="P42" s="2"/>
      <c r="Q42" s="2"/>
      <c r="R42" s="2"/>
      <c r="S42" s="2"/>
      <c r="T42" s="2"/>
    </row>
    <row r="43" spans="1:20" ht="18" customHeight="1" x14ac:dyDescent="0.25">
      <c r="A43" s="2"/>
      <c r="C43" s="683" t="s">
        <v>896</v>
      </c>
      <c r="D43" s="207">
        <f>'R-Definição'!E111</f>
        <v>4.0304024999999992</v>
      </c>
      <c r="I43" s="2"/>
      <c r="J43" s="2"/>
      <c r="K43" s="2"/>
      <c r="L43" s="2"/>
      <c r="M43" s="2"/>
      <c r="N43" s="2"/>
      <c r="O43" s="2"/>
      <c r="P43" s="2"/>
      <c r="Q43" s="2"/>
      <c r="R43" s="2"/>
      <c r="S43" s="2"/>
      <c r="T43" s="2"/>
    </row>
    <row r="44" spans="1:20" ht="18" customHeight="1" x14ac:dyDescent="0.25">
      <c r="A44" s="2"/>
      <c r="B44" s="196"/>
      <c r="C44" s="674" t="s">
        <v>217</v>
      </c>
      <c r="D44" s="796">
        <f>SUM(D39:D43)</f>
        <v>73.064306249999987</v>
      </c>
      <c r="E44" s="677">
        <f>E39</f>
        <v>1.6658002390892177</v>
      </c>
      <c r="F44" s="678"/>
      <c r="G44" s="677">
        <f>SUM(G38:G42)</f>
        <v>14.612861249999996</v>
      </c>
      <c r="H44" s="677">
        <f>SUM(H38:H42)</f>
        <v>56.78564476091077</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1981">
        <f>'R-Definição'!E119</f>
        <v>14.612861249999996</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1982"/>
      <c r="C48" s="447" t="s">
        <v>498</v>
      </c>
      <c r="D48" s="207">
        <f>'R-Definição'!N96</f>
        <v>0</v>
      </c>
      <c r="E48" s="5"/>
      <c r="F48" s="667"/>
      <c r="G48" s="205" t="s">
        <v>224</v>
      </c>
      <c r="H48" s="205" t="s">
        <v>22</v>
      </c>
      <c r="I48" s="2"/>
      <c r="J48" s="2"/>
      <c r="K48" s="2"/>
      <c r="L48" s="2"/>
      <c r="M48" s="2"/>
      <c r="N48" s="2"/>
      <c r="O48" s="2"/>
      <c r="P48" s="2"/>
      <c r="Q48" s="2"/>
      <c r="R48" s="2"/>
      <c r="S48" s="2"/>
      <c r="T48" s="2"/>
    </row>
    <row r="49" spans="1:20" ht="18" customHeight="1" x14ac:dyDescent="0.25">
      <c r="A49" s="2"/>
      <c r="B49" s="1982"/>
      <c r="C49" s="447" t="s">
        <v>499</v>
      </c>
      <c r="D49" s="207">
        <f>'R-Definição'!N98+'R-Definição'!N99+'R-Definição'!N97</f>
        <v>0</v>
      </c>
      <c r="E49" s="4"/>
      <c r="F49" s="217" t="s">
        <v>225</v>
      </c>
      <c r="G49" s="207">
        <f>D53</f>
        <v>14.612861249999996</v>
      </c>
      <c r="H49" s="706">
        <f>IF($G$52&lt;&gt;0,G49/$G$52*100,0)</f>
        <v>19.800625</v>
      </c>
      <c r="I49" s="19"/>
      <c r="J49" s="2"/>
      <c r="K49" s="2"/>
      <c r="L49" s="2"/>
      <c r="M49" s="2"/>
      <c r="N49" s="2"/>
      <c r="O49" s="2"/>
      <c r="P49" s="2"/>
      <c r="Q49" s="2"/>
      <c r="R49" s="2"/>
      <c r="S49" s="2"/>
      <c r="T49" s="2"/>
    </row>
    <row r="50" spans="1:20" ht="18" customHeight="1" x14ac:dyDescent="0.25">
      <c r="A50" s="2"/>
      <c r="B50" s="1982"/>
      <c r="C50" s="447" t="s">
        <v>500</v>
      </c>
      <c r="D50" s="207">
        <f>'R-Definição'!O53</f>
        <v>0</v>
      </c>
      <c r="E50" s="4"/>
      <c r="F50" s="217" t="s">
        <v>503</v>
      </c>
      <c r="G50" s="706">
        <f>E44+F36+E29+E22</f>
        <v>2.4014939890892175</v>
      </c>
      <c r="H50" s="706">
        <f>IF($G$52&lt;&gt;0,G50/$G$52*100,0)</f>
        <v>3.2540568957848479</v>
      </c>
      <c r="I50" s="21"/>
      <c r="J50" s="2"/>
      <c r="K50" s="2"/>
      <c r="L50" s="2"/>
      <c r="M50" s="2"/>
      <c r="N50" s="2"/>
      <c r="O50" s="2"/>
      <c r="P50" s="2"/>
      <c r="Q50" s="2"/>
      <c r="R50" s="2"/>
      <c r="S50" s="2"/>
      <c r="T50" s="2"/>
    </row>
    <row r="51" spans="1:20" ht="18" customHeight="1" x14ac:dyDescent="0.25">
      <c r="A51" s="2"/>
      <c r="B51" s="1982"/>
      <c r="C51" s="447" t="s">
        <v>501</v>
      </c>
      <c r="D51" s="207">
        <f>'R-Definição'!O73</f>
        <v>0</v>
      </c>
      <c r="E51" s="2"/>
      <c r="F51" s="217" t="s">
        <v>226</v>
      </c>
      <c r="G51" s="706">
        <f>H29+H36+H44</f>
        <v>56.78564476091077</v>
      </c>
      <c r="H51" s="706">
        <f>IF($G$52&lt;&gt;0,G51/$G$52*100,0)</f>
        <v>76.945318104215161</v>
      </c>
      <c r="I51" s="2"/>
      <c r="J51" s="2"/>
      <c r="K51" s="2"/>
      <c r="L51" s="2"/>
      <c r="M51" s="2"/>
      <c r="N51" s="2"/>
      <c r="O51" s="2"/>
      <c r="P51" s="2"/>
      <c r="Q51" s="2"/>
      <c r="R51" s="2"/>
      <c r="S51" s="2"/>
      <c r="T51" s="2"/>
    </row>
    <row r="52" spans="1:20" ht="18" customHeight="1" x14ac:dyDescent="0.25">
      <c r="A52" s="2"/>
      <c r="B52" s="1983"/>
      <c r="C52" s="447" t="s">
        <v>502</v>
      </c>
      <c r="D52" s="207">
        <f>'R-Definição'!O110</f>
        <v>14.612861249999996</v>
      </c>
      <c r="E52" s="2"/>
      <c r="F52" s="679" t="s">
        <v>52</v>
      </c>
      <c r="G52" s="208">
        <f>SUM(G49:G51)</f>
        <v>73.799999999999983</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14.612861249999996</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1869" t="s">
        <v>150</v>
      </c>
      <c r="C55" s="1907"/>
      <c r="D55" s="1869" t="s">
        <v>228</v>
      </c>
      <c r="E55" s="1927"/>
      <c r="F55" s="1927"/>
      <c r="G55" s="1927"/>
      <c r="H55" s="1927"/>
      <c r="I55" s="1927"/>
      <c r="J55" s="1927"/>
      <c r="K55" s="1927"/>
      <c r="L55" s="2"/>
      <c r="M55" s="2"/>
      <c r="N55" s="2"/>
      <c r="O55" s="2"/>
      <c r="P55" s="2"/>
      <c r="Q55" s="2"/>
      <c r="R55" s="2"/>
      <c r="S55" s="2"/>
      <c r="T55" s="2"/>
    </row>
    <row r="56" spans="1:20" ht="18" customHeight="1" x14ac:dyDescent="0.25">
      <c r="A56" s="2"/>
      <c r="B56" s="1907"/>
      <c r="C56" s="1907"/>
      <c r="D56" s="1996" t="s">
        <v>52</v>
      </c>
      <c r="E56" s="1996" t="s">
        <v>184</v>
      </c>
      <c r="F56" s="1997"/>
      <c r="G56" s="1997"/>
      <c r="H56" s="1998" t="s">
        <v>61</v>
      </c>
      <c r="I56" s="1998" t="s">
        <v>187</v>
      </c>
      <c r="J56" s="1998" t="s">
        <v>63</v>
      </c>
      <c r="K56" s="1998" t="s">
        <v>64</v>
      </c>
      <c r="L56" s="2"/>
      <c r="M56" s="2"/>
      <c r="N56" s="2"/>
      <c r="O56" s="2"/>
      <c r="P56" s="2"/>
      <c r="Q56" s="2"/>
      <c r="R56" s="2"/>
      <c r="S56" s="2"/>
      <c r="T56" s="2"/>
    </row>
    <row r="57" spans="1:20" ht="18" customHeight="1" x14ac:dyDescent="0.25">
      <c r="A57" s="2"/>
      <c r="B57" s="1995" t="s">
        <v>28</v>
      </c>
      <c r="C57" s="454" t="s">
        <v>21</v>
      </c>
      <c r="D57" s="1997"/>
      <c r="E57" s="454" t="s">
        <v>79</v>
      </c>
      <c r="F57" s="454" t="s">
        <v>86</v>
      </c>
      <c r="G57" s="454" t="s">
        <v>72</v>
      </c>
      <c r="H57" s="1997"/>
      <c r="I57" s="1997"/>
      <c r="J57" s="1997"/>
      <c r="K57" s="1997"/>
      <c r="L57" s="2"/>
      <c r="M57" s="2"/>
      <c r="N57" s="2"/>
      <c r="O57" s="2"/>
      <c r="P57" s="2"/>
      <c r="Q57" s="2"/>
      <c r="R57" s="2"/>
      <c r="S57" s="2"/>
      <c r="T57" s="2"/>
    </row>
    <row r="58" spans="1:20" ht="18" customHeight="1" x14ac:dyDescent="0.25">
      <c r="A58" s="2"/>
      <c r="B58" s="1995"/>
      <c r="C58" s="217" t="s">
        <v>73</v>
      </c>
      <c r="D58" s="207">
        <f t="shared" ref="D58:D64" si="0">SUM(E58:K58)</f>
        <v>0.30211874999999999</v>
      </c>
      <c r="E58" s="207">
        <f>'R-Definição'!M24</f>
        <v>0</v>
      </c>
      <c r="F58" s="207">
        <f>'R-Definição'!N24</f>
        <v>0</v>
      </c>
      <c r="G58" s="207">
        <f>'R-Definição'!O24</f>
        <v>0.30211874999999999</v>
      </c>
      <c r="H58" s="706"/>
      <c r="I58" s="455"/>
      <c r="J58" s="455"/>
      <c r="K58" s="455"/>
      <c r="L58" s="2"/>
      <c r="M58" s="2"/>
      <c r="N58" s="2"/>
      <c r="O58" s="2"/>
      <c r="P58" s="2"/>
      <c r="Q58" s="2"/>
      <c r="R58" s="2"/>
      <c r="S58" s="2"/>
      <c r="T58" s="2"/>
    </row>
    <row r="59" spans="1:20" ht="18" customHeight="1" x14ac:dyDescent="0.25">
      <c r="A59" s="2"/>
      <c r="B59" s="1995"/>
      <c r="C59" s="217" t="s">
        <v>29</v>
      </c>
      <c r="D59" s="207">
        <f t="shared" si="0"/>
        <v>0.20525625000000003</v>
      </c>
      <c r="E59" s="207">
        <f>'R-Definição'!M25</f>
        <v>0</v>
      </c>
      <c r="F59" s="207">
        <f>'R-Definição'!N25</f>
        <v>0</v>
      </c>
      <c r="G59" s="207">
        <f>'R-Definição'!O25</f>
        <v>0.20525625000000003</v>
      </c>
      <c r="H59" s="707"/>
      <c r="I59" s="708"/>
      <c r="J59" s="708"/>
      <c r="K59" s="708"/>
      <c r="L59" s="2"/>
      <c r="M59" s="2"/>
      <c r="N59" s="2"/>
      <c r="O59" s="2"/>
      <c r="P59" s="2"/>
      <c r="Q59" s="2"/>
      <c r="R59" s="2"/>
      <c r="S59" s="2"/>
      <c r="T59" s="2"/>
    </row>
    <row r="60" spans="1:20" ht="18" customHeight="1" x14ac:dyDescent="0.25">
      <c r="A60" s="2"/>
      <c r="B60" s="1995"/>
      <c r="C60" s="217" t="s">
        <v>77</v>
      </c>
      <c r="D60" s="207">
        <f t="shared" si="0"/>
        <v>0.10608749999999999</v>
      </c>
      <c r="E60" s="207">
        <f>'R-Definição'!M26</f>
        <v>0</v>
      </c>
      <c r="F60" s="207">
        <f>'R-Definição'!N26</f>
        <v>0</v>
      </c>
      <c r="G60" s="207">
        <f>'R-Definição'!O26</f>
        <v>0.10608749999999999</v>
      </c>
      <c r="H60" s="706"/>
      <c r="I60" s="455"/>
      <c r="J60" s="455"/>
      <c r="K60" s="455"/>
      <c r="L60" s="2"/>
      <c r="M60" s="2"/>
      <c r="N60" s="2"/>
      <c r="O60" s="2"/>
      <c r="P60" s="2"/>
      <c r="Q60" s="2"/>
      <c r="R60" s="2"/>
      <c r="S60" s="2"/>
      <c r="T60" s="2"/>
    </row>
    <row r="61" spans="1:20" ht="18" customHeight="1" x14ac:dyDescent="0.25">
      <c r="A61" s="2"/>
      <c r="B61" s="1995"/>
      <c r="C61" s="217" t="s">
        <v>31</v>
      </c>
      <c r="D61" s="207">
        <f t="shared" si="0"/>
        <v>5.5349999999999989E-2</v>
      </c>
      <c r="E61" s="207">
        <f>'R-Definição'!M27</f>
        <v>0</v>
      </c>
      <c r="F61" s="207">
        <f>'R-Definição'!N27</f>
        <v>0</v>
      </c>
      <c r="G61" s="207">
        <f>'R-Definição'!O27</f>
        <v>5.5349999999999989E-2</v>
      </c>
      <c r="H61" s="706"/>
      <c r="I61" s="455"/>
      <c r="J61" s="455"/>
      <c r="K61" s="455"/>
      <c r="L61" s="2"/>
      <c r="M61" s="2"/>
      <c r="N61" s="2"/>
      <c r="O61" s="2"/>
      <c r="P61" s="2"/>
      <c r="Q61" s="2"/>
      <c r="R61" s="2"/>
      <c r="S61" s="2"/>
      <c r="T61" s="2"/>
    </row>
    <row r="62" spans="1:20" ht="18" customHeight="1" x14ac:dyDescent="0.25">
      <c r="A62" s="2"/>
      <c r="B62" s="1995"/>
      <c r="C62" s="217" t="s">
        <v>32</v>
      </c>
      <c r="D62" s="207">
        <f t="shared" si="0"/>
        <v>1.374195663760414</v>
      </c>
      <c r="E62" s="207">
        <f>'R-Definição'!M28</f>
        <v>0</v>
      </c>
      <c r="F62" s="207">
        <f>'R-Definição'!N28</f>
        <v>0</v>
      </c>
      <c r="G62" s="207">
        <f>'R-Definição'!O28</f>
        <v>5.3043749999999994E-2</v>
      </c>
      <c r="H62" s="706"/>
      <c r="I62" s="455"/>
      <c r="J62" s="706">
        <f>'R-Definição'!O107</f>
        <v>1.321151913760414</v>
      </c>
      <c r="K62" s="455"/>
      <c r="L62" s="2"/>
      <c r="M62" s="2"/>
      <c r="N62" s="2"/>
      <c r="O62" s="2"/>
      <c r="P62" s="2"/>
      <c r="Q62" s="2"/>
      <c r="R62" s="2"/>
      <c r="S62" s="2"/>
      <c r="T62" s="2"/>
    </row>
    <row r="63" spans="1:20" ht="18" customHeight="1" x14ac:dyDescent="0.25">
      <c r="A63" s="2"/>
      <c r="B63" s="1995"/>
      <c r="C63" s="217" t="s">
        <v>83</v>
      </c>
      <c r="D63" s="207">
        <f t="shared" si="0"/>
        <v>0.35848582532880363</v>
      </c>
      <c r="E63" s="207">
        <f>'R-Definição'!M29</f>
        <v>0</v>
      </c>
      <c r="F63" s="207">
        <f>'R-Definição'!N29</f>
        <v>0</v>
      </c>
      <c r="G63" s="207">
        <f>'R-Definição'!O29</f>
        <v>1.3837499999999997E-2</v>
      </c>
      <c r="H63" s="706"/>
      <c r="I63" s="455"/>
      <c r="J63" s="706">
        <f>'R-Definição'!O108</f>
        <v>0.34464832532880363</v>
      </c>
      <c r="K63" s="455"/>
      <c r="L63" s="2"/>
      <c r="M63" s="2"/>
      <c r="N63" s="2"/>
      <c r="O63" s="2"/>
      <c r="P63" s="2"/>
      <c r="Q63" s="2"/>
      <c r="R63" s="2"/>
      <c r="S63" s="2"/>
      <c r="T63" s="2"/>
    </row>
    <row r="64" spans="1:20" ht="18" customHeight="1" x14ac:dyDescent="0.25">
      <c r="A64" s="2"/>
      <c r="B64" s="1995"/>
      <c r="C64" s="680" t="s">
        <v>464</v>
      </c>
      <c r="D64" s="224">
        <f t="shared" si="0"/>
        <v>2.4014939890892175</v>
      </c>
      <c r="E64" s="225">
        <f>SUM(E58:E63)</f>
        <v>0</v>
      </c>
      <c r="F64" s="225">
        <f>SUM(F58:F63)</f>
        <v>0</v>
      </c>
      <c r="G64" s="225">
        <f>SUM(G58:G63)</f>
        <v>0.73569374999999992</v>
      </c>
      <c r="H64" s="218"/>
      <c r="I64" s="456"/>
      <c r="J64" s="226">
        <f>SUM(J58:J63)</f>
        <v>1.6658002390892177</v>
      </c>
      <c r="K64" s="456"/>
      <c r="L64" s="2"/>
      <c r="M64" s="2"/>
      <c r="N64" s="2"/>
      <c r="O64" s="2"/>
      <c r="P64" s="2"/>
      <c r="Q64" s="2"/>
      <c r="R64" s="2"/>
      <c r="S64" s="2"/>
      <c r="T64" s="2"/>
    </row>
    <row r="65" spans="1:20" ht="18" customHeight="1" x14ac:dyDescent="0.25">
      <c r="A65" s="2"/>
      <c r="B65" s="1995"/>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1994"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1995"/>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1995"/>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1995"/>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1995"/>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1995"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1995"/>
      <c r="C72" s="217" t="s">
        <v>233</v>
      </c>
      <c r="D72" s="207">
        <f>SUM(E72:K72)</f>
        <v>0</v>
      </c>
      <c r="E72" s="455"/>
      <c r="F72" s="455"/>
      <c r="G72" s="455"/>
      <c r="H72" s="706">
        <f>'R-Definição'!O50</f>
        <v>0</v>
      </c>
      <c r="I72" s="455"/>
      <c r="J72" s="455"/>
      <c r="K72" s="455"/>
      <c r="L72" s="2"/>
      <c r="M72" s="2"/>
      <c r="N72" s="2"/>
      <c r="O72" s="2"/>
      <c r="P72" s="2"/>
      <c r="Q72" s="2"/>
      <c r="R72" s="2"/>
      <c r="S72" s="2"/>
      <c r="T72" s="2"/>
    </row>
    <row r="73" spans="1:20" ht="18" customHeight="1" x14ac:dyDescent="0.25">
      <c r="A73" s="2"/>
      <c r="B73" s="1995"/>
      <c r="C73" s="454" t="s">
        <v>506</v>
      </c>
      <c r="D73" s="224">
        <f>SUM(D71:D72)</f>
        <v>0</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49534.248252065823</v>
      </c>
      <c r="E74" s="702"/>
      <c r="F74" s="702"/>
      <c r="G74" s="702"/>
      <c r="H74" s="703"/>
      <c r="I74" s="702">
        <f>'R-Definição'!O69</f>
        <v>0</v>
      </c>
      <c r="J74" s="702">
        <f>'R-Definição'!O111</f>
        <v>49534.248252065823</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013" t="s">
        <v>424</v>
      </c>
      <c r="D2" s="1877"/>
      <c r="E2" s="691"/>
      <c r="F2" s="1366" t="s">
        <v>436</v>
      </c>
      <c r="G2" s="2004" t="str">
        <f>IF('R-Definição'!D2&lt;&gt;0,'R-Definição'!D2,"")</f>
        <v>CIRSOP - Consórcio RSU Oeste Paulista</v>
      </c>
      <c r="H2" s="2005"/>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012" t="str">
        <f>Apresentação!I2</f>
        <v>RC-RSU V.1.0 - 15/10/2020</v>
      </c>
      <c r="D3" s="2012"/>
      <c r="E3" s="691"/>
      <c r="F3" s="1367" t="s">
        <v>437</v>
      </c>
      <c r="G3" s="2006" t="str">
        <f>IF('R-Definição'!D3&lt;&gt;0,'R-Definição'!D3,"")</f>
        <v>Biodigestão c/ Prod. E. Elétrica</v>
      </c>
      <c r="H3" s="2007"/>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60" customFormat="1" ht="17.649999999999999" customHeight="1" x14ac:dyDescent="0.25">
      <c r="A6" s="1499"/>
      <c r="B6" s="1804" t="s">
        <v>241</v>
      </c>
      <c r="C6" s="1755" t="s">
        <v>242</v>
      </c>
      <c r="D6" s="1756">
        <f>D36</f>
        <v>411597</v>
      </c>
      <c r="E6" s="1499"/>
      <c r="F6" s="1804" t="s">
        <v>512</v>
      </c>
      <c r="G6" s="1757" t="s">
        <v>243</v>
      </c>
      <c r="H6" s="1758">
        <f>IF(D24="Sim",L91,0)</f>
        <v>0</v>
      </c>
      <c r="I6" s="1499"/>
      <c r="J6" s="1499"/>
      <c r="K6" s="1759"/>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60" customFormat="1" ht="17.649999999999999" customHeight="1" x14ac:dyDescent="0.25">
      <c r="A7" s="1499"/>
      <c r="B7" s="1804" t="s">
        <v>245</v>
      </c>
      <c r="C7" s="1761" t="s">
        <v>21</v>
      </c>
      <c r="D7" s="1762">
        <f>D38</f>
        <v>73.8</v>
      </c>
      <c r="E7" s="1499"/>
      <c r="F7" s="1805" t="s">
        <v>512</v>
      </c>
      <c r="G7" s="1763" t="s">
        <v>246</v>
      </c>
      <c r="H7" s="1764">
        <f>H6*1000000/D8</f>
        <v>0</v>
      </c>
      <c r="I7" s="1499"/>
      <c r="J7" s="1499"/>
      <c r="K7" s="1759"/>
      <c r="L7" s="1499"/>
      <c r="M7" s="1499"/>
      <c r="N7" s="1499"/>
      <c r="O7" s="1499"/>
      <c r="P7" s="1499"/>
      <c r="Q7" s="1499"/>
      <c r="R7" s="808" t="s">
        <v>247</v>
      </c>
      <c r="S7" s="1408">
        <f>IF(D24="Não",0,H21/D40)</f>
        <v>0</v>
      </c>
      <c r="T7" s="809">
        <f>L53</f>
        <v>0</v>
      </c>
      <c r="U7" s="809">
        <f>L56</f>
        <v>1536.4595073386222</v>
      </c>
      <c r="V7" s="809">
        <f>L59</f>
        <v>0</v>
      </c>
      <c r="W7" s="809">
        <f>L62</f>
        <v>0</v>
      </c>
      <c r="X7" s="809">
        <f>L65</f>
        <v>0</v>
      </c>
      <c r="Y7" s="809">
        <f>L68</f>
        <v>0</v>
      </c>
      <c r="Z7" s="809">
        <f>L71</f>
        <v>3868.796239830629</v>
      </c>
      <c r="AA7" s="809">
        <f>L74</f>
        <v>439.0507846966205</v>
      </c>
      <c r="AB7" s="1407"/>
    </row>
    <row r="8" spans="1:28" s="1760" customFormat="1" ht="17.649999999999999" customHeight="1" x14ac:dyDescent="0.25">
      <c r="A8" s="1499"/>
      <c r="B8" s="1804" t="s">
        <v>248</v>
      </c>
      <c r="C8" s="1761" t="s">
        <v>249</v>
      </c>
      <c r="D8" s="1762">
        <f>D40</f>
        <v>23025.599999999999</v>
      </c>
      <c r="E8" s="1499"/>
      <c r="F8" s="1804" t="s">
        <v>513</v>
      </c>
      <c r="G8" s="1761" t="s">
        <v>243</v>
      </c>
      <c r="H8" s="1758">
        <f>O78</f>
        <v>27.484933345152278</v>
      </c>
      <c r="I8" s="1499"/>
      <c r="J8" s="1499"/>
      <c r="K8" s="1759"/>
      <c r="L8" s="1499"/>
      <c r="M8" s="1499"/>
      <c r="N8" s="1499"/>
      <c r="O8" s="1499"/>
      <c r="P8" s="1499"/>
      <c r="Q8" s="1499"/>
      <c r="R8" s="808" t="s">
        <v>251</v>
      </c>
      <c r="S8" s="1408">
        <v>0</v>
      </c>
      <c r="T8" s="810">
        <f>L52</f>
        <v>0</v>
      </c>
      <c r="U8" s="810">
        <f>L55</f>
        <v>12252.405528169973</v>
      </c>
      <c r="V8" s="810">
        <f>L58</f>
        <v>0</v>
      </c>
      <c r="W8" s="810">
        <f>L61</f>
        <v>0</v>
      </c>
      <c r="X8" s="810">
        <f>L64</f>
        <v>0</v>
      </c>
      <c r="Y8" s="810">
        <f>L67</f>
        <v>0</v>
      </c>
      <c r="Z8" s="810">
        <f>L70</f>
        <v>3895.2668094642145</v>
      </c>
      <c r="AA8" s="810">
        <f>L73</f>
        <v>432.88015992359766</v>
      </c>
      <c r="AB8" s="1407"/>
    </row>
    <row r="9" spans="1:28" s="1760" customFormat="1" ht="17.649999999999999" customHeight="1" x14ac:dyDescent="0.25">
      <c r="A9" s="1499"/>
      <c r="B9" s="1805" t="s">
        <v>509</v>
      </c>
      <c r="C9" s="1763" t="s">
        <v>249</v>
      </c>
      <c r="D9" s="1765">
        <f>D44</f>
        <v>4559.2127099999989</v>
      </c>
      <c r="E9" s="1499"/>
      <c r="F9" s="1805" t="s">
        <v>842</v>
      </c>
      <c r="G9" s="1763" t="s">
        <v>243</v>
      </c>
      <c r="H9" s="1766">
        <f>IF('R-Definição'!$E$121="Existente",((D88+D89)*D44+(D89*D11))/1000000,((D85+D88)*D44+(D89*D11))/1000000)</f>
        <v>0.16914679154099951</v>
      </c>
      <c r="I9" s="1499"/>
      <c r="J9" s="1499"/>
      <c r="K9" s="1759"/>
      <c r="L9" s="1499"/>
      <c r="M9" s="1499"/>
      <c r="N9" s="1499"/>
      <c r="O9" s="1499"/>
      <c r="P9" s="1499"/>
      <c r="Q9" s="1499"/>
      <c r="R9" s="808" t="s">
        <v>252</v>
      </c>
      <c r="S9" s="1408">
        <f>L92</f>
        <v>514.64999999999884</v>
      </c>
      <c r="T9" s="809">
        <f>P53</f>
        <v>0</v>
      </c>
      <c r="U9" s="809">
        <f>P56</f>
        <v>320.17731483326418</v>
      </c>
      <c r="V9" s="809">
        <f>P59</f>
        <v>0</v>
      </c>
      <c r="W9" s="809">
        <f>P62</f>
        <v>0</v>
      </c>
      <c r="X9" s="809">
        <f>P65</f>
        <v>0</v>
      </c>
      <c r="Y9" s="809">
        <f>P68</f>
        <v>0</v>
      </c>
      <c r="Z9" s="809">
        <f>P71</f>
        <v>705.23623824985441</v>
      </c>
      <c r="AA9" s="809">
        <f>IF('R-Definição'!E121="Novo",P74,(D44+D46)*D89/D40)</f>
        <v>168.25494394420218</v>
      </c>
      <c r="AB9" s="1407"/>
    </row>
    <row r="10" spans="1:28" s="1760" customFormat="1" ht="17.649999999999999" customHeight="1" x14ac:dyDescent="0.25">
      <c r="A10" s="1499"/>
      <c r="B10" s="1804" t="s">
        <v>664</v>
      </c>
      <c r="C10" s="1761" t="s">
        <v>194</v>
      </c>
      <c r="D10" s="1767">
        <f>D45</f>
        <v>0.80199374999999995</v>
      </c>
      <c r="E10" s="1499"/>
      <c r="F10" s="1805" t="str">
        <f>IF(D24="Sim","Custo Total Rota Tecnológica COM Coleta","Custo Total Rota Tecnológica SEM Coleta")</f>
        <v>Custo Total Rota Tecnológica SEM Coleta</v>
      </c>
      <c r="G10" s="1763" t="s">
        <v>243</v>
      </c>
      <c r="H10" s="1768">
        <f>H6+H8+H9</f>
        <v>27.654080136693278</v>
      </c>
      <c r="I10" s="1499"/>
      <c r="J10" s="1499"/>
      <c r="K10" s="1759"/>
      <c r="L10" s="1499"/>
      <c r="M10" s="1499"/>
      <c r="N10" s="1499"/>
      <c r="O10" s="1499"/>
      <c r="P10" s="1499"/>
      <c r="Q10" s="1499"/>
      <c r="R10" s="808" t="s">
        <v>253</v>
      </c>
      <c r="S10" s="1408">
        <v>0</v>
      </c>
      <c r="T10" s="810">
        <f>P52</f>
        <v>0</v>
      </c>
      <c r="U10" s="810">
        <f>P55</f>
        <v>2553.2350729195769</v>
      </c>
      <c r="V10" s="810">
        <f>P58</f>
        <v>0</v>
      </c>
      <c r="W10" s="810">
        <f>P61</f>
        <v>0</v>
      </c>
      <c r="X10" s="810">
        <f>P64</f>
        <v>0</v>
      </c>
      <c r="Y10" s="810">
        <f>P67</f>
        <v>0</v>
      </c>
      <c r="Z10" s="810">
        <f>P70</f>
        <v>710.0615130370162</v>
      </c>
      <c r="AA10" s="809">
        <f>IF('R-Definição'!E121="Novo",P73,D89)</f>
        <v>165.89021038381674</v>
      </c>
      <c r="AB10" s="1407"/>
    </row>
    <row r="11" spans="1:28" s="1760" customFormat="1" ht="17.649999999999999" customHeight="1" x14ac:dyDescent="0.25">
      <c r="A11" s="1499"/>
      <c r="B11" s="1805" t="s">
        <v>510</v>
      </c>
      <c r="C11" s="1763" t="s">
        <v>249</v>
      </c>
      <c r="D11" s="1765">
        <f>'R-Fluxo Massa'!AS49*312</f>
        <v>0</v>
      </c>
      <c r="E11" s="1499"/>
      <c r="F11" s="1804" t="s">
        <v>1018</v>
      </c>
      <c r="G11" s="1761" t="s">
        <v>243</v>
      </c>
      <c r="H11" s="1758">
        <f>H91*(1-D26)</f>
        <v>0</v>
      </c>
      <c r="I11" s="1499"/>
      <c r="J11" s="1499"/>
      <c r="K11" s="1759"/>
      <c r="L11" s="1499"/>
      <c r="M11" s="1499"/>
      <c r="N11" s="1499"/>
      <c r="O11" s="1499"/>
      <c r="P11" s="1499"/>
      <c r="Q11" s="1499"/>
      <c r="R11" s="808" t="s">
        <v>702</v>
      </c>
      <c r="S11" s="1408">
        <v>0</v>
      </c>
      <c r="T11" s="809">
        <f>IF(T12&gt;0,($P36*$D101+$P37*$D102+$P38*$D103+$P39*$D104+$P40*$D105+$P41*$D106)/(T12*312),0)</f>
        <v>0</v>
      </c>
      <c r="U11" s="811">
        <f>IF(U12&gt;0,($L36*$D101+$L37*$D102+$L38*$D103+$L39*$D104+$L40*$D105+$L41*$D106)/(U12*312),0)</f>
        <v>51.02922312590983</v>
      </c>
      <c r="V11" s="811">
        <f>IF(V12&gt;0,($L44*$D112+$L46*$D111)/(V12*312),0)</f>
        <v>0</v>
      </c>
      <c r="W11" s="811">
        <f>IF(W12&gt;0,($L45*$D112+$L47*$D111)/(W12*312),0)</f>
        <v>0</v>
      </c>
      <c r="X11" s="811">
        <f>IF(X12&gt;0,($P42*$D114+$P45*$D117)/(X12*312),0)</f>
        <v>0</v>
      </c>
      <c r="Y11" s="811">
        <f>IF(Y12&gt;0,($L48*$D108+$L49*$D109)/(Y12*312),0)</f>
        <v>0</v>
      </c>
      <c r="Z11" s="811">
        <f>IF(Z12&gt;0,($P43*$D114)/(Z12*312),0)</f>
        <v>366.34163838396557</v>
      </c>
      <c r="AA11" s="811">
        <f>IF(AA12&gt;0,($P44*$D114+$P46*$D117)/(AA12*312),0)</f>
        <v>0</v>
      </c>
      <c r="AB11" s="1407"/>
    </row>
    <row r="12" spans="1:28" s="1760" customFormat="1" ht="17.649999999999999" customHeight="1" x14ac:dyDescent="0.25">
      <c r="A12" s="1499"/>
      <c r="B12" s="1804" t="s">
        <v>511</v>
      </c>
      <c r="C12" s="1761" t="s">
        <v>194</v>
      </c>
      <c r="D12" s="1767">
        <f>(D16)/D8</f>
        <v>3.528018495968295E-2</v>
      </c>
      <c r="E12" s="1499"/>
      <c r="F12"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7" t="s">
        <v>243</v>
      </c>
      <c r="H12" s="1758">
        <f>IF(D25="Sim",H10-H11,H10)</f>
        <v>27.654080136693278</v>
      </c>
      <c r="I12" s="1499"/>
      <c r="J12" s="1499"/>
      <c r="K12" s="1759"/>
      <c r="L12" s="1499"/>
      <c r="M12" s="1499"/>
      <c r="N12" s="1499"/>
      <c r="O12" s="1499"/>
      <c r="P12" s="1499"/>
      <c r="Q12" s="1499"/>
      <c r="R12" s="808" t="s">
        <v>254</v>
      </c>
      <c r="S12" s="1408">
        <f>D38</f>
        <v>73.8</v>
      </c>
      <c r="T12" s="809">
        <f>$H52/312</f>
        <v>0</v>
      </c>
      <c r="U12" s="809">
        <f>$H55/312</f>
        <v>9.2545673076923052</v>
      </c>
      <c r="V12" s="809">
        <f>$H58/312</f>
        <v>0</v>
      </c>
      <c r="W12" s="809">
        <f>$H61/312</f>
        <v>0</v>
      </c>
      <c r="X12" s="809">
        <f>$H64/312</f>
        <v>0</v>
      </c>
      <c r="Y12" s="809">
        <f>$H67/312</f>
        <v>0</v>
      </c>
      <c r="Z12" s="809">
        <f>$H70/312</f>
        <v>73.298486718749999</v>
      </c>
      <c r="AA12" s="809">
        <f>(D44+D46)/312</f>
        <v>14.612861249999996</v>
      </c>
      <c r="AB12" s="1407"/>
    </row>
    <row r="13" spans="1:28" s="1760" customFormat="1" ht="17.649999999999999" customHeight="1" thickBot="1" x14ac:dyDescent="0.3">
      <c r="A13" s="1499"/>
      <c r="B13" s="1806" t="s">
        <v>843</v>
      </c>
      <c r="C13" s="1769" t="s">
        <v>194</v>
      </c>
      <c r="D13" s="1770">
        <f>D16/((SUM('R-Entrada'!G28:G33))*312)</f>
        <v>0.11059619109618481</v>
      </c>
      <c r="E13" s="1499"/>
      <c r="F13" s="180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9" t="s">
        <v>246</v>
      </c>
      <c r="H13" s="1771">
        <f>H12*1000000/D8</f>
        <v>1201.0145289023208</v>
      </c>
      <c r="I13" s="1499"/>
      <c r="J13" s="1499"/>
      <c r="K13" s="1759"/>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60" customFormat="1" ht="17.649999999999999" customHeight="1" x14ac:dyDescent="0.25">
      <c r="A16" s="1499"/>
      <c r="B16" s="1805" t="s">
        <v>515</v>
      </c>
      <c r="C16" s="1772" t="s">
        <v>249</v>
      </c>
      <c r="D16" s="1773">
        <f>H36</f>
        <v>812.34742680767567</v>
      </c>
      <c r="E16" s="61"/>
      <c r="F16" s="1804" t="s">
        <v>516</v>
      </c>
      <c r="G16" s="1774" t="s">
        <v>255</v>
      </c>
      <c r="H16" s="1758">
        <f>K78</f>
        <v>134.56866448013079</v>
      </c>
      <c r="I16" s="1499"/>
      <c r="J16" s="1499"/>
      <c r="K16" s="1759"/>
      <c r="L16" s="1499"/>
      <c r="M16" s="1499"/>
      <c r="N16" s="1499"/>
      <c r="O16" s="1499"/>
      <c r="P16" s="1499"/>
      <c r="Q16" s="1499"/>
      <c r="R16" s="1403"/>
      <c r="S16" s="1404"/>
      <c r="T16" s="1404"/>
      <c r="U16" s="1404"/>
      <c r="V16" s="1404"/>
      <c r="W16" s="1404"/>
      <c r="X16" s="1404"/>
      <c r="Y16" s="1404"/>
      <c r="Z16" s="1404"/>
      <c r="AA16" s="1406"/>
    </row>
    <row r="17" spans="1:26" s="1760" customFormat="1" ht="17.649999999999999" customHeight="1" x14ac:dyDescent="0.25">
      <c r="A17" s="1499"/>
      <c r="B17" s="1805" t="s">
        <v>517</v>
      </c>
      <c r="C17" s="1772" t="s">
        <v>249</v>
      </c>
      <c r="D17" s="1773">
        <f>SUM(P36:P41)</f>
        <v>0</v>
      </c>
      <c r="E17" s="61"/>
      <c r="F17" s="1804" t="s">
        <v>518</v>
      </c>
      <c r="G17" s="1774" t="s">
        <v>194</v>
      </c>
      <c r="H17" s="1775">
        <f>G76</f>
        <v>0.30634339792531995</v>
      </c>
      <c r="I17" s="1499"/>
      <c r="J17" s="1499"/>
      <c r="K17" s="1759"/>
      <c r="L17" s="1499"/>
      <c r="M17" s="1499"/>
      <c r="N17" s="1499"/>
      <c r="O17" s="1499"/>
      <c r="P17" s="1499"/>
      <c r="Q17" s="1499"/>
      <c r="R17" s="1403"/>
      <c r="S17" s="1404"/>
      <c r="T17" s="1404"/>
      <c r="U17" s="1404"/>
      <c r="V17" s="1404"/>
      <c r="W17" s="1404"/>
      <c r="X17" s="1404"/>
      <c r="Y17" s="1404"/>
      <c r="Z17" s="1404"/>
    </row>
    <row r="18" spans="1:26" s="1760" customFormat="1" ht="17.649999999999999" customHeight="1" x14ac:dyDescent="0.25">
      <c r="A18" s="1499"/>
      <c r="B18" s="1805" t="s">
        <v>895</v>
      </c>
      <c r="C18" s="1772" t="s">
        <v>249</v>
      </c>
      <c r="D18" s="1773">
        <f>H37+H38</f>
        <v>0</v>
      </c>
      <c r="E18" s="61"/>
      <c r="F18" s="1805" t="s">
        <v>519</v>
      </c>
      <c r="G18" s="1772" t="s">
        <v>256</v>
      </c>
      <c r="H18" s="1765">
        <f>H24*1000000/D40</f>
        <v>7977.314999124178</v>
      </c>
      <c r="I18" s="1499"/>
      <c r="J18" s="1499"/>
      <c r="K18" s="1759"/>
      <c r="L18" s="1499"/>
      <c r="M18" s="1499"/>
      <c r="N18" s="1499"/>
      <c r="O18" s="1499"/>
      <c r="P18" s="1499"/>
      <c r="Q18" s="1499"/>
      <c r="R18" s="1403"/>
      <c r="S18" s="1404"/>
      <c r="T18" s="1404"/>
      <c r="U18" s="1404"/>
      <c r="V18" s="1404"/>
      <c r="W18" s="1404"/>
      <c r="X18" s="1404"/>
      <c r="Y18" s="1404"/>
      <c r="Z18" s="1404"/>
    </row>
    <row r="19" spans="1:26" s="1760" customFormat="1" ht="17.649999999999999" customHeight="1" x14ac:dyDescent="0.25">
      <c r="A19" s="1499"/>
      <c r="B19" s="1805" t="s">
        <v>520</v>
      </c>
      <c r="C19" s="1772" t="s">
        <v>249</v>
      </c>
      <c r="D19" s="1773">
        <f>H39+H40</f>
        <v>0</v>
      </c>
      <c r="E19" s="61"/>
      <c r="F19" s="1805" t="str">
        <f>J77</f>
        <v>Reinvestimento Total Rota (cada 5 anos)</v>
      </c>
      <c r="G19" s="1776" t="s">
        <v>255</v>
      </c>
      <c r="H19" s="1777">
        <f>K77</f>
        <v>3.5388255379785898</v>
      </c>
      <c r="I19" s="1499"/>
      <c r="J19" s="1499"/>
      <c r="K19" s="1759"/>
      <c r="L19" s="1499"/>
      <c r="M19" s="1499"/>
      <c r="N19" s="1499"/>
      <c r="O19" s="1499"/>
      <c r="P19" s="1499"/>
      <c r="Q19" s="1499"/>
      <c r="R19" s="805"/>
      <c r="S19" s="806"/>
      <c r="T19" s="806"/>
      <c r="U19" s="806"/>
      <c r="V19" s="806"/>
      <c r="W19" s="806"/>
      <c r="X19" s="806"/>
      <c r="Y19" s="806"/>
      <c r="Z19" s="1385"/>
    </row>
    <row r="20" spans="1:26" s="1760" customFormat="1" ht="17.649999999999999" customHeight="1" x14ac:dyDescent="0.25">
      <c r="A20" s="1499"/>
      <c r="B20" s="1805" t="s">
        <v>521</v>
      </c>
      <c r="C20" s="1772" t="s">
        <v>257</v>
      </c>
      <c r="D20" s="1773">
        <f>H41</f>
        <v>16755.827534542022</v>
      </c>
      <c r="E20" s="61"/>
      <c r="F20" s="1807" t="s">
        <v>522</v>
      </c>
      <c r="G20" s="1778" t="s">
        <v>255</v>
      </c>
      <c r="H20" s="1779">
        <f>K75</f>
        <v>13.909726284487277</v>
      </c>
      <c r="I20" s="1499"/>
      <c r="J20" s="1499"/>
      <c r="K20" s="1759"/>
      <c r="L20" s="1499"/>
      <c r="M20" s="1499"/>
      <c r="N20" s="1499"/>
      <c r="O20" s="1499"/>
      <c r="P20" s="1499"/>
      <c r="Q20" s="1499"/>
      <c r="R20" s="805"/>
      <c r="S20" s="806"/>
      <c r="T20" s="806"/>
      <c r="U20" s="806"/>
      <c r="V20" s="806"/>
      <c r="W20" s="806"/>
      <c r="X20" s="806"/>
      <c r="Y20" s="806"/>
      <c r="Z20" s="1385"/>
    </row>
    <row r="21" spans="1:26" s="1760" customFormat="1" ht="17.649999999999999" customHeight="1" thickBot="1" x14ac:dyDescent="0.3">
      <c r="A21" s="1499"/>
      <c r="B21" s="1806" t="s">
        <v>523</v>
      </c>
      <c r="C21" s="1780" t="s">
        <v>258</v>
      </c>
      <c r="D21" s="1781">
        <f>H42</f>
        <v>0</v>
      </c>
      <c r="E21" s="61"/>
      <c r="F21" s="1808" t="s">
        <v>524</v>
      </c>
      <c r="G21" s="1782" t="s">
        <v>255</v>
      </c>
      <c r="H21" s="1783">
        <v>0</v>
      </c>
      <c r="I21" s="1499"/>
      <c r="J21" s="1499"/>
      <c r="K21" s="1759"/>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60" customFormat="1" ht="17.649999999999999" customHeight="1" x14ac:dyDescent="0.25">
      <c r="A24" s="1499"/>
      <c r="B24" s="1804" t="s">
        <v>526</v>
      </c>
      <c r="C24" s="1784" t="s">
        <v>259</v>
      </c>
      <c r="D24" s="1785" t="s">
        <v>7</v>
      </c>
      <c r="E24" s="1499"/>
      <c r="F24" s="1804" t="s">
        <v>860</v>
      </c>
      <c r="G24" s="1774" t="s">
        <v>255</v>
      </c>
      <c r="H24" s="1786">
        <f>'C-FCL Real'!G11</f>
        <v>183.68246424383366</v>
      </c>
      <c r="I24" s="1499"/>
      <c r="J24" s="1499"/>
      <c r="K24" s="1759"/>
      <c r="L24" s="1499"/>
      <c r="M24" s="1499"/>
      <c r="N24" s="1499"/>
      <c r="O24" s="1499"/>
      <c r="P24" s="1499"/>
      <c r="Q24" s="1499"/>
      <c r="R24" s="805"/>
      <c r="S24" s="806"/>
      <c r="T24" s="806"/>
      <c r="U24" s="806"/>
      <c r="V24" s="806"/>
      <c r="W24" s="806"/>
      <c r="X24" s="806"/>
      <c r="Y24" s="806"/>
      <c r="Z24" s="1385"/>
    </row>
    <row r="25" spans="1:26" s="1760" customFormat="1" ht="17.649999999999999" customHeight="1" thickBot="1" x14ac:dyDescent="0.3">
      <c r="A25" s="1499"/>
      <c r="B25" s="1804" t="s">
        <v>527</v>
      </c>
      <c r="C25" s="1784" t="s">
        <v>259</v>
      </c>
      <c r="D25" s="1785" t="s">
        <v>7</v>
      </c>
      <c r="E25" s="1499"/>
      <c r="F25" s="1811" t="s">
        <v>1014</v>
      </c>
      <c r="G25" s="1800" t="s">
        <v>194</v>
      </c>
      <c r="H25" s="1801">
        <f>'C-FCL Real'!C28</f>
        <v>9.74E-2</v>
      </c>
      <c r="I25" s="1499"/>
      <c r="J25" s="1499"/>
      <c r="K25" s="1759"/>
      <c r="L25" s="1499"/>
      <c r="M25" s="1499"/>
      <c r="N25" s="1499"/>
      <c r="O25" s="1499"/>
      <c r="P25" s="1499"/>
      <c r="Q25" s="1499"/>
      <c r="R25" s="805"/>
      <c r="S25" s="806"/>
      <c r="T25" s="806"/>
      <c r="U25" s="806"/>
      <c r="V25" s="806"/>
      <c r="W25" s="806"/>
      <c r="X25" s="806"/>
      <c r="Y25" s="806"/>
      <c r="Z25" s="1385"/>
    </row>
    <row r="26" spans="1:26" s="1760" customFormat="1" ht="17.649999999999999" customHeight="1" x14ac:dyDescent="0.25">
      <c r="A26" s="1499"/>
      <c r="B26" s="1805" t="s">
        <v>859</v>
      </c>
      <c r="C26" s="1776" t="s">
        <v>194</v>
      </c>
      <c r="D26" s="1787">
        <v>1</v>
      </c>
      <c r="E26" s="1499"/>
      <c r="F26" s="1812" t="str">
        <f>'C-FCL Real'!K28</f>
        <v>Índice de Retorno do Inv.: Pay Back</v>
      </c>
      <c r="G26" s="1798" t="s">
        <v>260</v>
      </c>
      <c r="H26" s="1799">
        <f>'C-FCL Real'!H13</f>
        <v>36.531276368150074</v>
      </c>
      <c r="I26" s="1499"/>
      <c r="J26" s="1499"/>
      <c r="K26" s="1759"/>
      <c r="L26" s="1499"/>
      <c r="M26" s="1499"/>
      <c r="N26" s="1499"/>
      <c r="O26" s="1499"/>
      <c r="P26" s="1499"/>
      <c r="Q26" s="1499"/>
      <c r="R26" s="805"/>
      <c r="S26" s="806"/>
      <c r="T26" s="806"/>
      <c r="U26" s="806"/>
      <c r="V26" s="806"/>
      <c r="W26" s="806"/>
      <c r="X26" s="806"/>
      <c r="Y26" s="806"/>
      <c r="Z26" s="1385"/>
    </row>
    <row r="27" spans="1:26" s="1760" customFormat="1" ht="17.649999999999999" customHeight="1" x14ac:dyDescent="0.25">
      <c r="A27" s="1499"/>
      <c r="B27" s="1809" t="s">
        <v>528</v>
      </c>
      <c r="C27" s="1776" t="s">
        <v>194</v>
      </c>
      <c r="D27" s="1788">
        <v>4.7000000000000002E-3</v>
      </c>
      <c r="E27" s="1499"/>
      <c r="F27" s="1804" t="str">
        <f>'C-FCL Real'!K26</f>
        <v>Índice de Retorno do Inv.: VPL</v>
      </c>
      <c r="G27" s="1774" t="s">
        <v>255</v>
      </c>
      <c r="H27" s="1786">
        <f>'C-FCL Real'!H8</f>
        <v>-6.3527570651459371</v>
      </c>
      <c r="I27" s="1499"/>
      <c r="J27" s="1499"/>
      <c r="K27" s="1759"/>
      <c r="L27" s="1499"/>
      <c r="M27" s="1499"/>
      <c r="N27" s="1499"/>
      <c r="O27" s="1499"/>
      <c r="P27" s="1499"/>
      <c r="Q27" s="1499"/>
      <c r="R27" s="805"/>
      <c r="S27" s="806"/>
      <c r="T27" s="806"/>
      <c r="U27" s="806"/>
      <c r="V27" s="806"/>
      <c r="W27" s="806"/>
      <c r="X27" s="806"/>
      <c r="Y27" s="806"/>
      <c r="Z27" s="1385"/>
    </row>
    <row r="28" spans="1:26" s="1760" customFormat="1" ht="17.649999999999999" customHeight="1" x14ac:dyDescent="0.25">
      <c r="A28" s="1499"/>
      <c r="B28" s="1805" t="s">
        <v>1015</v>
      </c>
      <c r="C28" s="1776" t="s">
        <v>243</v>
      </c>
      <c r="D28" s="1789">
        <v>1</v>
      </c>
      <c r="E28" s="1499"/>
      <c r="F28" s="1805" t="str">
        <f>'C-FCL Real'!K27</f>
        <v>Índice de Retorno do Inv.: TIR</v>
      </c>
      <c r="G28" s="1776" t="s">
        <v>194</v>
      </c>
      <c r="H28" s="1790">
        <f>'C-FCL Real'!H9</f>
        <v>0.17265492770484414</v>
      </c>
      <c r="I28" s="1499"/>
      <c r="J28" s="1499"/>
      <c r="K28" s="1759"/>
      <c r="L28" s="1499"/>
      <c r="M28" s="1499"/>
      <c r="N28" s="1499"/>
      <c r="O28" s="1499"/>
      <c r="P28" s="1499"/>
      <c r="Q28" s="1499"/>
      <c r="R28" s="805"/>
      <c r="S28" s="806"/>
      <c r="T28" s="806"/>
      <c r="U28" s="806"/>
      <c r="V28" s="806"/>
      <c r="W28" s="806"/>
      <c r="X28" s="806"/>
      <c r="Y28" s="806"/>
      <c r="Z28" s="1385"/>
    </row>
    <row r="29" spans="1:26" s="1760" customFormat="1" ht="17.649999999999999" customHeight="1" thickBot="1" x14ac:dyDescent="0.3">
      <c r="A29" s="1499"/>
      <c r="B29" s="1805" t="s">
        <v>1016</v>
      </c>
      <c r="C29" s="1776" t="s">
        <v>255</v>
      </c>
      <c r="D29" s="1789">
        <v>0</v>
      </c>
      <c r="E29" s="1499"/>
      <c r="F29" s="1813" t="str">
        <f>'C-FCL Real'!O26</f>
        <v>Taxa de Lucratividade do Investimento</v>
      </c>
      <c r="G29" s="1791" t="s">
        <v>194</v>
      </c>
      <c r="H29" s="1792">
        <f>'C-FCL Real'!H14</f>
        <v>0.96541446081258564</v>
      </c>
      <c r="I29" s="1499"/>
      <c r="J29" s="1499"/>
      <c r="K29" s="1759"/>
      <c r="L29" s="1499"/>
      <c r="M29" s="1499"/>
      <c r="N29" s="1499"/>
      <c r="O29" s="1499"/>
      <c r="P29" s="1499"/>
      <c r="Q29" s="1499"/>
      <c r="R29" s="805"/>
      <c r="S29" s="806"/>
      <c r="T29" s="806"/>
      <c r="U29" s="806"/>
      <c r="V29" s="806"/>
      <c r="W29" s="806"/>
      <c r="X29" s="806"/>
      <c r="Y29" s="806"/>
      <c r="Z29" s="1385"/>
    </row>
    <row r="30" spans="1:26" s="1760" customFormat="1" ht="17.649999999999999" customHeight="1" x14ac:dyDescent="0.25">
      <c r="A30" s="1499"/>
      <c r="B30" s="1807" t="s">
        <v>1017</v>
      </c>
      <c r="C30" s="1778" t="s">
        <v>255</v>
      </c>
      <c r="D30" s="1793">
        <v>0</v>
      </c>
      <c r="E30" s="1499"/>
      <c r="F30" s="1814" t="s">
        <v>861</v>
      </c>
      <c r="G30" s="1802" t="s">
        <v>262</v>
      </c>
      <c r="H30" s="1803">
        <f>D32*(D8*H33+D31*312*H31)/1000000000</f>
        <v>1.3108265086573185</v>
      </c>
      <c r="I30" s="1499"/>
      <c r="J30" s="1499"/>
      <c r="K30" s="1759"/>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10" t="s">
        <v>1010</v>
      </c>
      <c r="C31" s="1753" t="s">
        <v>21</v>
      </c>
      <c r="D31" s="1754">
        <v>60</v>
      </c>
      <c r="E31" s="881"/>
      <c r="F31" s="1815" t="str">
        <f>IF('R-Definição'!$E$121="Existente","TEP Disp. RPU | Custo p/ Disp. RPU Aterro Sanitário","TEP Disp. RPU| Custo Calc. na Aba 'Aterro Sanitário'")</f>
        <v>TEP Disp. RPU| Custo Calc. na Aba 'Aterro Sanitário'</v>
      </c>
      <c r="G31" s="1794" t="s">
        <v>293</v>
      </c>
      <c r="H31" s="1795">
        <f>IF('R-Definição'!$E$121="Existente",P89,P73)</f>
        <v>165.89021038381674</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6" t="s">
        <v>606</v>
      </c>
      <c r="C32" s="1750" t="s">
        <v>260</v>
      </c>
      <c r="D32" s="1831">
        <v>35</v>
      </c>
      <c r="E32" s="885"/>
      <c r="F32" s="1816" t="s">
        <v>1019</v>
      </c>
      <c r="G32" s="1750" t="s">
        <v>1012</v>
      </c>
      <c r="H32" s="1819">
        <f>'C-Calc Tarifa'!M32</f>
        <v>18.894145553423446</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7" t="s">
        <v>1011</v>
      </c>
      <c r="C33" s="1751" t="s">
        <v>246</v>
      </c>
      <c r="D33" s="1752">
        <v>1396.7092707049733</v>
      </c>
      <c r="E33" s="885"/>
      <c r="F33" s="1818" t="s">
        <v>1013</v>
      </c>
      <c r="G33" s="1796" t="s">
        <v>246</v>
      </c>
      <c r="H33" s="1797">
        <v>1491.675405776728</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812.34742680767567</v>
      </c>
      <c r="I36" s="139"/>
      <c r="J36" s="1313" t="s">
        <v>806</v>
      </c>
      <c r="K36" s="246" t="s">
        <v>249</v>
      </c>
      <c r="L36" s="1324">
        <f>('R-Resumo Bal. Massa'!F58+'R-Resumo Bal. Massa'!G58)*312*D48/D8</f>
        <v>102.19696166965241</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0.15326602384477622</v>
      </c>
      <c r="E37" s="139"/>
      <c r="F37" s="1313" t="s">
        <v>800</v>
      </c>
      <c r="G37" s="1276" t="s">
        <v>249</v>
      </c>
      <c r="H37" s="1324">
        <f>L48</f>
        <v>0</v>
      </c>
      <c r="I37" s="139"/>
      <c r="J37" s="1313" t="s">
        <v>807</v>
      </c>
      <c r="K37" s="1276" t="s">
        <v>249</v>
      </c>
      <c r="L37" s="1324">
        <f>('R-Resumo Bal. Massa'!F59+'R-Resumo Bal. Massa'!G59)*312*D48/D8</f>
        <v>69.431523577092108</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73.8</v>
      </c>
      <c r="E38" s="139"/>
      <c r="F38" s="1313" t="s">
        <v>801</v>
      </c>
      <c r="G38" s="1276" t="s">
        <v>249</v>
      </c>
      <c r="H38" s="1324">
        <f>L49</f>
        <v>0</v>
      </c>
      <c r="I38" s="139"/>
      <c r="J38" s="1313" t="s">
        <v>808</v>
      </c>
      <c r="K38" s="1276" t="s">
        <v>249</v>
      </c>
      <c r="L38" s="1324">
        <f>('R-Resumo Bal. Massa'!F60+'R-Resumo Bal. Massa'!G60)*312*D48/D8</f>
        <v>35.885956006137491</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1918.8</v>
      </c>
      <c r="E39" s="139"/>
      <c r="F39" s="1313" t="s">
        <v>802</v>
      </c>
      <c r="G39" s="1276" t="s">
        <v>249</v>
      </c>
      <c r="H39" s="1324">
        <f>L44+L45</f>
        <v>0</v>
      </c>
      <c r="I39" s="139"/>
      <c r="J39" s="1313" t="s">
        <v>809</v>
      </c>
      <c r="K39" s="1276" t="s">
        <v>249</v>
      </c>
      <c r="L39" s="1324">
        <f>('R-Resumo Bal. Massa'!F61+'R-Resumo Bal. Massa'!G61)*312*D48/D8</f>
        <v>18.723107481463035</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23025.599999999999</v>
      </c>
      <c r="E40" s="139"/>
      <c r="F40" s="1313" t="s">
        <v>803</v>
      </c>
      <c r="G40" s="1276" t="s">
        <v>249</v>
      </c>
      <c r="H40" s="1324">
        <f>L46+L47</f>
        <v>0</v>
      </c>
      <c r="I40" s="139"/>
      <c r="J40" s="1313" t="s">
        <v>810</v>
      </c>
      <c r="K40" s="1276" t="s">
        <v>249</v>
      </c>
      <c r="L40" s="1324">
        <f>('R-Resumo Bal. Massa'!F63+'R-Resumo Bal. Massa'!G63)*312*D48/D8</f>
        <v>4.6807768703657588</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16755.827534542022</v>
      </c>
      <c r="I41" s="139"/>
      <c r="J41" s="1313" t="s">
        <v>811</v>
      </c>
      <c r="K41" s="1276" t="s">
        <v>249</v>
      </c>
      <c r="L41" s="1324">
        <f>('R-Resumo Bal. Massa'!F62+'R-Resumo Bal. Massa'!G62)*312*D48/D8</f>
        <v>17.942978003068745</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116.58333583446125</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23025.599999999995</v>
      </c>
      <c r="E43" s="139"/>
      <c r="F43" s="1313"/>
      <c r="G43" s="246"/>
      <c r="H43" s="1324"/>
      <c r="I43" s="139"/>
      <c r="J43" s="1313" t="s">
        <v>813</v>
      </c>
      <c r="K43" s="1276" t="s">
        <v>249</v>
      </c>
      <c r="L43" s="1324">
        <f>('R-Resumo Bal. Massa'!J62)*312*D48/D8</f>
        <v>446.90278736543485</v>
      </c>
      <c r="M43" s="139"/>
      <c r="N43" s="1313" t="s">
        <v>829</v>
      </c>
      <c r="O43" s="1276" t="s">
        <v>257</v>
      </c>
      <c r="P43" s="1324">
        <f>'R-Resumo Bal. Massa'!J74*312/1000*D48/D8</f>
        <v>16755.827534542022</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4559.2127099999989</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0.80199374999999995</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1026</v>
      </c>
      <c r="C48" s="1276" t="s">
        <v>249</v>
      </c>
      <c r="D48" s="1540">
        <f>SUMIF('C-FCL Real'!$C$33:'C-FCL Real'!$BG$33,1,'C-FCL Real'!C35:'C-FCL Real'!BG35)/D32</f>
        <v>24964.143308617382</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2887.4249999999993</v>
      </c>
      <c r="I55" s="609"/>
      <c r="J55" s="899" t="s">
        <v>277</v>
      </c>
      <c r="K55" s="1409">
        <f>IF('C-Triagem Mec'!$E$7="SIM",'C-Triagem Mec'!$E$19,IF('C-Triagem Mec'!$I$7="SIM",'C-Triagem Mec'!$I$19,IF('C-Triagem Mec'!$M$7="SIM",'C-Triagem Mec'!$M$19,IF('C-Triagem Mec'!$Q$7="SIM",'C-Triagem Mec'!$Q$19,IF('C-Triagem Mec'!$U$7="SIM",'C-Triagem Mec'!$U$19,0)))))</f>
        <v>35.377902032176173</v>
      </c>
      <c r="L55" s="899">
        <f>IF('C-Triagem Mec'!$E$7="SIM",'C-Triagem Mec'!$E$20,IF('C-Triagem Mec'!$I$7="SIM",'C-Triagem Mec'!$I$20,IF('C-Triagem Mec'!$M$7="SIM",'C-Triagem Mec'!$M$20,IF('C-Triagem Mec'!$Q$7="SIM",'C-Triagem Mec'!$Q$20,IF('C-Triagem Mec'!$U$7="SIM",'C-Triagem Mec'!$U$20,0)))))</f>
        <v>12252.405528169973</v>
      </c>
      <c r="M55" s="133"/>
      <c r="N55" s="899" t="s">
        <v>277</v>
      </c>
      <c r="O55" s="1409">
        <f>IF('C-Triagem Mec'!$E$7="SIM",'C-Triagem Mec'!$E$43,IF('C-Triagem Mec'!$I$7="SIM",'C-Triagem Mec'!$I$43,IF('C-Triagem Mec'!$M$7="SIM",'C-Triagem Mec'!$M$43,IF('C-Triagem Mec'!$Q$7="SIM",'C-Triagem Mec'!$Q$43,IF('C-Triagem Mec'!$U$7="SIM",'C-Triagem Mec'!$U$43,0)))))</f>
        <v>7.3722747804248074</v>
      </c>
      <c r="P55" s="899">
        <f>IF('C-Triagem Mec'!$E$7="SIM",'C-Triagem Mec'!$E$42,IF('C-Triagem Mec'!$I$7="SIM",'C-Triagem Mec'!$I$42,IF('C-Triagem Mec'!$M$7="SIM",'C-Triagem Mec'!$M$42,IF('C-Triagem Mec'!$Q$7="SIM",'C-Triagem Mec'!$Q$42,IF('C-Triagem Mec'!$U$7="SIM",'C-Triagem Mec'!$U$42,0)))))</f>
        <v>2553.2350729195769</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1536.4595073386222</v>
      </c>
      <c r="M56" s="133"/>
      <c r="N56" s="1313" t="s">
        <v>274</v>
      </c>
      <c r="O56" s="253">
        <f>IF(AND(H55&gt;0,D98="Não"),((L36*D101)+(L37*D102)+(L38*D103)+(L39*D104)+(L40*D106)+(L41*D105))/$D$40,((L36*D101)+(L37*D102)+(L38*D103)+(L39*D104)+(L40*D106)+(L41*D105))/$D$40*(1-D99))</f>
        <v>0</v>
      </c>
      <c r="P56" s="1299">
        <f>IF(O55&gt;0,O55*1000000/$D$40,0)</f>
        <v>320.17731483326418</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12134.725575051662</v>
      </c>
      <c r="H57" s="1352"/>
      <c r="I57" s="609"/>
      <c r="J57" s="1342" t="s">
        <v>275</v>
      </c>
      <c r="K57" s="246">
        <f>IF('C-Triagem Mec'!$E$7="SIM",'C-Triagem Mec'!$E$23,IF('C-Triagem Mec'!$I$7="SIM",'C-Triagem Mec'!$I$23,IF('C-Triagem Mec'!$M$7="SIM",'C-Triagem Mec'!$M$23,IF('C-Triagem Mec'!$Q$7="SIM",'C-Triagem Mec'!$Q$23,IF('C-Triagem Mec'!$U$7="SIM",'C-Triagem Mec'!$U$23,"0")))))</f>
        <v>0.63980738606872278</v>
      </c>
      <c r="L57" s="1343"/>
      <c r="M57" s="133"/>
      <c r="N57" s="1313" t="s">
        <v>276</v>
      </c>
      <c r="O57" s="253">
        <f>IF('C-Triagem Mec'!$E$7="SIM",'C-Triagem Mec'!$E$44,IF('C-Triagem Mec'!$I$7="SIM",'C-Triagem Mec'!$I$44,IF('C-Triagem Mec'!$M$7="SIM",'C-Triagem Mec'!$M$44,IF('C-Triagem Mec'!$Q$7="SIM",'C-Triagem Mec'!$Q$44,IF('C-Triagem Mec'!$U$7="SIM",'C-Triagem Mec'!$U$44,0)))))</f>
        <v>2.7311999999999999</v>
      </c>
      <c r="P57" s="1318">
        <f>IF('C-Triagem Mec'!$E$7="SIM",'C-Triagem Mec'!$E$45,IF('C-Triagem Mec'!$I$7="SIM",'C-Triagem Mec'!$I$45,IF('C-Triagem Mec'!$M$7="SIM",'C-Triagem Mec'!$M$45,IF('C-Triagem Mec'!$Q$7="SIM",'C-Triagem Mec'!$Q$45,IF('C-Triagem Mec'!$U$7="SIM",'C-Triagem Mec'!$U$45,0)))))</f>
        <v>1607.3403743559775</v>
      </c>
      <c r="Q57" s="133"/>
      <c r="R57" s="805"/>
      <c r="S57" s="806"/>
      <c r="T57" s="806"/>
      <c r="U57" s="806"/>
      <c r="V57" s="806"/>
      <c r="W57" s="806"/>
      <c r="X57" s="806"/>
      <c r="Y57" s="806"/>
      <c r="Z57" s="1385"/>
    </row>
    <row r="58" spans="1:26" ht="17.649999999999999" hidden="1" customHeight="1" outlineLevel="1" x14ac:dyDescent="0.25">
      <c r="A58" s="40"/>
      <c r="B58" s="1313" t="s">
        <v>1020</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010" t="s">
        <v>281</v>
      </c>
      <c r="D66" s="2011"/>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Sim</v>
      </c>
      <c r="H70" s="899">
        <f>IF('C-Incineração'!D2&gt;0,'C-Incineração'!H2,0)</f>
        <v>22869.127856249997</v>
      </c>
      <c r="I70" s="609"/>
      <c r="J70" s="899" t="s">
        <v>63</v>
      </c>
      <c r="K70" s="1409">
        <f>IF('C-Incineração'!$E$7="SIM",'C-Incineração'!$E$19,IF('C-Incineração'!$I$7="SIM",'C-Incineração'!$I$19,IF('C-Incineração'!$M$7="SIM",'C-Incineração'!$M$19,IF('C-Incineração'!$Q$7="SIM",'C-Incineração'!$Q$19,IF('C-Incineração'!$U$7="SIM",'C-Incineração'!$U$19,0)))))</f>
        <v>89.081354699844127</v>
      </c>
      <c r="L70" s="899">
        <f>IF('C-Incineração'!$E$7="SIM",'C-Incineração'!$E$20,IF('C-Incineração'!$I$7="SIM",'C-Incineração'!$I$20,IF('C-Incineração'!$M$7="SIM",'C-Incineração'!$M$20,IF('C-Incineração'!$Q$7="SIM",'C-Incineração'!$Q$20,IF('C-Incineração'!$U$7="SIM",'C-Incineração'!$U$20,0)))))</f>
        <v>3895.2668094642145</v>
      </c>
      <c r="M70" s="255"/>
      <c r="N70" s="899" t="s">
        <v>63</v>
      </c>
      <c r="O70" s="1409">
        <f>IF('C-Incineração'!$E$7="SIM",'C-Incineração'!$E$52,IF('C-Incineração'!$I$7="SIM",'C-Incineração'!$I$52,IF('C-Incineração'!$M$7="SIM",'C-Incineração'!$M$52,IF('C-Incineração'!$Q$7="SIM",'C-Incineração'!$Q$52,IF('C-Incineração'!$U$7="SIM",'C-Incineração'!$U$52,0)))))</f>
        <v>16.238487527445848</v>
      </c>
      <c r="P70" s="899">
        <f>IF('C-Incineração'!$E$7="SIM",'C-Incineração'!$E$51,IF('C-Incineração'!$I$7="SIM",'C-Incineração'!$I$51,IF('C-Incineração'!$M$7="SIM",'C-Incineração'!$M$51,IF('C-Incineração'!$Q$7="SIM",'C-Incineração'!$Q$51,IF('C-Incineração'!$U$7="SIM",'C-Incineração'!$U$51,0)))))</f>
        <v>710.0615130370162</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3868.796239830629</v>
      </c>
      <c r="M71" s="256"/>
      <c r="N71" s="1313" t="s">
        <v>274</v>
      </c>
      <c r="O71" s="253">
        <f>IF(H70&gt;0,((P43*D114))/$D$40,0)</f>
        <v>363.8521370679162</v>
      </c>
      <c r="P71" s="1299">
        <f>IF(O70&gt;0,O70*1000000/$D$40,0)</f>
        <v>705.23623824985441</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f>IF('C-Incineração'!$E$7="SIM",'C-Incineração'!$D$17,IF('C-Incineração'!$I$7="SIM",'C-Incineração'!$H$17,IF('C-Incineração'!$M$7="SIM",'C-Incineração'!$L$17,IF('C-Incineração'!$Q$7="SIM",'C-Incineração'!$P$17,IF('C-Incineração'!$U$7="SIM",'C-Incineração'!$T$17,"0")))))</f>
        <v>96000</v>
      </c>
      <c r="H72" s="1355"/>
      <c r="I72" s="693"/>
      <c r="J72" s="1342" t="s">
        <v>275</v>
      </c>
      <c r="K72" s="246">
        <f>IF('C-Incineração'!$E$7="SIM",'C-Incineração'!$E$25,IF('C-Incineração'!$I$7="SIM",'C-Incineração'!$I$25,IF('C-Incineração'!$M$7="SIM",'C-Incineração'!$M$25,IF('C-Incineração'!$Q$7="SIM",'C-Incineração'!$Q$25,IF('C-Incineração'!$U$7="SIM",'C-Incineração'!$U$25,"0")))))</f>
        <v>2.8990181519098668</v>
      </c>
      <c r="L72" s="1344"/>
      <c r="M72" s="256"/>
      <c r="N72" s="1313" t="s">
        <v>276</v>
      </c>
      <c r="O72" s="253">
        <f>IF('C-Incineração'!$E$7="SIM",'C-Incineração'!$E$53,IF('C-Incineração'!$I$7="SIM",'C-Incineração'!$I$53,IF('C-Incineração'!$M$7="SIM",'C-Incineração'!$M$53,IF('C-Incineração'!$Q$7="SIM",'C-Incineração'!$Q$53,IF('C-Incineração'!$U$7="SIM",'C-Incineração'!$U$53,0)))))</f>
        <v>10.653206407682474</v>
      </c>
      <c r="P72" s="1324">
        <f>IF('C-Incineração'!$E$7="SIM",'C-Incineração'!$E$54,IF('C-Incineração'!$I$7="SIM",'C-Incineração'!$I$54,IF('C-Incineração'!$M$7="SIM",'C-Incineração'!$M$54,IF('C-Incineração'!$Q$7="SIM",'C-Incineração'!$Q$54,IF('C-Incineração'!$U$7="SIM",'C-Incineração'!$U$54,0)))))</f>
        <v>244.22798957927685</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23353.825571249999</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10.109407748110504</v>
      </c>
      <c r="L73" s="899">
        <f>IF('C-Aterro Sanitário'!$E$7="SIM",'C-Aterro Sanitário'!$E$19,IF('C-Aterro Sanitário'!$I$7="SIM",'C-Aterro Sanitário'!$I$19,IF('C-Aterro Sanitário'!$M$7="SIM",'C-Aterro Sanitário'!$M$19,IF('C-Aterro Sanitário'!$Q$7="SIM",'C-Aterro Sanitário'!$Q$19,IF('C-Aterro Sanitário'!$U$7="SIM",'C-Aterro Sanitário'!$U$19,0)))))</f>
        <v>432.88015992359766</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3.8741710372816218</v>
      </c>
      <c r="P73" s="899">
        <f>IF('C-Aterro Sanitário'!$E$7="SIM",'C-Aterro Sanitário'!$E$45,IF('C-Aterro Sanitário'!$I$7="SIM",'C-Aterro Sanitário'!$I$45,IF('C-Aterro Sanitário'!$M$7="SIM",'C-Aterro Sanitário'!$M$45,IF('C-Aterro Sanitário'!$Q$7="SIM",'C-Aterro Sanitário'!$Q$45,IF('C-Aterro Sanitário'!$U$7="SIM",'C-Aterro Sanitário'!$U$45,0)))))</f>
        <v>165.89021038381674</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439.0507846966205</v>
      </c>
      <c r="M74" s="256"/>
      <c r="N74" s="1313" t="s">
        <v>274</v>
      </c>
      <c r="O74" s="253">
        <f>IF(H73&gt;0,((P44*D114+P46*D117))/$D$40,0)</f>
        <v>0</v>
      </c>
      <c r="P74" s="1299">
        <f>IF(O73&gt;0,O73*1000000/$D$40,0)</f>
        <v>168.25494394420218</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6">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35377</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13.909726284487277</v>
      </c>
      <c r="L75" s="1324">
        <f>IF(K73&gt;0,K75*1000000/(H73*20),0)</f>
        <v>29.78040202032469</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1.0359658663212659</v>
      </c>
      <c r="P75" s="1324">
        <f>IF('C-Aterro Sanitário'!$E$7="SIM",'C-Aterro Sanitário'!$E$48,IF('C-Aterro Sanitário'!$I$7="SIM",'C-Aterro Sanitário'!$I$48,IF('C-Aterro Sanitário'!$M$7="SIM",'C-Aterro Sanitário'!$M$48,IF('C-Aterro Sanitário'!$Q$7="SIM",'C-Aterro Sanitário'!$Q$48,IF('C-Aterro Sanitário'!$U$7="SIM",'C-Aterro Sanitário'!$U$48,0)))))</f>
        <v>121.5306315576135</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6">
        <v>1.0780000000000001</v>
      </c>
      <c r="E76" s="133"/>
      <c r="F76" s="1260" t="s">
        <v>287</v>
      </c>
      <c r="G76" s="250">
        <f>IF(K78&lt;&gt;0,(G53*K52+G56*K55+G59*K58+G62*K61+G65*K64+G68*K67+G71*K70+G74*K73)/K78,0)</f>
        <v>0.30634339792531995</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6">
        <v>7.26</v>
      </c>
      <c r="E77" s="133"/>
      <c r="F77" s="1260" t="s">
        <v>544</v>
      </c>
      <c r="G77" s="238">
        <f>G54+G57+G60+G63+G66+G69+G72</f>
        <v>108134.72557505166</v>
      </c>
      <c r="H77" s="1354"/>
      <c r="I77" s="693"/>
      <c r="J77" s="1345" t="s">
        <v>288</v>
      </c>
      <c r="K77" s="254">
        <f>K54+K57+K60+K63+K66+K69+K72</f>
        <v>3.5388255379785898</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2" t="s">
        <v>1023</v>
      </c>
      <c r="C78" s="698" t="s">
        <v>1022</v>
      </c>
      <c r="D78" s="1827">
        <v>2.2000000000000002</v>
      </c>
      <c r="E78" s="133"/>
      <c r="F78" s="2008" t="s">
        <v>566</v>
      </c>
      <c r="G78" s="2009"/>
      <c r="H78" s="1334">
        <f>'R-Resumo Bal. Massa'!D16*312</f>
        <v>23025.599999999995</v>
      </c>
      <c r="I78" s="609"/>
      <c r="J78" s="1332" t="s">
        <v>290</v>
      </c>
      <c r="K78" s="1333">
        <f>K52+K55+K58+K61+K64+K67+K70+K73</f>
        <v>134.56866448013079</v>
      </c>
      <c r="L78" s="1334">
        <f>K78*1000000/H78</f>
        <v>5844.3065318658719</v>
      </c>
      <c r="M78" s="255"/>
      <c r="N78" s="1332" t="s">
        <v>548</v>
      </c>
      <c r="O78" s="1333">
        <f>O52+O55+O58+O61+O64+O67+O70+O73</f>
        <v>27.484933345152278</v>
      </c>
      <c r="P78" s="1334">
        <f>O78*1000000/H78</f>
        <v>1193.6684970273211</v>
      </c>
      <c r="Q78" s="133"/>
      <c r="R78" s="805"/>
      <c r="S78" s="806"/>
      <c r="T78" s="806"/>
      <c r="U78" s="806"/>
      <c r="V78" s="806"/>
      <c r="W78" s="806"/>
      <c r="X78" s="806"/>
      <c r="Y78" s="806"/>
      <c r="Z78" s="1385"/>
    </row>
    <row r="79" spans="1:26" ht="15" hidden="1" customHeight="1" outlineLevel="1" thickTop="1" thickBot="1" x14ac:dyDescent="0.3">
      <c r="A79" s="31"/>
      <c r="B79" s="1744" t="s">
        <v>565</v>
      </c>
      <c r="C79" s="1745" t="s">
        <v>278</v>
      </c>
      <c r="D79" s="1823">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0</v>
      </c>
      <c r="E82" s="133"/>
      <c r="F82" s="1313" t="s">
        <v>666</v>
      </c>
      <c r="G82" s="457" t="s">
        <v>243</v>
      </c>
      <c r="H82" s="1336">
        <f>((L36)*D101+(L37)*D102+(L38)*D103+(L39)*D104+(L40+L42)*D105+(L41+L43)*D106)/1000000</f>
        <v>0.61600806463886448</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0</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0</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f>'[1]Arranjos NOVO'!$E$18</f>
        <v>514.64999999999895</v>
      </c>
      <c r="E84" s="133"/>
      <c r="F84" s="1313" t="s">
        <v>667</v>
      </c>
      <c r="G84" s="457" t="s">
        <v>243</v>
      </c>
      <c r="H84" s="1336">
        <f>(L48*D108+L49*D109)/1000000</f>
        <v>0</v>
      </c>
      <c r="I84" s="139"/>
      <c r="J84" s="1313" t="s">
        <v>578</v>
      </c>
      <c r="K84" s="457" t="s">
        <v>243</v>
      </c>
      <c r="L84" s="1336">
        <f>D84*D43/1000000</f>
        <v>11.850125039999973</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8.3779137672710107</v>
      </c>
      <c r="I85" s="139"/>
      <c r="J85" s="1313" t="s">
        <v>579</v>
      </c>
      <c r="K85" s="457" t="s">
        <v>243</v>
      </c>
      <c r="L85" s="1336">
        <f>IF('R-Definição'!O120="Sim",D85*D43/1000000,0)</f>
        <v>0</v>
      </c>
      <c r="M85" s="133"/>
      <c r="N85" s="1313" t="s">
        <v>669</v>
      </c>
      <c r="O85" s="455" t="s">
        <v>296</v>
      </c>
      <c r="P85" s="1372">
        <f>IF(O55&lt;&gt;0,O55*1000000/(SUM(L36:L41)),0)</f>
        <v>29624.030227069608</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969.12477130540515</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f>'[1]Arranjos NOVO'!$E$20</f>
        <v>37.099999999999902</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c r="C91" s="457"/>
      <c r="D91" s="1324"/>
      <c r="E91" s="133"/>
      <c r="F91" s="1348" t="s">
        <v>736</v>
      </c>
      <c r="G91" s="241" t="s">
        <v>243</v>
      </c>
      <c r="H91" s="1339">
        <f>SUM(H82:H89)</f>
        <v>8.9939218319098746</v>
      </c>
      <c r="I91" s="244"/>
      <c r="J91" s="1338" t="s">
        <v>512</v>
      </c>
      <c r="K91" s="241" t="s">
        <v>243</v>
      </c>
      <c r="L91" s="1339">
        <f>SUM(L82:L85)</f>
        <v>11.850125039999973</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390.60531894542925</v>
      </c>
      <c r="I92" s="139"/>
      <c r="J92" s="1313" t="s">
        <v>580</v>
      </c>
      <c r="K92" s="457" t="s">
        <v>293</v>
      </c>
      <c r="L92" s="1324">
        <f>L91*1000000/D40</f>
        <v>514.64999999999884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3"/>
      <c r="E93" s="133"/>
      <c r="F93" s="1300" t="s">
        <v>732</v>
      </c>
      <c r="G93" s="1301" t="s">
        <v>837</v>
      </c>
      <c r="H93" s="1340">
        <f>H92*($D$7*30/$D$6)</f>
        <v>2.1010847410092408</v>
      </c>
      <c r="I93" s="139"/>
      <c r="J93" s="1315" t="s">
        <v>733</v>
      </c>
      <c r="K93" s="1301" t="s">
        <v>250</v>
      </c>
      <c r="L93" s="1340">
        <f>L92*($D$7*30/$D$6)</f>
        <v>2.7683270286226516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2001" t="s">
        <v>794</v>
      </c>
      <c r="C95" s="2002"/>
      <c r="D95" s="2002"/>
      <c r="E95" s="2002"/>
      <c r="F95" s="2002"/>
      <c r="G95" s="2002"/>
      <c r="H95" s="2002"/>
      <c r="I95" s="2002"/>
      <c r="J95" s="2002"/>
      <c r="K95" s="2002"/>
      <c r="L95" s="2003"/>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27.654080136693278</v>
      </c>
      <c r="I98" s="139"/>
      <c r="J98" s="1260" t="s">
        <v>583</v>
      </c>
      <c r="K98" s="210" t="s">
        <v>243</v>
      </c>
      <c r="L98" s="1365">
        <f>H98+L91</f>
        <v>39.504205176693247</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1201.0145289023208</v>
      </c>
      <c r="I99" s="139"/>
      <c r="J99" s="1313" t="s">
        <v>584</v>
      </c>
      <c r="K99" s="457" t="s">
        <v>293</v>
      </c>
      <c r="L99" s="1370">
        <f>L98*1000000/D40</f>
        <v>1715.6645289023195</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6.4603147423079816</v>
      </c>
      <c r="I100" s="139"/>
      <c r="J100" s="1315" t="s">
        <v>735</v>
      </c>
      <c r="K100" s="1301" t="s">
        <v>250</v>
      </c>
      <c r="L100" s="1371">
        <f>L99*($D$7*30/$D$6)</f>
        <v>9.2286417709306328</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068" t="s">
        <v>877</v>
      </c>
      <c r="C2" s="2068"/>
      <c r="D2" s="2068"/>
      <c r="E2" s="2068"/>
      <c r="F2" s="2068"/>
      <c r="G2" s="2068"/>
      <c r="H2" s="2068"/>
      <c r="I2" s="2068"/>
      <c r="J2" s="2068"/>
      <c r="K2" s="2068"/>
      <c r="L2" s="2068"/>
      <c r="M2" s="2068"/>
      <c r="N2" s="408"/>
      <c r="O2" s="2067" t="s">
        <v>595</v>
      </c>
      <c r="P2" s="2067"/>
      <c r="Q2" s="2067"/>
      <c r="R2" s="2067"/>
      <c r="S2" s="2067"/>
      <c r="T2" s="2067"/>
      <c r="U2" s="2067"/>
      <c r="V2" s="2067"/>
      <c r="W2" s="2067"/>
      <c r="X2" s="2067"/>
      <c r="Y2" s="2067"/>
      <c r="Z2" s="2067"/>
      <c r="AA2" s="2067"/>
      <c r="AB2" s="423"/>
    </row>
    <row r="3" spans="1:28" s="731" customFormat="1" ht="17.649999999999999" customHeight="1" x14ac:dyDescent="0.25">
      <c r="A3" s="729"/>
      <c r="B3" s="2068"/>
      <c r="C3" s="2068"/>
      <c r="D3" s="2068"/>
      <c r="E3" s="2068"/>
      <c r="F3" s="2068"/>
      <c r="G3" s="2068"/>
      <c r="H3" s="2068"/>
      <c r="I3" s="2068"/>
      <c r="J3" s="2068"/>
      <c r="K3" s="2068"/>
      <c r="L3" s="2068"/>
      <c r="M3" s="2068"/>
      <c r="N3" s="730"/>
      <c r="O3" s="2067"/>
      <c r="P3" s="2067"/>
      <c r="Q3" s="2067"/>
      <c r="R3" s="2067"/>
      <c r="S3" s="2067"/>
      <c r="T3" s="2067"/>
      <c r="U3" s="2067"/>
      <c r="V3" s="2067"/>
      <c r="W3" s="2067"/>
      <c r="X3" s="2067"/>
      <c r="Y3" s="2067"/>
      <c r="Z3" s="2067"/>
      <c r="AA3" s="2067"/>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049" t="s">
        <v>302</v>
      </c>
      <c r="K5" s="2047" t="s">
        <v>303</v>
      </c>
      <c r="L5" s="408"/>
      <c r="M5" s="409"/>
      <c r="N5" s="408"/>
      <c r="O5" s="2075" t="s">
        <v>785</v>
      </c>
      <c r="P5" s="408"/>
      <c r="Q5" s="2075" t="s">
        <v>786</v>
      </c>
      <c r="R5" s="408"/>
      <c r="S5" s="2075" t="s">
        <v>787</v>
      </c>
      <c r="T5" s="408"/>
      <c r="U5" s="2075" t="s">
        <v>788</v>
      </c>
      <c r="V5" s="408"/>
      <c r="W5" s="2075" t="s">
        <v>789</v>
      </c>
      <c r="X5" s="408"/>
      <c r="Y5" s="2075" t="s">
        <v>795</v>
      </c>
      <c r="Z5" s="408"/>
      <c r="AA5" s="408"/>
      <c r="AB5" s="423"/>
    </row>
    <row r="6" spans="1:28" s="237" customFormat="1" ht="19.899999999999999" hidden="1" customHeight="1" outlineLevel="1" x14ac:dyDescent="0.25">
      <c r="A6" s="408"/>
      <c r="B6" s="1466" t="s">
        <v>596</v>
      </c>
      <c r="C6" s="1427" t="s">
        <v>243</v>
      </c>
      <c r="D6" s="1442">
        <f>D7*D8/1000000</f>
        <v>34.346721223252622</v>
      </c>
      <c r="E6" s="413"/>
      <c r="F6" s="1462" t="s">
        <v>879</v>
      </c>
      <c r="G6" s="1414">
        <f>J7*(1-K7)</f>
        <v>109759.20000000001</v>
      </c>
      <c r="H6" s="1456">
        <f>G6/$G$11</f>
        <v>0.66654521075030615</v>
      </c>
      <c r="I6" s="408"/>
      <c r="J6" s="2050"/>
      <c r="K6" s="2048"/>
      <c r="L6" s="408"/>
      <c r="M6" s="418"/>
      <c r="N6" s="410"/>
      <c r="O6" s="2076"/>
      <c r="P6" s="408"/>
      <c r="Q6" s="2076"/>
      <c r="R6" s="408"/>
      <c r="S6" s="2076"/>
      <c r="T6" s="408"/>
      <c r="U6" s="2076"/>
      <c r="V6" s="408"/>
      <c r="W6" s="2076"/>
      <c r="X6" s="408"/>
      <c r="Y6" s="2076"/>
      <c r="Z6" s="408"/>
      <c r="AA6" s="408"/>
      <c r="AB6" s="423"/>
    </row>
    <row r="7" spans="1:28" s="237" customFormat="1" ht="19.899999999999999" hidden="1" customHeight="1" outlineLevel="1" x14ac:dyDescent="0.25">
      <c r="A7" s="408"/>
      <c r="B7" s="1462" t="s">
        <v>597</v>
      </c>
      <c r="C7" s="1425" t="s">
        <v>293</v>
      </c>
      <c r="D7" s="1443">
        <f>'R&amp;C-Painel de Controle'!H33</f>
        <v>1491.675405776728</v>
      </c>
      <c r="E7" s="413"/>
      <c r="F7" s="1462" t="s">
        <v>880</v>
      </c>
      <c r="G7" s="1414">
        <f>J7*K7</f>
        <v>27439.800000000003</v>
      </c>
      <c r="H7" s="1456">
        <f>G7/$G$11</f>
        <v>0.16663630268757654</v>
      </c>
      <c r="I7" s="408"/>
      <c r="J7" s="2079">
        <f>'R&amp;C-Painel de Controle'!D6/3</f>
        <v>137199</v>
      </c>
      <c r="K7" s="2077">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23025.599999999999</v>
      </c>
      <c r="E8" s="413"/>
      <c r="F8" s="1462" t="s">
        <v>881</v>
      </c>
      <c r="G8" s="1457">
        <f>J7/5</f>
        <v>27439.8</v>
      </c>
      <c r="H8" s="1456">
        <f>G8/$G$11</f>
        <v>0.16663630268757654</v>
      </c>
      <c r="I8" s="408"/>
      <c r="J8" s="2080"/>
      <c r="K8" s="2078"/>
      <c r="L8" s="408"/>
      <c r="M8" s="418"/>
      <c r="N8" s="410"/>
      <c r="O8" s="1293">
        <f>(O12-O10)/O10</f>
        <v>1.2145591636766743E-6</v>
      </c>
      <c r="P8" s="410"/>
      <c r="Q8" s="1293">
        <f>(Q12-Q10)/Q10</f>
        <v>-5.8327040398668539E-3</v>
      </c>
      <c r="R8" s="410"/>
      <c r="S8" s="1293">
        <f>(S12-S10)/S10</f>
        <v>-5.8327040398668444E-3</v>
      </c>
      <c r="T8" s="408"/>
      <c r="U8" s="1293">
        <f>(U12-U10)/U10</f>
        <v>2.2914268472023186E-2</v>
      </c>
      <c r="V8" s="408"/>
      <c r="W8" s="1293">
        <f>(W12-W10)/W10</f>
        <v>2.2914268472023186E-2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37.335315303690898</v>
      </c>
      <c r="R10" s="410"/>
      <c r="S10" s="240">
        <f>D8</f>
        <v>23025.599999999999</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997.45989681050673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1.4954740642170501</v>
      </c>
      <c r="E12" s="408"/>
      <c r="F12" s="408"/>
      <c r="G12" s="408"/>
      <c r="H12" s="409"/>
      <c r="I12" s="408"/>
      <c r="J12" s="409"/>
      <c r="K12" s="409"/>
      <c r="L12" s="409"/>
      <c r="M12" s="409"/>
      <c r="N12" s="408"/>
      <c r="O12" s="240">
        <f>O33</f>
        <v>164669</v>
      </c>
      <c r="P12" s="410"/>
      <c r="Q12" s="251">
        <f>Q33</f>
        <v>37.117549459289357</v>
      </c>
      <c r="R12" s="410"/>
      <c r="S12" s="240">
        <f>S33*(1+$D$17+$D$18+$D$19)</f>
        <v>22891.298489859641</v>
      </c>
      <c r="T12" s="408"/>
      <c r="U12" s="240">
        <f>U33</f>
        <v>23493387.184143588</v>
      </c>
      <c r="V12" s="408"/>
      <c r="W12" s="240">
        <f>W33</f>
        <v>23493387.184143588</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069" t="s">
        <v>884</v>
      </c>
      <c r="G15" s="2071" t="s">
        <v>194</v>
      </c>
      <c r="H15" s="2073">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070"/>
      <c r="G16" s="2072"/>
      <c r="H16" s="2074"/>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37.335315303690898</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1.6255990012297363</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044" t="s">
        <v>847</v>
      </c>
      <c r="G23" s="2045"/>
      <c r="H23" s="2046"/>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226.72974664108136</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37.335315303690898</v>
      </c>
      <c r="E25" s="408"/>
      <c r="F25" s="1465" t="s">
        <v>886</v>
      </c>
      <c r="G25" s="1447" t="s">
        <v>310</v>
      </c>
      <c r="H25" s="1461">
        <f>H24/12</f>
        <v>18.894145553423446</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1.6255990012297363</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060" t="s">
        <v>870</v>
      </c>
      <c r="C29" s="2061"/>
      <c r="D29" s="2061"/>
      <c r="E29" s="2062"/>
      <c r="F29" s="408"/>
      <c r="G29" s="408"/>
      <c r="H29" s="409"/>
      <c r="I29" s="408"/>
      <c r="J29" s="409"/>
      <c r="K29" s="2057" t="s">
        <v>311</v>
      </c>
      <c r="L29" s="2058"/>
      <c r="M29" s="2059"/>
      <c r="N29" s="408"/>
      <c r="O29" s="2063" t="s">
        <v>708</v>
      </c>
      <c r="P29" s="2064"/>
      <c r="Q29" s="2064"/>
      <c r="R29" s="2064"/>
      <c r="S29" s="2064"/>
      <c r="T29" s="2064"/>
      <c r="U29" s="2064"/>
      <c r="V29" s="2064"/>
      <c r="W29" s="2064"/>
      <c r="X29" s="2064"/>
      <c r="Y29" s="2064"/>
      <c r="Z29" s="2064"/>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053" t="s">
        <v>871</v>
      </c>
      <c r="C31" s="2054"/>
      <c r="D31" s="2054"/>
      <c r="E31" s="2054"/>
      <c r="F31" s="2054"/>
      <c r="G31" s="2054"/>
      <c r="H31" s="2054"/>
      <c r="I31" s="2054"/>
      <c r="J31" s="2054"/>
      <c r="K31" s="2054"/>
      <c r="L31" s="1415" t="s">
        <v>312</v>
      </c>
      <c r="M31" s="1415" t="s">
        <v>313</v>
      </c>
      <c r="N31" s="408"/>
      <c r="O31" s="2015" t="s">
        <v>601</v>
      </c>
      <c r="P31" s="408"/>
      <c r="Q31" s="2015" t="s">
        <v>314</v>
      </c>
      <c r="R31" s="408"/>
      <c r="S31" s="2015" t="s">
        <v>602</v>
      </c>
      <c r="T31" s="408"/>
      <c r="U31" s="2015" t="s">
        <v>603</v>
      </c>
      <c r="V31" s="408"/>
      <c r="W31" s="2015" t="s">
        <v>603</v>
      </c>
      <c r="X31" s="408"/>
      <c r="Y31" s="2015" t="s">
        <v>414</v>
      </c>
      <c r="Z31" s="408"/>
      <c r="AA31" s="408"/>
      <c r="AB31" s="423"/>
    </row>
    <row r="32" spans="1:28" s="237" customFormat="1" ht="19.899999999999999" customHeight="1" x14ac:dyDescent="0.25">
      <c r="A32" s="408"/>
      <c r="B32" s="2055"/>
      <c r="C32" s="2054"/>
      <c r="D32" s="2054"/>
      <c r="E32" s="2054"/>
      <c r="F32" s="2054"/>
      <c r="G32" s="2054"/>
      <c r="H32" s="2054"/>
      <c r="I32" s="2054"/>
      <c r="J32" s="2054"/>
      <c r="K32" s="2054"/>
      <c r="L32" s="1416">
        <f>H24</f>
        <v>226.72974664108136</v>
      </c>
      <c r="M32" s="1417">
        <f>H25</f>
        <v>18.894145553423446</v>
      </c>
      <c r="N32" s="411"/>
      <c r="O32" s="1927"/>
      <c r="P32" s="411"/>
      <c r="Q32" s="1927"/>
      <c r="R32" s="411"/>
      <c r="S32" s="1927"/>
      <c r="T32" s="408"/>
      <c r="U32" s="1927"/>
      <c r="V32" s="408"/>
      <c r="W32" s="1927"/>
      <c r="X32" s="408"/>
      <c r="Y32" s="2056"/>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37.117549459289357</v>
      </c>
      <c r="R33" s="408"/>
      <c r="S33" s="240">
        <f>12*S34</f>
        <v>21097.970958395981</v>
      </c>
      <c r="T33" s="408" t="s">
        <v>315</v>
      </c>
      <c r="U33" s="240">
        <f>12*U34</f>
        <v>23493387.184143588</v>
      </c>
      <c r="V33" s="408" t="s">
        <v>316</v>
      </c>
      <c r="W33" s="240">
        <f>12*W34</f>
        <v>23493387.184143588</v>
      </c>
      <c r="X33" s="408" t="s">
        <v>316</v>
      </c>
      <c r="Y33" s="2065">
        <v>0.1</v>
      </c>
      <c r="Z33" s="408"/>
      <c r="AA33" s="408"/>
      <c r="AB33" s="423"/>
    </row>
    <row r="34" spans="1:28" s="237" customFormat="1" ht="34.9" hidden="1" customHeight="1" outlineLevel="1" x14ac:dyDescent="0.25">
      <c r="A34" s="408"/>
      <c r="B34" s="2025" t="s">
        <v>317</v>
      </c>
      <c r="C34" s="2026"/>
      <c r="D34" s="2026"/>
      <c r="E34" s="2026"/>
      <c r="F34" s="2026"/>
      <c r="G34" s="2026"/>
      <c r="H34" s="2026"/>
      <c r="I34" s="2026"/>
      <c r="J34" s="2026"/>
      <c r="K34" s="2026"/>
      <c r="L34" s="2026"/>
      <c r="M34" s="2026"/>
      <c r="N34" s="411"/>
      <c r="O34" s="711"/>
      <c r="P34" s="411"/>
      <c r="Q34" s="711"/>
      <c r="R34" s="411"/>
      <c r="S34" s="240">
        <f>S36+S49+S62+S75+S88</f>
        <v>1758.1642465329985</v>
      </c>
      <c r="T34" s="408" t="s">
        <v>318</v>
      </c>
      <c r="U34" s="240">
        <f>U36+U49+U62+U75+U88</f>
        <v>1957782.2653452989</v>
      </c>
      <c r="V34" s="408" t="s">
        <v>319</v>
      </c>
      <c r="W34" s="240">
        <f>W36+W49+W62+W75+W88</f>
        <v>1957782.2653452989</v>
      </c>
      <c r="X34" s="408" t="s">
        <v>319</v>
      </c>
      <c r="Y34" s="2066"/>
      <c r="Z34" s="408"/>
      <c r="AA34" s="408"/>
      <c r="AB34" s="423"/>
    </row>
    <row r="35" spans="1:28" s="237" customFormat="1" ht="25.15" hidden="1" customHeight="1" outlineLevel="1" x14ac:dyDescent="0.25">
      <c r="A35" s="408"/>
      <c r="B35" s="2027" t="s">
        <v>320</v>
      </c>
      <c r="C35" s="2019"/>
      <c r="D35" s="2019"/>
      <c r="E35" s="2028"/>
      <c r="F35" s="2019"/>
      <c r="G35" s="2019"/>
      <c r="H35" s="2019"/>
      <c r="I35" s="2028"/>
      <c r="J35" s="2019"/>
      <c r="K35" s="2019"/>
      <c r="L35" s="2019"/>
      <c r="M35" s="2019"/>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027" t="s">
        <v>321</v>
      </c>
      <c r="C36" s="2027" t="s">
        <v>322</v>
      </c>
      <c r="D36" s="2030"/>
      <c r="E36" s="1308"/>
      <c r="F36" s="2018" t="s">
        <v>323</v>
      </c>
      <c r="G36" s="2019"/>
      <c r="H36" s="2020"/>
      <c r="I36" s="709"/>
      <c r="J36" s="2016" t="s">
        <v>876</v>
      </c>
      <c r="K36" s="2017"/>
      <c r="L36" s="2017"/>
      <c r="M36" s="2017"/>
      <c r="N36" s="408"/>
      <c r="O36" s="240">
        <f>O39+O41+O42+O43+O44+O45</f>
        <v>25</v>
      </c>
      <c r="P36" s="417"/>
      <c r="Q36" s="717">
        <f>Q39+Q41+Q42+Q43+Q44+Q45</f>
        <v>441.06021026272856</v>
      </c>
      <c r="R36" s="408"/>
      <c r="S36" s="2014">
        <f>IF(AND(Q36&lt;&gt;0,O36&lt;&gt;0),Q36/(1+$D$17+$D$18+$D$19)/(($D$25*1000000/$D$8)),0)</f>
        <v>0.25070285195506636</v>
      </c>
      <c r="T36" s="2051" t="s">
        <v>324</v>
      </c>
      <c r="U36" s="2014">
        <f>U39+U41+U42+U43+U44+U45</f>
        <v>250.06604084120022</v>
      </c>
      <c r="V36" s="417" t="s">
        <v>325</v>
      </c>
      <c r="W36" s="2014">
        <f>W39*O39+W41*O41+W42*O42+W43*O43+W44*O44+W45*O45</f>
        <v>250.06604084120022</v>
      </c>
      <c r="X36" s="417" t="s">
        <v>325</v>
      </c>
      <c r="Y36" s="694" t="s">
        <v>326</v>
      </c>
      <c r="Z36" s="408"/>
      <c r="AA36" s="408"/>
      <c r="AB36" s="423"/>
    </row>
    <row r="37" spans="1:28" s="237" customFormat="1" ht="24" hidden="1" customHeight="1" outlineLevel="1" x14ac:dyDescent="0.25">
      <c r="A37" s="408"/>
      <c r="B37" s="2029"/>
      <c r="C37" s="1418" t="s">
        <v>327</v>
      </c>
      <c r="D37" s="1419" t="s">
        <v>328</v>
      </c>
      <c r="E37" s="1309"/>
      <c r="F37" s="2021"/>
      <c r="G37" s="2019"/>
      <c r="H37" s="2020"/>
      <c r="I37" s="710"/>
      <c r="J37" s="2022" t="s">
        <v>329</v>
      </c>
      <c r="K37" s="2023"/>
      <c r="L37" s="2024" t="s">
        <v>330</v>
      </c>
      <c r="M37" s="2023"/>
      <c r="N37" s="408"/>
      <c r="O37" s="714" t="s">
        <v>331</v>
      </c>
      <c r="P37" s="417"/>
      <c r="Q37" s="718">
        <v>0.5</v>
      </c>
      <c r="R37" s="408"/>
      <c r="S37" s="1993"/>
      <c r="T37" s="2052"/>
      <c r="U37" s="1993"/>
      <c r="V37" s="417"/>
      <c r="W37" s="1990"/>
      <c r="X37" s="417"/>
      <c r="Y37" s="721">
        <f>$Y$33</f>
        <v>0.1</v>
      </c>
      <c r="Z37" s="408"/>
      <c r="AA37" s="408"/>
      <c r="AB37" s="423"/>
    </row>
    <row r="38" spans="1:28" s="237" customFormat="1" ht="24" hidden="1" customHeight="1" outlineLevel="1" x14ac:dyDescent="0.25">
      <c r="A38" s="408"/>
      <c r="B38" s="2037">
        <v>1</v>
      </c>
      <c r="C38" s="2037">
        <v>1</v>
      </c>
      <c r="D38" s="2040">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038"/>
      <c r="C39" s="2039"/>
      <c r="D39" s="2041"/>
      <c r="E39" s="710"/>
      <c r="F39" s="1473" t="s">
        <v>289</v>
      </c>
      <c r="G39" s="1474">
        <v>5</v>
      </c>
      <c r="H39" s="1475">
        <v>0.35</v>
      </c>
      <c r="I39" s="1309"/>
      <c r="J39" s="1476">
        <f>$L$32*H39*$B$38*$C$38</f>
        <v>79.355411324378466</v>
      </c>
      <c r="K39" s="1477">
        <f>$M$32*H39*$B$38*$C$38</f>
        <v>6.6129509436982055</v>
      </c>
      <c r="L39" s="1476">
        <f>J39*$D$38</f>
        <v>99.194264155473078</v>
      </c>
      <c r="M39" s="1477">
        <f>K39*$D$38</f>
        <v>8.2661886796227577</v>
      </c>
      <c r="N39" s="408"/>
      <c r="O39" s="715">
        <v>5</v>
      </c>
      <c r="P39" s="417"/>
      <c r="Q39" s="261">
        <f>O39*$Q$37*M39+O39*(1-$Q$37)*K39</f>
        <v>37.19784905830241</v>
      </c>
      <c r="R39" s="408"/>
      <c r="S39" s="719">
        <f>IF(AND(Q39&lt;&gt;0,O39&lt;&gt;0),Q39/(1+$D$17+$D$18+$D$19)/O39/30/(($D$25*1000000/$D$8))*1000,0)</f>
        <v>0.14095742680204534</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038"/>
      <c r="C40" s="2039"/>
      <c r="D40" s="2041"/>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038"/>
      <c r="C41" s="2039"/>
      <c r="D41" s="2041"/>
      <c r="E41" s="710"/>
      <c r="F41" s="1473">
        <f>G39</f>
        <v>5</v>
      </c>
      <c r="G41" s="1474">
        <v>15</v>
      </c>
      <c r="H41" s="1475">
        <v>0.06</v>
      </c>
      <c r="I41" s="1309"/>
      <c r="J41" s="1476">
        <f>$L$32*(H39+(G41-F41)*H41)*$B$38*$C$38</f>
        <v>215.39325930902729</v>
      </c>
      <c r="K41" s="1477">
        <f>$M$32*(H39+(G41-F41)*H41)*$B$38*$C$38</f>
        <v>17.949438275752271</v>
      </c>
      <c r="L41" s="1476">
        <f t="shared" ref="L41:M45" si="0">J41*$D$38</f>
        <v>269.2415741362841</v>
      </c>
      <c r="M41" s="1477">
        <f t="shared" si="0"/>
        <v>22.436797844690339</v>
      </c>
      <c r="N41" s="408"/>
      <c r="O41" s="715">
        <v>20</v>
      </c>
      <c r="P41" s="417"/>
      <c r="Q41" s="261">
        <f>O41*$Q$37*M41+O41*(1-$Q$37)*K41</f>
        <v>403.86236120442612</v>
      </c>
      <c r="R41" s="408"/>
      <c r="S41" s="719">
        <f>IF(AND(Q41&lt;&gt;0,O41&lt;&gt;0),Q41/(1+$D$17+$D$18+$D$19)/O41/30/(($D$25*1000000/$D$8))*1000,0)</f>
        <v>0.38259872989126587</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038"/>
      <c r="C42" s="2039"/>
      <c r="D42" s="2041"/>
      <c r="E42" s="710"/>
      <c r="F42" s="1473">
        <f>G41</f>
        <v>15</v>
      </c>
      <c r="G42" s="1474">
        <v>25</v>
      </c>
      <c r="H42" s="1475">
        <v>0.05</v>
      </c>
      <c r="I42" s="1309"/>
      <c r="J42" s="1476">
        <f>$L$32*(H39+(G41-F41)*H41+(G42-F42)*H42)*$B$38*$C$38</f>
        <v>328.75813262956797</v>
      </c>
      <c r="K42" s="1477">
        <f>$M$32*(H39+(G41-F41)*H41+(G42-F42)*H42)*$B$38*$C$38</f>
        <v>27.396511052463996</v>
      </c>
      <c r="L42" s="1476">
        <f t="shared" si="0"/>
        <v>410.94766578695999</v>
      </c>
      <c r="M42" s="1477">
        <f t="shared" si="0"/>
        <v>34.245638815579994</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038"/>
      <c r="C43" s="2039"/>
      <c r="D43" s="2041"/>
      <c r="E43" s="710"/>
      <c r="F43" s="1473">
        <f>G42</f>
        <v>25</v>
      </c>
      <c r="G43" s="1474">
        <v>35</v>
      </c>
      <c r="H43" s="1475">
        <v>3.5000000000000003E-2</v>
      </c>
      <c r="I43" s="1309"/>
      <c r="J43" s="1476">
        <f>$L$32*(H39+(G41-F41)*H41+(G42-F42)*H42+(G43-F43)*H43)*$B$38*$C$38</f>
        <v>408.11354395394648</v>
      </c>
      <c r="K43" s="1477">
        <f>$M$32*(H39+(G41-F41)*H41+(G42-F42)*H42+(G43-F43)*H43)*$B$38*$C$38</f>
        <v>34.009461996162202</v>
      </c>
      <c r="L43" s="1476">
        <f t="shared" si="0"/>
        <v>510.14192994243308</v>
      </c>
      <c r="M43" s="1477">
        <f t="shared" si="0"/>
        <v>42.511827495202752</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038"/>
      <c r="C44" s="2039"/>
      <c r="D44" s="2041"/>
      <c r="E44" s="710"/>
      <c r="F44" s="1473">
        <f>G43</f>
        <v>35</v>
      </c>
      <c r="G44" s="1474">
        <v>50</v>
      </c>
      <c r="H44" s="1475">
        <f>0.03</f>
        <v>0.03</v>
      </c>
      <c r="I44" s="1309"/>
      <c r="J44" s="1476">
        <f>$L$32*(H39+(G41-F41)*H41+(G42-F42)*H42+(G43-F43)*H43+(G44-F44)*H44)*$B$38*$C$38</f>
        <v>510.14192994243308</v>
      </c>
      <c r="K44" s="1477">
        <f>$M$32*(H39+(G41-F41)*H41+(G42-F42)*H42+(G43-F43)*H43+(G44-F44)*H44)*$B$38*$C$38</f>
        <v>42.511827495202752</v>
      </c>
      <c r="L44" s="1476">
        <f t="shared" si="0"/>
        <v>637.67741242804141</v>
      </c>
      <c r="M44" s="1477">
        <f t="shared" si="0"/>
        <v>53.139784369003436</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038"/>
      <c r="C45" s="2039"/>
      <c r="D45" s="2041"/>
      <c r="E45" s="710"/>
      <c r="F45" s="1473">
        <f>G44</f>
        <v>50</v>
      </c>
      <c r="G45" s="1474">
        <v>100</v>
      </c>
      <c r="H45" s="1475">
        <v>2.5000000000000001E-2</v>
      </c>
      <c r="I45" s="1309"/>
      <c r="J45" s="1476">
        <f>$L$32*(H39+(G41-F41)*H41+(G42-F42)*H42+(G43-F43)*H43+(G44-F44)*H44+(G45-F45)*H45)*$B$38*$C$38</f>
        <v>793.55411324378474</v>
      </c>
      <c r="K45" s="1477">
        <f>$M$32*(H39+(G41-F41)*H41+(G42-F42)*H42+(G43-F43)*H43+(G44-F44)*H44+(G45-F45)*H45)*$B$38*$C$38</f>
        <v>66.129509436982062</v>
      </c>
      <c r="L45" s="1476">
        <f t="shared" si="0"/>
        <v>991.94264155473093</v>
      </c>
      <c r="M45" s="1477">
        <f t="shared" si="0"/>
        <v>82.661886796227577</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025" t="s">
        <v>336</v>
      </c>
      <c r="C47" s="2026"/>
      <c r="D47" s="2026"/>
      <c r="E47" s="2026"/>
      <c r="F47" s="2026"/>
      <c r="G47" s="2026"/>
      <c r="H47" s="2026"/>
      <c r="I47" s="2026"/>
      <c r="J47" s="2026"/>
      <c r="K47" s="2026"/>
      <c r="L47" s="2026"/>
      <c r="M47" s="2026"/>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027" t="s">
        <v>320</v>
      </c>
      <c r="C48" s="2019"/>
      <c r="D48" s="2019"/>
      <c r="E48" s="2028"/>
      <c r="F48" s="2019"/>
      <c r="G48" s="2019"/>
      <c r="H48" s="2019"/>
      <c r="I48" s="2028"/>
      <c r="J48" s="2019"/>
      <c r="K48" s="2019"/>
      <c r="L48" s="2019"/>
      <c r="M48" s="2019"/>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027" t="s">
        <v>321</v>
      </c>
      <c r="C49" s="2027" t="s">
        <v>322</v>
      </c>
      <c r="D49" s="2030"/>
      <c r="E49" s="1308"/>
      <c r="F49" s="2018" t="s">
        <v>323</v>
      </c>
      <c r="G49" s="2019"/>
      <c r="H49" s="2020"/>
      <c r="I49" s="709"/>
      <c r="J49" s="2016" t="s">
        <v>876</v>
      </c>
      <c r="K49" s="2017"/>
      <c r="L49" s="2017"/>
      <c r="M49" s="2017"/>
      <c r="N49" s="408"/>
      <c r="O49" s="240">
        <f>O52+O54+O55+O56+O57+O58</f>
        <v>109759</v>
      </c>
      <c r="P49" s="417"/>
      <c r="Q49" s="723">
        <f>Q52+Q54+Q55+Q56+Q57+Q58</f>
        <v>1700507.64066795</v>
      </c>
      <c r="R49" s="408"/>
      <c r="S49" s="2033">
        <f>IF(AND(Q49&lt;&gt;0,O49&lt;&gt;0),Q49/(1+$D$17+$D$18+$D$19)/(($D$25*1000000/$D$8)),0)</f>
        <v>966.58484571275835</v>
      </c>
      <c r="T49" s="2051" t="s">
        <v>324</v>
      </c>
      <c r="U49" s="2014">
        <f>U52+U54+U55+U56+U57+U58</f>
        <v>964129.62046324741</v>
      </c>
      <c r="V49" s="417" t="s">
        <v>325</v>
      </c>
      <c r="W49" s="2031">
        <f>W52*O52+W54*O54+W55*O55+W56*O56+W57*O57+W58*O58</f>
        <v>964129.62046324741</v>
      </c>
      <c r="X49" s="417" t="s">
        <v>325</v>
      </c>
      <c r="Y49" s="694" t="s">
        <v>326</v>
      </c>
      <c r="Z49" s="408"/>
      <c r="AA49" s="408"/>
      <c r="AB49" s="423"/>
    </row>
    <row r="50" spans="1:28" s="237" customFormat="1" ht="24" hidden="1" customHeight="1" outlineLevel="1" x14ac:dyDescent="0.25">
      <c r="A50" s="408"/>
      <c r="B50" s="2029"/>
      <c r="C50" s="1418" t="s">
        <v>327</v>
      </c>
      <c r="D50" s="1419" t="s">
        <v>328</v>
      </c>
      <c r="E50" s="1309"/>
      <c r="F50" s="2021"/>
      <c r="G50" s="2019"/>
      <c r="H50" s="2020"/>
      <c r="I50" s="710"/>
      <c r="J50" s="2022" t="s">
        <v>329</v>
      </c>
      <c r="K50" s="2023"/>
      <c r="L50" s="2024" t="s">
        <v>330</v>
      </c>
      <c r="M50" s="2023"/>
      <c r="N50" s="408"/>
      <c r="O50" s="722" t="s">
        <v>331</v>
      </c>
      <c r="P50" s="417"/>
      <c r="Q50" s="718">
        <v>0.5</v>
      </c>
      <c r="R50" s="408"/>
      <c r="S50" s="1993"/>
      <c r="T50" s="2052"/>
      <c r="U50" s="1993"/>
      <c r="V50" s="417"/>
      <c r="W50" s="2032"/>
      <c r="X50" s="417"/>
      <c r="Y50" s="721">
        <f>$Y$33</f>
        <v>0.1</v>
      </c>
      <c r="Z50" s="408"/>
      <c r="AA50" s="408"/>
      <c r="AB50" s="423"/>
    </row>
    <row r="51" spans="1:28" s="237" customFormat="1" ht="24" hidden="1" customHeight="1" outlineLevel="1" x14ac:dyDescent="0.25">
      <c r="A51" s="408"/>
      <c r="B51" s="2037">
        <v>1</v>
      </c>
      <c r="C51" s="2037">
        <v>1</v>
      </c>
      <c r="D51" s="2040">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038"/>
      <c r="C52" s="2039"/>
      <c r="D52" s="2041"/>
      <c r="E52" s="710"/>
      <c r="F52" s="1473" t="s">
        <v>289</v>
      </c>
      <c r="G52" s="1474">
        <v>5</v>
      </c>
      <c r="H52" s="1475">
        <f>0.35-0.05</f>
        <v>0.3</v>
      </c>
      <c r="I52" s="1309"/>
      <c r="J52" s="1476">
        <f>$L$32*H52*$B$51*$C$51</f>
        <v>68.018923992324403</v>
      </c>
      <c r="K52" s="1477">
        <f>$M$32*H52*$B$51*$C$51</f>
        <v>5.6682436660270339</v>
      </c>
      <c r="L52" s="1476">
        <f>J52*$D$51</f>
        <v>85.023654990405504</v>
      </c>
      <c r="M52" s="1477">
        <f>K52*$D$51</f>
        <v>7.0853045825337926</v>
      </c>
      <c r="N52" s="408"/>
      <c r="O52" s="715">
        <v>76400</v>
      </c>
      <c r="P52" s="417"/>
      <c r="Q52" s="261">
        <f>O52*$Q$50*M52+O52*(1-$Q$50)*K52</f>
        <v>487185.54309502355</v>
      </c>
      <c r="R52" s="408"/>
      <c r="S52" s="719">
        <f>IF(AND(Q52&lt;&gt;0,O52&lt;&gt;0),Q52/(1+$D$17+$D$18+$D$19)/O52/30/(($D$25*1000000/$D$8))*1000,0)</f>
        <v>0.12082065154461029</v>
      </c>
      <c r="T52" s="417" t="s">
        <v>333</v>
      </c>
      <c r="U52" s="699">
        <f>S52*O52*30*$D$11*(1+$D$24)/1000</f>
        <v>276217.52559423173</v>
      </c>
      <c r="V52" s="417" t="s">
        <v>334</v>
      </c>
      <c r="W52" s="699">
        <f>IF(O52&lt;&gt;0,U52/O52,0)</f>
        <v>3.6154126386679546</v>
      </c>
      <c r="X52" s="417" t="s">
        <v>335</v>
      </c>
      <c r="Y52" s="262" t="str">
        <f>IF(O52=0,"-", IF(W52&lt;=(G52*(1+$Y$50)),"OK", "NOK"))</f>
        <v>OK</v>
      </c>
      <c r="Z52" s="139"/>
      <c r="AA52" s="227">
        <f>IF(OR(Y52="OK",Y52="-"),1,0)</f>
        <v>1</v>
      </c>
      <c r="AB52" s="423"/>
    </row>
    <row r="53" spans="1:28" s="237" customFormat="1" ht="24" hidden="1" customHeight="1" outlineLevel="1" x14ac:dyDescent="0.25">
      <c r="A53" s="408"/>
      <c r="B53" s="2038"/>
      <c r="C53" s="2039"/>
      <c r="D53" s="2041"/>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038"/>
      <c r="C54" s="2039"/>
      <c r="D54" s="2041"/>
      <c r="E54" s="710"/>
      <c r="F54" s="1473">
        <f>G52</f>
        <v>5</v>
      </c>
      <c r="G54" s="1474">
        <v>15</v>
      </c>
      <c r="H54" s="1475">
        <f>0.08</f>
        <v>0.08</v>
      </c>
      <c r="I54" s="1309"/>
      <c r="J54" s="1476">
        <f>$L$32*(H52+(G54-F54)*H54)*$B$51*$C$51</f>
        <v>249.40272130518952</v>
      </c>
      <c r="K54" s="1477">
        <f>$M$32*(H52+(G54-F54)*H54)*$B$51*$C$51</f>
        <v>20.783560108765791</v>
      </c>
      <c r="L54" s="1476">
        <f t="shared" ref="L54:M58" si="1">J54*$D$51</f>
        <v>311.75340163148689</v>
      </c>
      <c r="M54" s="1477">
        <f t="shared" si="1"/>
        <v>25.979450135957237</v>
      </c>
      <c r="N54" s="408"/>
      <c r="O54" s="715">
        <v>16500</v>
      </c>
      <c r="P54" s="417"/>
      <c r="Q54" s="261">
        <f>O54*$Q$50*M54+O54*(1-$Q$50)*K54</f>
        <v>385794.83451896498</v>
      </c>
      <c r="R54" s="408"/>
      <c r="S54" s="719">
        <f>IF(AND(Q54&lt;&gt;0,O54&lt;&gt;0),Q54/(1+$D$17+$D$18+$D$19)/O54/30/(($D$25*1000000/$D$8))*1000,0)</f>
        <v>0.44300905566357102</v>
      </c>
      <c r="T54" s="417" t="s">
        <v>333</v>
      </c>
      <c r="U54" s="699">
        <f>S54*O54*30*$D$11*(1+$D$24)/1000</f>
        <v>218732.46463941128</v>
      </c>
      <c r="V54" s="417" t="s">
        <v>334</v>
      </c>
      <c r="W54" s="726">
        <f>IF(O54&lt;&gt;0,U54/O54,0)</f>
        <v>13.256513008449168</v>
      </c>
      <c r="X54" s="417" t="s">
        <v>335</v>
      </c>
      <c r="Y54" s="262" t="str">
        <f>IF(O54=0,"-",IF(AND(((F54*(1-$Y$50))&lt;W54),(W54&lt;(G54*(1+$Y$50)))),"OK", "NOK"))</f>
        <v>OK</v>
      </c>
      <c r="Z54" s="139"/>
      <c r="AA54" s="227">
        <f>IF(OR(Y54="OK",Y54="-"),1,0)</f>
        <v>1</v>
      </c>
      <c r="AB54" s="423"/>
    </row>
    <row r="55" spans="1:28" s="237" customFormat="1" ht="24" hidden="1" customHeight="1" outlineLevel="1" x14ac:dyDescent="0.25">
      <c r="A55" s="408"/>
      <c r="B55" s="2038"/>
      <c r="C55" s="2039"/>
      <c r="D55" s="2041"/>
      <c r="E55" s="710"/>
      <c r="F55" s="1473">
        <f>G54</f>
        <v>15</v>
      </c>
      <c r="G55" s="1474">
        <v>25</v>
      </c>
      <c r="H55" s="1475">
        <f>0.0725</f>
        <v>7.2499999999999995E-2</v>
      </c>
      <c r="I55" s="1309"/>
      <c r="J55" s="1476">
        <f>$L$32*(H52+(G54-F54)*H54+(G55-F55)*H55)*$B$51*$C$51</f>
        <v>413.7817876199735</v>
      </c>
      <c r="K55" s="1477">
        <f>$M$32*(H52+(G54-F54)*H54+(G55-F55)*H55)*$B$51*$C$51</f>
        <v>34.481815634997794</v>
      </c>
      <c r="L55" s="1476">
        <f t="shared" si="1"/>
        <v>517.22723452496689</v>
      </c>
      <c r="M55" s="1477">
        <f t="shared" si="1"/>
        <v>43.102269543747241</v>
      </c>
      <c r="N55" s="408"/>
      <c r="O55" s="715">
        <v>10000</v>
      </c>
      <c r="P55" s="417"/>
      <c r="Q55" s="261">
        <f>O55*$Q$50*M55+O55*(1-$Q$50)*K55</f>
        <v>387920.42589372519</v>
      </c>
      <c r="R55" s="408"/>
      <c r="S55" s="719">
        <f>IF(AND(Q55&lt;&gt;0,O55&lt;&gt;0),Q55/(1+$D$17+$D$18+$D$19)/O55/30/(($D$25*1000000/$D$8))*1000,0)</f>
        <v>0.73499229689637935</v>
      </c>
      <c r="T55" s="417" t="s">
        <v>333</v>
      </c>
      <c r="U55" s="699">
        <f>S55*O55*30*$D$11*(1+$D$24)/1000</f>
        <v>219937.60218563396</v>
      </c>
      <c r="V55" s="417" t="s">
        <v>334</v>
      </c>
      <c r="W55" s="727">
        <f>IF(O55&lt;&gt;0,U55/O55,0)</f>
        <v>21.993760218563395</v>
      </c>
      <c r="X55" s="417" t="s">
        <v>335</v>
      </c>
      <c r="Y55" s="262" t="str">
        <f>IF(O55=0,"-",IF(AND(((F55*(1-$Y$50))&lt;W55),(W55&lt;(G55*(1+$Y$50)))),"OK", "NOK"))</f>
        <v>OK</v>
      </c>
      <c r="Z55" s="139"/>
      <c r="AA55" s="227">
        <f>IF(OR(Y55="OK",Y55="-"),1,0)</f>
        <v>1</v>
      </c>
      <c r="AB55" s="423"/>
    </row>
    <row r="56" spans="1:28" s="237" customFormat="1" ht="24" hidden="1" customHeight="1" outlineLevel="1" x14ac:dyDescent="0.25">
      <c r="A56" s="408"/>
      <c r="B56" s="2038"/>
      <c r="C56" s="2039"/>
      <c r="D56" s="2041"/>
      <c r="E56" s="710"/>
      <c r="F56" s="1473">
        <f>G55</f>
        <v>25</v>
      </c>
      <c r="G56" s="1474">
        <v>35</v>
      </c>
      <c r="H56" s="1475">
        <v>6.5000000000000002E-2</v>
      </c>
      <c r="I56" s="1309"/>
      <c r="J56" s="1476">
        <f>$L$32*(H52+(G54-F54)*H54+(G55-F55)*H55+(G56-F56)*H56)*$B$51*$C$51</f>
        <v>561.15612293667641</v>
      </c>
      <c r="K56" s="1477">
        <f>$M$32*(H52+(G54-F54)*H54+(G55-F55)*H55+(G56-F56)*H56)*$B$51*$C$51</f>
        <v>46.763010244723027</v>
      </c>
      <c r="L56" s="1476">
        <f t="shared" si="1"/>
        <v>701.44515367084546</v>
      </c>
      <c r="M56" s="1477">
        <f t="shared" si="1"/>
        <v>58.453762805903786</v>
      </c>
      <c r="N56" s="408"/>
      <c r="O56" s="715">
        <v>5500</v>
      </c>
      <c r="P56" s="417"/>
      <c r="Q56" s="261">
        <f>O56*$Q$50*M56+O56*(1-$Q$50)*K56</f>
        <v>289346.12588922377</v>
      </c>
      <c r="R56" s="408"/>
      <c r="S56" s="719">
        <f>IF(AND(Q56&lt;&gt;0,O56&lt;&gt;0),Q56/(1+$D$17+$D$18+$D$19)/O56/30/(($D$25*1000000/$D$8))*1000,0)</f>
        <v>0.99677037524303513</v>
      </c>
      <c r="T56" s="417" t="s">
        <v>333</v>
      </c>
      <c r="U56" s="699">
        <f>S56*O56*30*$D$11*(1+$D$24)/1000</f>
        <v>164049.34847955848</v>
      </c>
      <c r="V56" s="417" t="s">
        <v>334</v>
      </c>
      <c r="W56" s="727">
        <f>IF(O56&lt;&gt;0,U56/O56,0)</f>
        <v>29.827154269010634</v>
      </c>
      <c r="X56" s="417" t="s">
        <v>335</v>
      </c>
      <c r="Y56" s="262" t="str">
        <f>IF(O56=0,"-",IF(AND(((F56*(1-$Y$50))&lt;W56),(W56&lt;(G56*(1+$Y$50)))),"OK", "NOK"))</f>
        <v>OK</v>
      </c>
      <c r="Z56" s="139"/>
      <c r="AA56" s="227">
        <f>IF(OR(Y56="OK",Y56="-"),1,0)</f>
        <v>1</v>
      </c>
      <c r="AB56" s="423"/>
    </row>
    <row r="57" spans="1:28" s="237" customFormat="1" ht="24" hidden="1" customHeight="1" outlineLevel="1" x14ac:dyDescent="0.25">
      <c r="A57" s="408"/>
      <c r="B57" s="2038"/>
      <c r="C57" s="2039"/>
      <c r="D57" s="2041"/>
      <c r="E57" s="710"/>
      <c r="F57" s="1473">
        <f>G56</f>
        <v>35</v>
      </c>
      <c r="G57" s="1474">
        <v>50</v>
      </c>
      <c r="H57" s="1475">
        <f>0.06</f>
        <v>0.06</v>
      </c>
      <c r="I57" s="1309"/>
      <c r="J57" s="1476">
        <f>$L$32*(H52+(G54-F54)*H54+(G55-F55)*H55+(G56-F56)*H56+(G57-F57)*H57)*$B$51*$C$51</f>
        <v>765.21289491364962</v>
      </c>
      <c r="K57" s="1477">
        <f>$M$32*(H52+(G54-F54)*H54+(G55-F55)*H55+(G56-F56)*H56+(G57-F57)*H57)*$B$51*$C$51</f>
        <v>63.767741242804128</v>
      </c>
      <c r="L57" s="1476">
        <f t="shared" si="1"/>
        <v>956.516118642062</v>
      </c>
      <c r="M57" s="1477">
        <f t="shared" si="1"/>
        <v>79.709676553505162</v>
      </c>
      <c r="N57" s="408"/>
      <c r="O57" s="715">
        <v>366</v>
      </c>
      <c r="P57" s="417"/>
      <c r="Q57" s="261">
        <f>O57*$Q$50*M57+O57*(1-$Q$50)*K57</f>
        <v>26256.367456724598</v>
      </c>
      <c r="R57" s="408"/>
      <c r="S57" s="719">
        <f>IF(AND(Q57&lt;&gt;0,O57&lt;&gt;0),Q57/(1+$D$17+$D$18+$D$19)/O57/30/(($D$25*1000000/$D$8))*1000,0)</f>
        <v>1.3592323298768658</v>
      </c>
      <c r="T57" s="417" t="s">
        <v>333</v>
      </c>
      <c r="U57" s="699">
        <f>S57*O57*30*$D$11*(1+$D$24)/1000</f>
        <v>14886.461539715307</v>
      </c>
      <c r="V57" s="417" t="s">
        <v>334</v>
      </c>
      <c r="W57" s="727">
        <f>IF(O57&lt;&gt;0,U57/O57,0)</f>
        <v>40.673392185014499</v>
      </c>
      <c r="X57" s="417" t="s">
        <v>335</v>
      </c>
      <c r="Y57" s="262" t="str">
        <f>IF(O57=0,"-",IF(AND(((F57*(1-$Y$50))&lt;W57),(W57&lt;(G57*(1+$Y$50)))),"OK", "NOK"))</f>
        <v>OK</v>
      </c>
      <c r="Z57" s="139"/>
      <c r="AA57" s="227">
        <f>IF(OR(Y57="OK",Y57="-"),1,0)</f>
        <v>1</v>
      </c>
      <c r="AB57" s="423"/>
    </row>
    <row r="58" spans="1:28" s="237" customFormat="1" ht="24" hidden="1" customHeight="1" outlineLevel="1" x14ac:dyDescent="0.25">
      <c r="A58" s="408"/>
      <c r="B58" s="2038"/>
      <c r="C58" s="2039"/>
      <c r="D58" s="2041"/>
      <c r="E58" s="710"/>
      <c r="F58" s="1473">
        <f>G57</f>
        <v>50</v>
      </c>
      <c r="G58" s="1474">
        <v>100</v>
      </c>
      <c r="H58" s="1475">
        <v>0.05</v>
      </c>
      <c r="I58" s="1309"/>
      <c r="J58" s="1476">
        <f>$L$32*(H52+(G54-F54)*H54+(G55-F55)*H55+(G56-F56)*H56+(G57-F57)*H57+(G58-F58)*H58)*$B$51*$C$51</f>
        <v>1332.0372615163531</v>
      </c>
      <c r="K58" s="1477">
        <f>$M$32*(H52+(G54-F54)*H54+(G55-F55)*H55+(G56-F56)*H56+(G57-F57)*H57+(G58-F58)*H58)*$B$51*$C$51</f>
        <v>111.00310512636274</v>
      </c>
      <c r="L58" s="1476">
        <f t="shared" si="1"/>
        <v>1665.0465768954414</v>
      </c>
      <c r="M58" s="1477">
        <f t="shared" si="1"/>
        <v>138.75388140795343</v>
      </c>
      <c r="N58" s="408"/>
      <c r="O58" s="715">
        <v>993</v>
      </c>
      <c r="P58" s="417"/>
      <c r="Q58" s="261">
        <f>O58*$Q$50*M58+O58*(1-$Q$50)*K58</f>
        <v>124004.34381428797</v>
      </c>
      <c r="R58" s="408"/>
      <c r="S58" s="719">
        <f>IF(AND(Q58&lt;&gt;0,O58&lt;&gt;0),Q58/(1+$D$17+$D$18+$D$19)/O58/30/(($D$25*1000000/$D$8))*1000,0)</f>
        <v>2.3660710927486184</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025" t="s">
        <v>337</v>
      </c>
      <c r="C60" s="2026"/>
      <c r="D60" s="2026"/>
      <c r="E60" s="2026"/>
      <c r="F60" s="2026"/>
      <c r="G60" s="2026"/>
      <c r="H60" s="2026"/>
      <c r="I60" s="2026"/>
      <c r="J60" s="2026"/>
      <c r="K60" s="2026"/>
      <c r="L60" s="2026"/>
      <c r="M60" s="2026"/>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027" t="s">
        <v>320</v>
      </c>
      <c r="C61" s="2019"/>
      <c r="D61" s="2019"/>
      <c r="E61" s="2028"/>
      <c r="F61" s="2019"/>
      <c r="G61" s="2019"/>
      <c r="H61" s="2019"/>
      <c r="I61" s="2028"/>
      <c r="J61" s="2019"/>
      <c r="K61" s="2019"/>
      <c r="L61" s="2019"/>
      <c r="M61" s="2019"/>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027" t="s">
        <v>321</v>
      </c>
      <c r="C62" s="2027" t="s">
        <v>322</v>
      </c>
      <c r="D62" s="2030"/>
      <c r="E62" s="1308"/>
      <c r="F62" s="2018" t="s">
        <v>323</v>
      </c>
      <c r="G62" s="2019"/>
      <c r="H62" s="2020"/>
      <c r="I62" s="709"/>
      <c r="J62" s="2016" t="s">
        <v>876</v>
      </c>
      <c r="K62" s="2017"/>
      <c r="L62" s="2017"/>
      <c r="M62" s="2017"/>
      <c r="N62" s="408"/>
      <c r="O62" s="240">
        <f>O65+O67+O68+O69+O70+O71</f>
        <v>27440</v>
      </c>
      <c r="P62" s="417"/>
      <c r="Q62" s="717">
        <f>Q65+Q67+Q68+Q69+Q70+Q71</f>
        <v>89989.532413165958</v>
      </c>
      <c r="R62" s="408"/>
      <c r="S62" s="2014">
        <f>IF(AND(Q62&lt;&gt;0,O62&lt;&gt;0),Q62/(1+$D$17+$D$18+$D$19)/(($D$25*1000000/$D$8)),0)</f>
        <v>51.150912952779812</v>
      </c>
      <c r="T62" s="2051" t="s">
        <v>324</v>
      </c>
      <c r="U62" s="2014">
        <f>U65+U67+U68+U69+U70+U71</f>
        <v>255104.92177821486</v>
      </c>
      <c r="V62" s="417" t="s">
        <v>325</v>
      </c>
      <c r="W62" s="2014">
        <f>W65*O65+W67*O67+W68*O68+W69*O69+W70*O70+W71*O71</f>
        <v>255104.92177821486</v>
      </c>
      <c r="X62" s="417" t="s">
        <v>325</v>
      </c>
      <c r="Y62" s="694" t="s">
        <v>326</v>
      </c>
      <c r="Z62" s="408"/>
      <c r="AA62" s="408"/>
      <c r="AB62" s="423"/>
    </row>
    <row r="63" spans="1:28" s="237" customFormat="1" ht="24" hidden="1" customHeight="1" outlineLevel="1" x14ac:dyDescent="0.25">
      <c r="A63" s="408"/>
      <c r="B63" s="2029"/>
      <c r="C63" s="1418" t="s">
        <v>327</v>
      </c>
      <c r="D63" s="1419" t="s">
        <v>328</v>
      </c>
      <c r="E63" s="1309"/>
      <c r="F63" s="2021"/>
      <c r="G63" s="2019"/>
      <c r="H63" s="2020"/>
      <c r="I63" s="710"/>
      <c r="J63" s="2022" t="s">
        <v>329</v>
      </c>
      <c r="K63" s="2023"/>
      <c r="L63" s="2024" t="s">
        <v>330</v>
      </c>
      <c r="M63" s="2023"/>
      <c r="N63" s="408"/>
      <c r="O63" s="722" t="s">
        <v>331</v>
      </c>
      <c r="P63" s="417"/>
      <c r="Q63" s="718">
        <v>0.25</v>
      </c>
      <c r="R63" s="408"/>
      <c r="S63" s="1993"/>
      <c r="T63" s="2052"/>
      <c r="U63" s="1993"/>
      <c r="V63" s="417"/>
      <c r="W63" s="1990"/>
      <c r="X63" s="417"/>
      <c r="Y63" s="721">
        <f>$Y$33</f>
        <v>0.1</v>
      </c>
      <c r="Z63" s="408"/>
      <c r="AA63" s="408"/>
      <c r="AB63" s="423"/>
    </row>
    <row r="64" spans="1:28" s="237" customFormat="1" ht="24" hidden="1" customHeight="1" outlineLevel="1" x14ac:dyDescent="0.25">
      <c r="A64" s="408"/>
      <c r="B64" s="2034">
        <f>B51*$H$15</f>
        <v>0.2</v>
      </c>
      <c r="C64" s="2034">
        <f>C51</f>
        <v>1</v>
      </c>
      <c r="D64" s="2034">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035"/>
      <c r="C65" s="2035"/>
      <c r="D65" s="2035"/>
      <c r="E65" s="710"/>
      <c r="F65" s="1473" t="s">
        <v>289</v>
      </c>
      <c r="G65" s="1478">
        <f>G52</f>
        <v>5</v>
      </c>
      <c r="H65" s="1479">
        <f>H52</f>
        <v>0.3</v>
      </c>
      <c r="I65" s="1309"/>
      <c r="J65" s="1480">
        <f>$L$32*H65*$B$64*$C$64</f>
        <v>13.603784798464881</v>
      </c>
      <c r="K65" s="1477">
        <f>$M$32*H65*$B$64*$C$64</f>
        <v>1.1336487332054068</v>
      </c>
      <c r="L65" s="1476">
        <f>J65*$D$51</f>
        <v>17.004730998081101</v>
      </c>
      <c r="M65" s="1477">
        <f>K65*$D$51</f>
        <v>1.4170609165067585</v>
      </c>
      <c r="N65" s="408"/>
      <c r="O65" s="715">
        <v>15000</v>
      </c>
      <c r="P65" s="417"/>
      <c r="Q65" s="261">
        <f>O65*$Q$63*M65+O65*(1-$Q$63)*K65</f>
        <v>18067.526685461169</v>
      </c>
      <c r="R65" s="408"/>
      <c r="S65" s="719">
        <f>IF(AND(Q65&lt;&gt;0,O65&lt;&gt;0),Q65/(1+$D$17+$D$18+$D$19)/$H$15/O65/30/(($D$25*1000000/$D$8))*1000,0)</f>
        <v>0.11410839312546527</v>
      </c>
      <c r="T65" s="417" t="s">
        <v>333</v>
      </c>
      <c r="U65" s="699">
        <f>S65*O65*30*$D$11*(1+$D$24)/1000</f>
        <v>51218.345714462695</v>
      </c>
      <c r="V65" s="417" t="s">
        <v>334</v>
      </c>
      <c r="W65" s="699">
        <f>IF(O65&lt;&gt;0,U65/O65,0)</f>
        <v>3.4145563809641799</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035"/>
      <c r="C66" s="2035"/>
      <c r="D66" s="2035"/>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035"/>
      <c r="C67" s="2035"/>
      <c r="D67" s="2035"/>
      <c r="E67" s="710"/>
      <c r="F67" s="1473">
        <f>G65</f>
        <v>5</v>
      </c>
      <c r="G67" s="1478">
        <f t="shared" ref="G67:H71" si="2">G54</f>
        <v>15</v>
      </c>
      <c r="H67" s="1479">
        <f t="shared" si="2"/>
        <v>0.08</v>
      </c>
      <c r="I67" s="1309"/>
      <c r="J67" s="1480">
        <f>$L$32*(H65+(G67-F67)*H67)*$B$64*$C$64</f>
        <v>49.880544261037905</v>
      </c>
      <c r="K67" s="1477">
        <f>$M$32*(H65+(G67-F67)*H67)*$B$64*$C$64</f>
        <v>4.1567120217531581</v>
      </c>
      <c r="L67" s="1476">
        <f t="shared" ref="L67:M71" si="3">J67*$D$51</f>
        <v>62.350680326297379</v>
      </c>
      <c r="M67" s="1477">
        <f t="shared" si="3"/>
        <v>5.1958900271914477</v>
      </c>
      <c r="N67" s="408"/>
      <c r="O67" s="715">
        <v>8400</v>
      </c>
      <c r="P67" s="417"/>
      <c r="Q67" s="261">
        <f>O67*$Q$63*M67+O67*(1-$Q$63)*K67</f>
        <v>37098.654794146933</v>
      </c>
      <c r="R67" s="408"/>
      <c r="S67" s="719">
        <f>IF(AND(Q67&lt;&gt;0,O67&lt;&gt;0),Q67/(1+$D$17+$D$18+$D$19)/$H$15/O67/30/(($D$25*1000000/$D$8))*1000,0)</f>
        <v>0.41839744146003938</v>
      </c>
      <c r="T67" s="417" t="s">
        <v>333</v>
      </c>
      <c r="U67" s="699">
        <f>S67*O67*30*$D$11*(1+$D$24)/1000</f>
        <v>105168.33653369674</v>
      </c>
      <c r="V67" s="417" t="s">
        <v>334</v>
      </c>
      <c r="W67" s="699">
        <f>IF(O67&lt;&gt;0,U67/O67,0)</f>
        <v>12.520040063535326</v>
      </c>
      <c r="X67" s="417" t="s">
        <v>335</v>
      </c>
      <c r="Y67" s="262" t="str">
        <f>IF(O67=0,"-",IF(AND(((F67*(1-$Y$63))&lt;W67),(W67&lt;(G67*(1+$Y$63)))),"OK", "NOK"))</f>
        <v>OK</v>
      </c>
      <c r="Z67" s="259">
        <f>W67/$H$15</f>
        <v>62.600200317676631</v>
      </c>
      <c r="AA67" s="227">
        <f>IF(OR(Y67="OK",Y67="-"),1,0)</f>
        <v>1</v>
      </c>
      <c r="AB67" s="409"/>
    </row>
    <row r="68" spans="1:28" s="237" customFormat="1" ht="24" hidden="1" customHeight="1" outlineLevel="1" x14ac:dyDescent="0.25">
      <c r="A68" s="408"/>
      <c r="B68" s="2035"/>
      <c r="C68" s="2035"/>
      <c r="D68" s="2035"/>
      <c r="E68" s="710"/>
      <c r="F68" s="1473">
        <f>G67</f>
        <v>15</v>
      </c>
      <c r="G68" s="1478">
        <f t="shared" si="2"/>
        <v>25</v>
      </c>
      <c r="H68" s="1479">
        <f t="shared" si="2"/>
        <v>7.2499999999999995E-2</v>
      </c>
      <c r="I68" s="1309"/>
      <c r="J68" s="1480">
        <f>$L$32*(H65+(G67-F67)*H67+(G68-F68)*H68)*$B$64*$C$64</f>
        <v>82.756357523994708</v>
      </c>
      <c r="K68" s="1477">
        <f>$M$32*(H65+(G67-F67)*H67+(G68-F68)*H68)*$B$64*$C$64</f>
        <v>6.8963631269995593</v>
      </c>
      <c r="L68" s="1476">
        <f t="shared" si="3"/>
        <v>103.44544690499339</v>
      </c>
      <c r="M68" s="1477">
        <f t="shared" si="3"/>
        <v>8.6204539087494485</v>
      </c>
      <c r="N68" s="408"/>
      <c r="O68" s="715">
        <v>2960</v>
      </c>
      <c r="P68" s="417"/>
      <c r="Q68" s="261">
        <f>O68*$Q$63*M68+O68*(1-$Q$63)*K68</f>
        <v>21689.062034413615</v>
      </c>
      <c r="R68" s="408"/>
      <c r="S68" s="719">
        <f>IF(AND(Q68&lt;&gt;0,O68&lt;&gt;0),Q68/(1+$D$17+$D$18+$D$19)/$H$15/O68/30/(($D$25*1000000/$D$8))*1000,0)</f>
        <v>0.69415939151324735</v>
      </c>
      <c r="T68" s="417" t="s">
        <v>333</v>
      </c>
      <c r="U68" s="699">
        <f>S68*O68*30*$D$11*(1+$D$24)/1000</f>
        <v>61484.778566561683</v>
      </c>
      <c r="V68" s="417" t="s">
        <v>334</v>
      </c>
      <c r="W68" s="699">
        <f>IF(O68&lt;&gt;0,U68/O68,0)</f>
        <v>20.771884650865434</v>
      </c>
      <c r="X68" s="417" t="s">
        <v>335</v>
      </c>
      <c r="Y68" s="262" t="str">
        <f>IF(O68=0,"-",IF(AND(((F68*(1-$Y$63))&lt;W68),(W68&lt;(G68*(1+$Y$63)))),"OK", "NOK"))</f>
        <v>OK</v>
      </c>
      <c r="Z68" s="259">
        <f>W68/$H$15</f>
        <v>103.85942325432717</v>
      </c>
      <c r="AA68" s="227">
        <f>IF(OR(Y68="OK",Y68="-"),1,0)</f>
        <v>1</v>
      </c>
      <c r="AB68" s="409"/>
    </row>
    <row r="69" spans="1:28" s="237" customFormat="1" ht="24" hidden="1" customHeight="1" outlineLevel="1" x14ac:dyDescent="0.25">
      <c r="A69" s="408"/>
      <c r="B69" s="2035"/>
      <c r="C69" s="2035"/>
      <c r="D69" s="2035"/>
      <c r="E69" s="710"/>
      <c r="F69" s="1473">
        <f>G68</f>
        <v>25</v>
      </c>
      <c r="G69" s="1478">
        <f t="shared" si="2"/>
        <v>35</v>
      </c>
      <c r="H69" s="1479">
        <f t="shared" si="2"/>
        <v>6.5000000000000002E-2</v>
      </c>
      <c r="I69" s="1309"/>
      <c r="J69" s="1480">
        <f>$L$32*(H65+(G67-F67)*H67+(G68-F68)*H68+(G69-F69)*H69)*$B$64*$C$64</f>
        <v>112.23122458733529</v>
      </c>
      <c r="K69" s="1477">
        <f>$M$32*(H65+(G67-F67)*H67+(G68-F68)*H68+(G69-F69)*H69)*$B$64*$C$64</f>
        <v>9.3526020489446058</v>
      </c>
      <c r="L69" s="1476">
        <f t="shared" si="3"/>
        <v>140.2890307341691</v>
      </c>
      <c r="M69" s="1477">
        <f t="shared" si="3"/>
        <v>11.690752561180757</v>
      </c>
      <c r="N69" s="408"/>
      <c r="O69" s="715">
        <v>693</v>
      </c>
      <c r="P69" s="417"/>
      <c r="Q69" s="261">
        <f>O69*$Q$63*M69+O69*(1-$Q$63)*K69</f>
        <v>6886.4377961635255</v>
      </c>
      <c r="R69" s="408"/>
      <c r="S69" s="719">
        <f>IF(AND(Q69&lt;&gt;0,O69&lt;&gt;0),Q69/(1+$D$17+$D$18+$D$19)/$H$15/O69/30/(($D$25*1000000/$D$8))*1000,0)</f>
        <v>0.94139424328508836</v>
      </c>
      <c r="T69" s="417" t="s">
        <v>333</v>
      </c>
      <c r="U69" s="699">
        <f>S69*O69*30*$D$11*(1+$D$24)/1000</f>
        <v>19521.872469067453</v>
      </c>
      <c r="V69" s="417" t="s">
        <v>334</v>
      </c>
      <c r="W69" s="699">
        <f>IF(O69&lt;&gt;0,U69/O69,0)</f>
        <v>28.170090142954479</v>
      </c>
      <c r="X69" s="417" t="s">
        <v>335</v>
      </c>
      <c r="Y69" s="262" t="str">
        <f>IF(O69=0,"-",IF(AND(((F69*(1-$Y$63))&lt;W69),(W69&lt;(G69*(1+$Y$63)))),"OK", "NOK"))</f>
        <v>OK</v>
      </c>
      <c r="Z69" s="259">
        <f>W69/$H$15</f>
        <v>140.85045071477239</v>
      </c>
      <c r="AA69" s="227">
        <f>IF(OR(Y69="OK",Y69="-"),1,0)</f>
        <v>1</v>
      </c>
      <c r="AB69" s="409"/>
    </row>
    <row r="70" spans="1:28" s="237" customFormat="1" ht="24" hidden="1" customHeight="1" outlineLevel="1" x14ac:dyDescent="0.25">
      <c r="A70" s="408"/>
      <c r="B70" s="2035"/>
      <c r="C70" s="2035"/>
      <c r="D70" s="2035"/>
      <c r="E70" s="710"/>
      <c r="F70" s="1473">
        <f>G69</f>
        <v>35</v>
      </c>
      <c r="G70" s="1478">
        <f t="shared" si="2"/>
        <v>50</v>
      </c>
      <c r="H70" s="1479">
        <f t="shared" si="2"/>
        <v>0.06</v>
      </c>
      <c r="I70" s="1309"/>
      <c r="J70" s="1480">
        <f>$L$32*(H65+(G67-F67)*H67+(G68-F68)*H68+(G69-F69)*H69+(G70-F70)*H70)*$B$64*$C$64</f>
        <v>153.04257898272994</v>
      </c>
      <c r="K70" s="1477">
        <f>$M$32*(H65+(G67-F67)*H67+(G68-F68)*H68+(G69-F69)*H69+(G70-F70)*H70)*$B$64*$C$64</f>
        <v>12.753548248560826</v>
      </c>
      <c r="L70" s="1476">
        <f t="shared" si="3"/>
        <v>191.30322372841243</v>
      </c>
      <c r="M70" s="1477">
        <f t="shared" si="3"/>
        <v>15.941935310701032</v>
      </c>
      <c r="N70" s="408"/>
      <c r="O70" s="715">
        <v>287</v>
      </c>
      <c r="P70" s="417"/>
      <c r="Q70" s="261">
        <f>O70*$Q$63*M70+O70*(1-$Q$63)*K70</f>
        <v>3889.0351190455167</v>
      </c>
      <c r="R70" s="408"/>
      <c r="S70" s="719">
        <f>IF(AND(Q70&lt;&gt;0,O70&lt;&gt;0),Q70/(1+$D$17+$D$18+$D$19)/$H$15/O70/30/(($D$25*1000000/$D$8))*1000,0)</f>
        <v>1.2837194226614841</v>
      </c>
      <c r="T70" s="417" t="s">
        <v>333</v>
      </c>
      <c r="U70" s="699">
        <f>S70*O70*30*$D$11*(1+$D$24)/1000</f>
        <v>11024.748915038093</v>
      </c>
      <c r="V70" s="417" t="s">
        <v>334</v>
      </c>
      <c r="W70" s="699">
        <f>IF(O70&lt;&gt;0,U70/O70,0)</f>
        <v>38.413759285847014</v>
      </c>
      <c r="X70" s="417" t="s">
        <v>335</v>
      </c>
      <c r="Y70" s="262" t="str">
        <f>IF(O70=0,"-",IF(AND(((F70*(1-$Y$63))&lt;W70),(W70&lt;(G70*(1+$Y$63)))),"OK", "NOK"))</f>
        <v>OK</v>
      </c>
      <c r="Z70" s="259">
        <f>W70/$H$15</f>
        <v>192.06879642923505</v>
      </c>
      <c r="AA70" s="227">
        <f>IF(OR(Y70="OK",Y70="-"),1,0)</f>
        <v>1</v>
      </c>
      <c r="AB70" s="409"/>
    </row>
    <row r="71" spans="1:28" s="237" customFormat="1" ht="24" hidden="1" customHeight="1" outlineLevel="1" x14ac:dyDescent="0.25">
      <c r="A71" s="408"/>
      <c r="B71" s="2036"/>
      <c r="C71" s="2036"/>
      <c r="D71" s="2036"/>
      <c r="E71" s="710"/>
      <c r="F71" s="1473">
        <f>G70</f>
        <v>50</v>
      </c>
      <c r="G71" s="1478">
        <f t="shared" si="2"/>
        <v>100</v>
      </c>
      <c r="H71" s="1479">
        <f t="shared" si="2"/>
        <v>0.05</v>
      </c>
      <c r="I71" s="1309"/>
      <c r="J71" s="1480">
        <f>$L$32*(H65+(G67-F67)*H67+(G68-F68)*H68+(G69-F69)*H69+(G70-F70)*H70+(G71-F71)*H71)*$B$64*$C$64</f>
        <v>266.40745230327065</v>
      </c>
      <c r="K71" s="1477">
        <f>$M$32*(H65+(G67-F67)*H67+(G68-F68)*H68+(G69-F69)*H69+(G70-F70)*H70+(G71-F71)*H71)*$B$64*$C$64</f>
        <v>22.20062102527255</v>
      </c>
      <c r="L71" s="1476">
        <f t="shared" si="3"/>
        <v>333.00931537908832</v>
      </c>
      <c r="M71" s="1477">
        <f t="shared" si="3"/>
        <v>27.750776281590689</v>
      </c>
      <c r="N71" s="408"/>
      <c r="O71" s="715">
        <v>100</v>
      </c>
      <c r="P71" s="417"/>
      <c r="Q71" s="261">
        <f>O71*$Q$63*M71+O71*(1-$Q$63)*K71</f>
        <v>2358.8159839352084</v>
      </c>
      <c r="R71" s="408"/>
      <c r="S71" s="719">
        <f>IF(AND(Q71&lt;&gt;0,O71&lt;&gt;0),Q71/(1+$D$17+$D$18+$D$19)/$H$15/O71/30/(($D$25*1000000/$D$8))*1000,0)</f>
        <v>2.2346226987070281</v>
      </c>
      <c r="T71" s="417" t="s">
        <v>333</v>
      </c>
      <c r="U71" s="699">
        <f>S71*O71*30*$D$11*(1+$D$24)/1000</f>
        <v>6686.8395793881855</v>
      </c>
      <c r="V71" s="417" t="s">
        <v>334</v>
      </c>
      <c r="W71" s="699">
        <f>IF(O71&lt;&gt;0,U71/O71,0)</f>
        <v>66.868395793881859</v>
      </c>
      <c r="X71" s="417" t="s">
        <v>335</v>
      </c>
      <c r="Y71" s="262" t="str">
        <f>IF(O71=0,"-",IF(AND(((F71*(1-$Y$63))&lt;W71),(W71&lt;(G71*(1+$Y$63)))),"OK", "NOK"))</f>
        <v>OK</v>
      </c>
      <c r="Z71" s="259">
        <f>W71/$H$15</f>
        <v>334.3419789694093</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025" t="s">
        <v>707</v>
      </c>
      <c r="C73" s="2026"/>
      <c r="D73" s="2026"/>
      <c r="E73" s="2026"/>
      <c r="F73" s="2026"/>
      <c r="G73" s="2026"/>
      <c r="H73" s="2026"/>
      <c r="I73" s="2026"/>
      <c r="J73" s="2026"/>
      <c r="K73" s="2026"/>
      <c r="L73" s="2026"/>
      <c r="M73" s="2026"/>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027" t="s">
        <v>320</v>
      </c>
      <c r="C74" s="2019"/>
      <c r="D74" s="2019"/>
      <c r="E74" s="2028"/>
      <c r="F74" s="2019"/>
      <c r="G74" s="2019"/>
      <c r="H74" s="2019"/>
      <c r="I74" s="2028"/>
      <c r="J74" s="2019"/>
      <c r="K74" s="2019"/>
      <c r="L74" s="2019"/>
      <c r="M74" s="2019"/>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027" t="s">
        <v>321</v>
      </c>
      <c r="C75" s="2027" t="s">
        <v>322</v>
      </c>
      <c r="D75" s="2030"/>
      <c r="E75" s="1308"/>
      <c r="F75" s="2018" t="s">
        <v>323</v>
      </c>
      <c r="G75" s="2019"/>
      <c r="H75" s="2020"/>
      <c r="I75" s="709"/>
      <c r="J75" s="2016" t="s">
        <v>876</v>
      </c>
      <c r="K75" s="2017"/>
      <c r="L75" s="2017"/>
      <c r="M75" s="2017"/>
      <c r="N75" s="408"/>
      <c r="O75" s="240">
        <f>O78+O80+O81+O82+O83+O84</f>
        <v>27440</v>
      </c>
      <c r="P75" s="417"/>
      <c r="Q75" s="717">
        <f>Q78+Q80+Q81+Q82+Q83+Q84</f>
        <v>1301089.3596303035</v>
      </c>
      <c r="R75" s="408"/>
      <c r="S75" s="2014">
        <f>IF(AND(Q75&lt;&gt;0,O75&lt;&gt;0),Q75/(1+$D$17+$D$18+$D$19)/(($D$25*1000000/$D$8)),0)</f>
        <v>739.55166555016763</v>
      </c>
      <c r="T75" s="2051" t="s">
        <v>324</v>
      </c>
      <c r="U75" s="2014">
        <f>U78+U80+U81+U82+U83+U84</f>
        <v>737673.12800570857</v>
      </c>
      <c r="V75" s="417" t="s">
        <v>325</v>
      </c>
      <c r="W75" s="2014">
        <f>W78*O78+W80*O80+W81*O81+W82*O82+W83*O83+W84*O84</f>
        <v>737673.12800570868</v>
      </c>
      <c r="X75" s="417" t="s">
        <v>325</v>
      </c>
      <c r="Y75" s="694" t="s">
        <v>326</v>
      </c>
      <c r="Z75" s="139"/>
      <c r="AA75" s="139"/>
      <c r="AB75" s="423"/>
    </row>
    <row r="76" spans="1:28" s="237" customFormat="1" ht="24" hidden="1" customHeight="1" outlineLevel="1" x14ac:dyDescent="0.25">
      <c r="A76" s="409"/>
      <c r="B76" s="2029"/>
      <c r="C76" s="1418" t="s">
        <v>327</v>
      </c>
      <c r="D76" s="1419" t="s">
        <v>328</v>
      </c>
      <c r="E76" s="1309"/>
      <c r="F76" s="2021"/>
      <c r="G76" s="2019"/>
      <c r="H76" s="2020"/>
      <c r="I76" s="710"/>
      <c r="J76" s="2022" t="s">
        <v>329</v>
      </c>
      <c r="K76" s="2023"/>
      <c r="L76" s="2024" t="s">
        <v>330</v>
      </c>
      <c r="M76" s="2023"/>
      <c r="N76" s="408"/>
      <c r="O76" s="722" t="s">
        <v>331</v>
      </c>
      <c r="P76" s="417"/>
      <c r="Q76" s="718">
        <v>0.5</v>
      </c>
      <c r="R76" s="408"/>
      <c r="S76" s="1993"/>
      <c r="T76" s="2052"/>
      <c r="U76" s="1993"/>
      <c r="V76" s="417"/>
      <c r="W76" s="1990"/>
      <c r="X76" s="417"/>
      <c r="Y76" s="721">
        <f>$Y$33</f>
        <v>0.1</v>
      </c>
      <c r="Z76" s="139"/>
      <c r="AA76" s="139"/>
      <c r="AB76" s="423"/>
    </row>
    <row r="77" spans="1:28" s="237" customFormat="1" ht="24" hidden="1" customHeight="1" outlineLevel="1" x14ac:dyDescent="0.25">
      <c r="A77" s="409"/>
      <c r="B77" s="2037">
        <v>2</v>
      </c>
      <c r="C77" s="2037">
        <v>1</v>
      </c>
      <c r="D77" s="2040">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038"/>
      <c r="C78" s="2042"/>
      <c r="D78" s="2043"/>
      <c r="E78" s="710"/>
      <c r="F78" s="1473" t="s">
        <v>289</v>
      </c>
      <c r="G78" s="1474">
        <v>5</v>
      </c>
      <c r="H78" s="1475">
        <f>0.35-0.25</f>
        <v>9.9999999999999978E-2</v>
      </c>
      <c r="I78" s="1309"/>
      <c r="J78" s="1476">
        <f>$L$32*H78*$B$77*$C$77</f>
        <v>45.345949328216264</v>
      </c>
      <c r="K78" s="1477">
        <f>$M$32*H78*$B$77*$C$77</f>
        <v>3.7788291106846885</v>
      </c>
      <c r="L78" s="1476">
        <f>J78*$D$77</f>
        <v>56.682436660270326</v>
      </c>
      <c r="M78" s="1477">
        <f>K78*$D$77</f>
        <v>4.7235363883558605</v>
      </c>
      <c r="N78" s="408"/>
      <c r="O78" s="715">
        <v>7692</v>
      </c>
      <c r="P78" s="417"/>
      <c r="Q78" s="261">
        <f>O78*$Q$76*M78+O78*(1-$Q$76)*K78</f>
        <v>32700.09770930995</v>
      </c>
      <c r="R78" s="408"/>
      <c r="S78" s="719">
        <f>IF(AND(Q78&lt;&gt;0,O78&lt;&gt;0),Q78/(1+$D$17+$D$18+$D$19)/O78/30/(($D$25*1000000/$D$8))*1000,0)</f>
        <v>8.0547101029740165E-2</v>
      </c>
      <c r="T78" s="417" t="s">
        <v>333</v>
      </c>
      <c r="U78" s="699">
        <f>S78*O78*30*$D$11*(1+$D$24)/1000</f>
        <v>18539.836011089265</v>
      </c>
      <c r="V78" s="417" t="s">
        <v>334</v>
      </c>
      <c r="W78" s="699">
        <f>IF(O78&lt;&gt;0,U78/O78,0)</f>
        <v>2.410275092445302</v>
      </c>
      <c r="X78" s="417" t="s">
        <v>334</v>
      </c>
      <c r="Y78" s="262" t="str">
        <f>IF(O78=0,"-", IF(W78&lt;=(G78*(1+$Y$76)),"OK", "NOK"))</f>
        <v>OK</v>
      </c>
      <c r="Z78" s="139"/>
      <c r="AA78" s="227">
        <f>IF(OR(Y78="OK",Y78="-"),1,0)</f>
        <v>1</v>
      </c>
      <c r="AB78" s="423"/>
    </row>
    <row r="79" spans="1:28" s="237" customFormat="1" ht="24" hidden="1" customHeight="1" outlineLevel="1" x14ac:dyDescent="0.25">
      <c r="A79" s="408"/>
      <c r="B79" s="2038"/>
      <c r="C79" s="2042"/>
      <c r="D79" s="2043"/>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038"/>
      <c r="C80" s="2042"/>
      <c r="D80" s="2043"/>
      <c r="E80" s="710"/>
      <c r="F80" s="1473">
        <f>G78</f>
        <v>5</v>
      </c>
      <c r="G80" s="1474">
        <v>20</v>
      </c>
      <c r="H80" s="1475">
        <f>0.05</f>
        <v>0.05</v>
      </c>
      <c r="I80" s="1309"/>
      <c r="J80" s="1476">
        <f>$L$32*(H78+(G80-F80)*H80)*$B$77*$C$77</f>
        <v>385.44056928983832</v>
      </c>
      <c r="K80" s="1477">
        <f>$M$32*(H78+(G80-F80)*H80)*$B$77*$C$77</f>
        <v>32.12004744081986</v>
      </c>
      <c r="L80" s="1476">
        <f t="shared" ref="L80:M84" si="4">J80*$D$77</f>
        <v>481.8007116122979</v>
      </c>
      <c r="M80" s="1477">
        <f t="shared" si="4"/>
        <v>40.150059301024825</v>
      </c>
      <c r="N80" s="408"/>
      <c r="O80" s="715">
        <v>8500</v>
      </c>
      <c r="P80" s="417"/>
      <c r="Q80" s="261">
        <f>O80*$Q$76*M80+O80*(1-$Q$76)*K80</f>
        <v>307147.95365283987</v>
      </c>
      <c r="R80" s="408"/>
      <c r="S80" s="719">
        <f>IF(AND(Q80&lt;&gt;0,O80&lt;&gt;0),Q80/(1+$D$17+$D$18+$D$19)/O80/30/(($D$25*1000000/$D$8))*1000,0)</f>
        <v>0.68465035875279168</v>
      </c>
      <c r="T80" s="417" t="s">
        <v>333</v>
      </c>
      <c r="U80" s="699">
        <f>S80*O80*30*$D$11*(1+$D$24)/1000</f>
        <v>174142.3754291732</v>
      </c>
      <c r="V80" s="417" t="s">
        <v>334</v>
      </c>
      <c r="W80" s="699">
        <f>IF(O80&lt;&gt;0,U80/O80,0)</f>
        <v>20.487338285785082</v>
      </c>
      <c r="X80" s="417" t="s">
        <v>334</v>
      </c>
      <c r="Y80" s="262" t="str">
        <f>IF(O80=0,"-",IF(AND(((F80*(1-$Y$76))&lt;W80),(W80&lt;(G80*(1+$Y$76)))),"OK", "NOK"))</f>
        <v>OK</v>
      </c>
      <c r="Z80" s="139"/>
      <c r="AA80" s="227">
        <f>IF(OR(Y80="OK",Y80="-"),1,0)</f>
        <v>1</v>
      </c>
      <c r="AB80" s="423"/>
    </row>
    <row r="81" spans="1:28" s="237" customFormat="1" ht="24" hidden="1" customHeight="1" outlineLevel="1" x14ac:dyDescent="0.25">
      <c r="A81" s="408"/>
      <c r="B81" s="2038"/>
      <c r="C81" s="2042"/>
      <c r="D81" s="2043"/>
      <c r="E81" s="710"/>
      <c r="F81" s="1473">
        <f>G80</f>
        <v>20</v>
      </c>
      <c r="G81" s="1474">
        <v>30</v>
      </c>
      <c r="H81" s="1475">
        <f>0.045</f>
        <v>4.4999999999999998E-2</v>
      </c>
      <c r="I81" s="1309"/>
      <c r="J81" s="1476">
        <f>$L$32*(H78+(G80-F80)*H80+(G81-F81)*H81)*$B$77*$C$77</f>
        <v>589.49734126681142</v>
      </c>
      <c r="K81" s="1477">
        <f>$M$32*(H78+(G80-F80)*H80+(G81-F81)*H81)*$B$77*$C$77</f>
        <v>49.124778438900954</v>
      </c>
      <c r="L81" s="1476">
        <f t="shared" si="4"/>
        <v>736.87167658351427</v>
      </c>
      <c r="M81" s="1477">
        <f t="shared" si="4"/>
        <v>61.405973048626194</v>
      </c>
      <c r="N81" s="408"/>
      <c r="O81" s="715">
        <v>2573</v>
      </c>
      <c r="P81" s="417"/>
      <c r="Q81" s="261">
        <f>O81*$Q$76*M81+O81*(1-$Q$76)*K81</f>
        <v>142197.81178870366</v>
      </c>
      <c r="R81" s="408"/>
      <c r="S81" s="719">
        <f>IF(AND(Q81&lt;&gt;0,O81&lt;&gt;0),Q81/(1+$D$17+$D$18+$D$19)/O81/30/(($D$25*1000000/$D$8))*1000,0)</f>
        <v>1.0471123133866225</v>
      </c>
      <c r="T81" s="417" t="s">
        <v>333</v>
      </c>
      <c r="U81" s="699">
        <f>S81*O81*30*$D$11*(1+$D$24)/1000</f>
        <v>80621.291567202948</v>
      </c>
      <c r="V81" s="417" t="s">
        <v>334</v>
      </c>
      <c r="W81" s="699">
        <f>IF(O81&lt;&gt;0,U81/O81,0)</f>
        <v>31.333576201788944</v>
      </c>
      <c r="X81" s="417" t="s">
        <v>334</v>
      </c>
      <c r="Y81" s="262" t="str">
        <f>IF(O81=0,"-",IF(AND(((F81*(1-$Y$76))&lt;W81),(W81&lt;(G81*(1+$Y$76)))),"OK", "NOK"))</f>
        <v>OK</v>
      </c>
      <c r="Z81" s="139"/>
      <c r="AA81" s="227">
        <f>IF(OR(Y81="OK",Y81="-"),1,0)</f>
        <v>1</v>
      </c>
      <c r="AB81" s="423"/>
    </row>
    <row r="82" spans="1:28" s="237" customFormat="1" ht="24" hidden="1" customHeight="1" outlineLevel="1" x14ac:dyDescent="0.25">
      <c r="A82" s="408"/>
      <c r="B82" s="2038"/>
      <c r="C82" s="2042"/>
      <c r="D82" s="2043"/>
      <c r="E82" s="710"/>
      <c r="F82" s="1473">
        <f>G81</f>
        <v>30</v>
      </c>
      <c r="G82" s="1474">
        <v>40</v>
      </c>
      <c r="H82" s="1475">
        <f>0.04</f>
        <v>0.04</v>
      </c>
      <c r="I82" s="1309"/>
      <c r="J82" s="1476">
        <f>$L$32*(H78+(G80-F80)*H80+(G81-F81)*H81+(G82-F82)*H82)*$B$77*$C$77</f>
        <v>770.88113857967653</v>
      </c>
      <c r="K82" s="1477">
        <f>$M$32*(H78+(G80-F80)*H80+(G81-F81)*H81+(G82-F82)*H82)*$B$77*$C$77</f>
        <v>64.240094881639706</v>
      </c>
      <c r="L82" s="1476">
        <f t="shared" si="4"/>
        <v>963.60142322459569</v>
      </c>
      <c r="M82" s="1477">
        <f t="shared" si="4"/>
        <v>80.300118602049636</v>
      </c>
      <c r="N82" s="408"/>
      <c r="O82" s="715">
        <v>4825</v>
      </c>
      <c r="P82" s="417"/>
      <c r="Q82" s="261">
        <f>O82*$Q$76*M82+O82*(1-$Q$76)*K82</f>
        <v>348703.26502940053</v>
      </c>
      <c r="R82" s="408"/>
      <c r="S82" s="719">
        <f>IF(AND(Q82&lt;&gt;0,O82&lt;&gt;0),Q82/(1+$D$17+$D$18+$D$19)/O82/30/(($D$25*1000000/$D$8))*1000,0)</f>
        <v>1.3693007175055834</v>
      </c>
      <c r="T82" s="417" t="s">
        <v>333</v>
      </c>
      <c r="U82" s="699">
        <f>S82*O82*30*$D$11*(1+$D$24)/1000</f>
        <v>197702.81445782603</v>
      </c>
      <c r="V82" s="417" t="s">
        <v>334</v>
      </c>
      <c r="W82" s="699">
        <f>IF(O82&lt;&gt;0,U82/O82,0)</f>
        <v>40.974676571570164</v>
      </c>
      <c r="X82" s="417" t="s">
        <v>334</v>
      </c>
      <c r="Y82" s="262" t="str">
        <f>IF(O82=0,"-",IF(AND(((F82*(1-$Y$76))&lt;W82),(W82&lt;(G82*(1+$Y$76)))),"OK", "NOK"))</f>
        <v>OK</v>
      </c>
      <c r="Z82" s="139"/>
      <c r="AA82" s="227">
        <f>IF(OR(Y82="OK",Y82="-"),1,0)</f>
        <v>1</v>
      </c>
      <c r="AB82" s="423"/>
    </row>
    <row r="83" spans="1:28" s="237" customFormat="1" ht="24" hidden="1" customHeight="1" outlineLevel="1" x14ac:dyDescent="0.25">
      <c r="A83" s="408"/>
      <c r="B83" s="2038"/>
      <c r="C83" s="2042"/>
      <c r="D83" s="2043"/>
      <c r="E83" s="710"/>
      <c r="F83" s="1473">
        <f>G82</f>
        <v>40</v>
      </c>
      <c r="G83" s="1474">
        <v>55</v>
      </c>
      <c r="H83" s="1475">
        <f>0.035</f>
        <v>3.5000000000000003E-2</v>
      </c>
      <c r="I83" s="1309"/>
      <c r="J83" s="1476">
        <f>$L$32*(H78+(G80-F80)*H80+(G81-F81)*H81+(G82-F82)*H82+(G83-F83)*H83)*$B$77*$C$77</f>
        <v>1008.9473725528119</v>
      </c>
      <c r="K83" s="1477">
        <f>$M$32*(H78+(G80-F80)*H80+(G81-F81)*H81+(G82-F82)*H82+(G83-F83)*H83)*$B$77*$C$77</f>
        <v>84.078947712734319</v>
      </c>
      <c r="L83" s="1476">
        <f t="shared" si="4"/>
        <v>1261.1842156910147</v>
      </c>
      <c r="M83" s="1477">
        <f t="shared" si="4"/>
        <v>105.0986846409179</v>
      </c>
      <c r="N83" s="408"/>
      <c r="O83" s="715">
        <v>2000</v>
      </c>
      <c r="P83" s="417"/>
      <c r="Q83" s="261">
        <f>O83*$Q$76*M83+O83*(1-$Q$76)*K83</f>
        <v>189177.63235365221</v>
      </c>
      <c r="R83" s="408"/>
      <c r="S83" s="719">
        <f>IF(AND(Q83&lt;&gt;0,O83&lt;&gt;0),Q83/(1+$D$17+$D$18+$D$19)/O83/30/(($D$25*1000000/$D$8))*1000,0)</f>
        <v>1.7921729979117187</v>
      </c>
      <c r="T83" s="417" t="s">
        <v>333</v>
      </c>
      <c r="U83" s="699">
        <f>S83*O83*30*$D$11*(1+$D$24)/1000</f>
        <v>107257.24161381596</v>
      </c>
      <c r="V83" s="458" t="s">
        <v>334</v>
      </c>
      <c r="W83" s="699">
        <f>IF(O83&lt;&gt;0,U83/O83,0)</f>
        <v>53.628620806907982</v>
      </c>
      <c r="X83" s="417" t="s">
        <v>334</v>
      </c>
      <c r="Y83" s="262" t="str">
        <f>IF(O83=0,"-",IF(AND(((F83*(1-$Y$76))&lt;W83),(W83&lt;(G83*(1+$Y$76)))),"OK", "NOK"))</f>
        <v>OK</v>
      </c>
      <c r="Z83" s="139"/>
      <c r="AA83" s="227">
        <f>IF(OR(Y83="OK",Y83="-"),1,0)</f>
        <v>1</v>
      </c>
      <c r="AB83" s="423"/>
    </row>
    <row r="84" spans="1:28" s="237" customFormat="1" ht="24" hidden="1" customHeight="1" outlineLevel="1" x14ac:dyDescent="0.25">
      <c r="A84" s="408"/>
      <c r="B84" s="2038"/>
      <c r="C84" s="2042"/>
      <c r="D84" s="2043"/>
      <c r="E84" s="710"/>
      <c r="F84" s="1473">
        <f>G83</f>
        <v>55</v>
      </c>
      <c r="G84" s="1474">
        <v>100</v>
      </c>
      <c r="H84" s="1475">
        <f>0.03</f>
        <v>0.03</v>
      </c>
      <c r="I84" s="1309"/>
      <c r="J84" s="1476">
        <f>$L$32*(H78+(G80-F80)*H80+(G81-F81)*H81+(G82-F82)*H82+(G83-F83)*H83+(G84-F84)*H84)*$B$77*$C$77</f>
        <v>1621.1176884837314</v>
      </c>
      <c r="K84" s="1477">
        <f>$M$32*(H78+(G80-F80)*H80+(G81-F81)*H81+(G82-F82)*H82+(G83-F83)*H83+(G84-F84)*H84)*$B$77*$C$77</f>
        <v>135.09314070697761</v>
      </c>
      <c r="L84" s="1476">
        <f t="shared" si="4"/>
        <v>2026.3971106046642</v>
      </c>
      <c r="M84" s="1477">
        <f t="shared" si="4"/>
        <v>168.866425883722</v>
      </c>
      <c r="N84" s="408"/>
      <c r="O84" s="715">
        <v>1850</v>
      </c>
      <c r="P84" s="417"/>
      <c r="Q84" s="261">
        <f>O84*$Q$76*M84+O84*(1-$Q$76)*K84</f>
        <v>281162.59909639717</v>
      </c>
      <c r="R84" s="408"/>
      <c r="S84" s="719">
        <f>IF(AND(Q84&lt;&gt;0,O84&lt;&gt;0),Q84/(1+$D$17+$D$18+$D$19)/O84/30/(($D$25*1000000/$D$8))*1000,0)</f>
        <v>2.8795588618132113</v>
      </c>
      <c r="T84" s="417" t="s">
        <v>333</v>
      </c>
      <c r="U84" s="699">
        <f>S84*O84*30*$D$11*(1+$D$24)/1000</f>
        <v>159409.56892660121</v>
      </c>
      <c r="V84" s="417" t="s">
        <v>334</v>
      </c>
      <c r="W84" s="699">
        <f>IF(O84&lt;&gt;0,U84/O84,0)</f>
        <v>86.167334554919577</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025" t="s">
        <v>338</v>
      </c>
      <c r="C86" s="2026"/>
      <c r="D86" s="2026"/>
      <c r="E86" s="2026"/>
      <c r="F86" s="2026"/>
      <c r="G86" s="2026"/>
      <c r="H86" s="2026"/>
      <c r="I86" s="2026"/>
      <c r="J86" s="2026"/>
      <c r="K86" s="2026"/>
      <c r="L86" s="2026"/>
      <c r="M86" s="2026"/>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027" t="s">
        <v>320</v>
      </c>
      <c r="C87" s="2019"/>
      <c r="D87" s="2019"/>
      <c r="E87" s="2028"/>
      <c r="F87" s="2019"/>
      <c r="G87" s="2019"/>
      <c r="H87" s="2019"/>
      <c r="I87" s="2028"/>
      <c r="J87" s="2019"/>
      <c r="K87" s="2019"/>
      <c r="L87" s="2019"/>
      <c r="M87" s="2019"/>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027" t="s">
        <v>321</v>
      </c>
      <c r="C88" s="2027" t="s">
        <v>322</v>
      </c>
      <c r="D88" s="2030"/>
      <c r="E88" s="1308"/>
      <c r="F88" s="2018" t="s">
        <v>323</v>
      </c>
      <c r="G88" s="2019"/>
      <c r="H88" s="2020"/>
      <c r="I88" s="709"/>
      <c r="J88" s="2016" t="s">
        <v>876</v>
      </c>
      <c r="K88" s="2017"/>
      <c r="L88" s="2017"/>
      <c r="M88" s="2017"/>
      <c r="N88" s="408"/>
      <c r="O88" s="262">
        <f>O91+O93+O94+O95+O96</f>
        <v>5</v>
      </c>
      <c r="P88" s="417"/>
      <c r="Q88" s="717">
        <f>Q91+Q93+Q94+Q95+Q96</f>
        <v>1101.528685764587</v>
      </c>
      <c r="R88" s="408"/>
      <c r="S88" s="2014">
        <f>IF(AND(Q88&lt;&gt;0,O88&lt;&gt;0),Q88/(1+$D$17+$D$18+$D$19)/(($D$25*1000000/$D$8)),0)</f>
        <v>0.62611946533784713</v>
      </c>
      <c r="T88" s="2051" t="s">
        <v>324</v>
      </c>
      <c r="U88" s="2014">
        <f>U91+U93+U94+U95+U96+Z97</f>
        <v>624.52905728693872</v>
      </c>
      <c r="V88" s="408" t="s">
        <v>325</v>
      </c>
      <c r="W88" s="2014">
        <f>W91*O91+W93*O93+W94*O94+W95*O95+W96*O96</f>
        <v>624.52905728693872</v>
      </c>
      <c r="X88" s="417" t="s">
        <v>325</v>
      </c>
      <c r="Y88" s="694" t="s">
        <v>326</v>
      </c>
      <c r="Z88" s="139"/>
      <c r="AA88" s="139"/>
      <c r="AB88" s="423"/>
    </row>
    <row r="89" spans="1:28" s="237" customFormat="1" ht="24" hidden="1" customHeight="1" outlineLevel="1" x14ac:dyDescent="0.25">
      <c r="A89" s="408"/>
      <c r="B89" s="2029"/>
      <c r="C89" s="1418" t="s">
        <v>327</v>
      </c>
      <c r="D89" s="1419" t="s">
        <v>328</v>
      </c>
      <c r="E89" s="1309"/>
      <c r="F89" s="2021"/>
      <c r="G89" s="2019"/>
      <c r="H89" s="2020"/>
      <c r="I89" s="710"/>
      <c r="J89" s="2022" t="s">
        <v>329</v>
      </c>
      <c r="K89" s="2023"/>
      <c r="L89" s="2024" t="s">
        <v>330</v>
      </c>
      <c r="M89" s="2023"/>
      <c r="N89" s="408"/>
      <c r="O89" s="722" t="s">
        <v>331</v>
      </c>
      <c r="P89" s="417"/>
      <c r="Q89" s="718">
        <v>0.25</v>
      </c>
      <c r="R89" s="408"/>
      <c r="S89" s="1993"/>
      <c r="T89" s="2052"/>
      <c r="U89" s="1993"/>
      <c r="V89" s="408"/>
      <c r="W89" s="1990"/>
      <c r="X89" s="417"/>
      <c r="Y89" s="721">
        <f>$Y$33</f>
        <v>0.1</v>
      </c>
      <c r="Z89" s="139"/>
      <c r="AA89" s="139"/>
      <c r="AB89" s="423"/>
    </row>
    <row r="90" spans="1:28" s="237" customFormat="1" ht="24" hidden="1" customHeight="1" outlineLevel="1" x14ac:dyDescent="0.25">
      <c r="A90" s="408"/>
      <c r="B90" s="2037">
        <v>2</v>
      </c>
      <c r="C90" s="2037">
        <v>1</v>
      </c>
      <c r="D90" s="2040">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038"/>
      <c r="C91" s="2039"/>
      <c r="D91" s="2041"/>
      <c r="E91" s="710"/>
      <c r="F91" s="1473" t="s">
        <v>289</v>
      </c>
      <c r="G91" s="1474">
        <v>5</v>
      </c>
      <c r="H91" s="1475">
        <v>0.35</v>
      </c>
      <c r="I91" s="1309"/>
      <c r="J91" s="1476">
        <f>$L$32*H91*$B$90*$C$90</f>
        <v>158.71082264875693</v>
      </c>
      <c r="K91" s="1477">
        <f>$M$32*H91*$B$90*$C$90</f>
        <v>13.225901887396411</v>
      </c>
      <c r="L91" s="1476">
        <f>J91*$D$90</f>
        <v>190.45298717850832</v>
      </c>
      <c r="M91" s="1477">
        <f>K91*$D$90</f>
        <v>15.871082264875692</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038"/>
      <c r="C92" s="2039"/>
      <c r="D92" s="2041"/>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038"/>
      <c r="C93" s="2039"/>
      <c r="D93" s="2041"/>
      <c r="E93" s="710"/>
      <c r="F93" s="1473">
        <f>G91</f>
        <v>5</v>
      </c>
      <c r="G93" s="1474">
        <v>30</v>
      </c>
      <c r="H93" s="1475">
        <v>0.05</v>
      </c>
      <c r="I93" s="1309"/>
      <c r="J93" s="1476">
        <f>$L$32*(H91+(G93-F93)*H93)*$B$90*$C$90</f>
        <v>725.53518925146045</v>
      </c>
      <c r="K93" s="1477">
        <f>$M$32*(H91+(G93-F93)*H93)*$B$90*$C$90</f>
        <v>60.461265770955031</v>
      </c>
      <c r="L93" s="1476">
        <f t="shared" ref="L93:M96" si="5">J93*$D$90</f>
        <v>870.6422271017525</v>
      </c>
      <c r="M93" s="1477">
        <f t="shared" si="5"/>
        <v>72.553518925146037</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038"/>
      <c r="C94" s="2039"/>
      <c r="D94" s="2041"/>
      <c r="E94" s="710"/>
      <c r="F94" s="1473">
        <f>G93</f>
        <v>30</v>
      </c>
      <c r="G94" s="1474">
        <v>100</v>
      </c>
      <c r="H94" s="1475">
        <v>0.03</v>
      </c>
      <c r="I94" s="1309"/>
      <c r="J94" s="1476">
        <f>$L$32*(H91+(G93-F93)*H93+(G94-F94)*H94)*$B$90*$C$90</f>
        <v>1677.8001251440021</v>
      </c>
      <c r="K94" s="1477">
        <f>$M$32*(H91+(G93-F93)*H93+(G94-F94)*H94)*$B$90*$C$90</f>
        <v>139.81667709533352</v>
      </c>
      <c r="L94" s="1476">
        <f t="shared" si="5"/>
        <v>2013.3601501728024</v>
      </c>
      <c r="M94" s="1477">
        <f t="shared" si="5"/>
        <v>167.78001251440023</v>
      </c>
      <c r="N94" s="408"/>
      <c r="O94" s="715">
        <v>4</v>
      </c>
      <c r="P94" s="417"/>
      <c r="Q94" s="261">
        <f>O94*$Q$76*M94+O94*(1-$Q$76)*K94</f>
        <v>615.19337921946749</v>
      </c>
      <c r="R94" s="408"/>
      <c r="S94" s="719">
        <f>IF(AND(Q94&lt;&gt;0,O94&lt;&gt;0),Q94/(1+$D$17+$D$18+$D$19)/O94/30/(($D$25*1000000/$D$8))*1000,0)</f>
        <v>2.9140151216981574</v>
      </c>
      <c r="T94" s="417" t="s">
        <v>333</v>
      </c>
      <c r="U94" s="699">
        <f>S94*O94*30*$D$11*(1+$D$24)/1000</f>
        <v>348.79358671119604</v>
      </c>
      <c r="V94" s="408" t="s">
        <v>334</v>
      </c>
      <c r="W94" s="699">
        <f>IF(O94&lt;&gt;0,U94/O94,0)</f>
        <v>87.19839667779901</v>
      </c>
      <c r="X94" s="417" t="s">
        <v>334</v>
      </c>
      <c r="Y94" s="240" t="str">
        <f>IF(O94=0,"-",IF(AND(((F94*(1-$Y$89))&lt;W94),(W94&lt;(G94*(1+$Y$89)))),"OK", "NOK"))</f>
        <v>OK</v>
      </c>
      <c r="Z94" s="139"/>
      <c r="AA94" s="227">
        <f>IF(OR(Y94="OK",Y94="-"),1,0)</f>
        <v>1</v>
      </c>
      <c r="AB94" s="423"/>
    </row>
    <row r="95" spans="1:28" s="237" customFormat="1" ht="24" hidden="1" customHeight="1" outlineLevel="1" x14ac:dyDescent="0.25">
      <c r="A95" s="408"/>
      <c r="B95" s="2038"/>
      <c r="C95" s="2039"/>
      <c r="D95" s="2041"/>
      <c r="E95" s="710"/>
      <c r="F95" s="1473">
        <f>G94</f>
        <v>100</v>
      </c>
      <c r="G95" s="1474">
        <v>500</v>
      </c>
      <c r="H95" s="1475">
        <v>0.02</v>
      </c>
      <c r="I95" s="1309"/>
      <c r="J95" s="1476">
        <f>$L$32*(H91+(G93-F93)*H93+(G94-F94)*H94+(G95-F95)*H95)*$B$90*$C$90</f>
        <v>5305.4760714013037</v>
      </c>
      <c r="K95" s="1477">
        <f>$M$32*(H91+(G93-F93)*H93+(G94-F94)*H94+(G95-F95)*H95)*$B$90*$C$90</f>
        <v>442.12300595010862</v>
      </c>
      <c r="L95" s="1476">
        <f t="shared" si="5"/>
        <v>6366.5712856815644</v>
      </c>
      <c r="M95" s="1477">
        <f t="shared" si="5"/>
        <v>530.54760714013037</v>
      </c>
      <c r="N95" s="408"/>
      <c r="O95" s="715">
        <v>1</v>
      </c>
      <c r="P95" s="417"/>
      <c r="Q95" s="261">
        <f>O95*$Q$76*M95+O95*(1-$Q$76)*K95</f>
        <v>486.33530654511947</v>
      </c>
      <c r="R95" s="408"/>
      <c r="S95" s="719">
        <f>IF(AND(Q95&lt;&gt;0,O95&lt;&gt;0),Q95/(1+$D$17+$D$18+$D$19)/O95/30/(($D$25*1000000/$D$8))*1000,0)</f>
        <v>9.2145883578022758</v>
      </c>
      <c r="T95" s="417" t="s">
        <v>333</v>
      </c>
      <c r="U95" s="699">
        <f>S95*O95*30*$D$11*(1+$D$24)/1000</f>
        <v>275.73547057574262</v>
      </c>
      <c r="V95" s="408" t="s">
        <v>334</v>
      </c>
      <c r="W95" s="699">
        <f>IF(O95&lt;&gt;0,U95/O95,0)</f>
        <v>275.73547057574262</v>
      </c>
      <c r="X95" s="417" t="s">
        <v>334</v>
      </c>
      <c r="Y95" s="240" t="str">
        <f>IF(O95=0,"-",IF(AND(((F95*(1-$Y$89))&lt;W95),(W95&lt;(G95*(1+$Y$89)))),"OK", "NOK"))</f>
        <v>OK</v>
      </c>
      <c r="Z95" s="139"/>
      <c r="AA95" s="227">
        <f>IF(OR(Y95="OK",Y95="-"),1,0)</f>
        <v>1</v>
      </c>
      <c r="AB95" s="423"/>
    </row>
    <row r="96" spans="1:28" s="237" customFormat="1" ht="24" hidden="1" customHeight="1" outlineLevel="1" x14ac:dyDescent="0.25">
      <c r="A96" s="408"/>
      <c r="B96" s="2038"/>
      <c r="C96" s="2039"/>
      <c r="D96" s="2041"/>
      <c r="E96" s="710"/>
      <c r="F96" s="1473">
        <f>G95</f>
        <v>500</v>
      </c>
      <c r="G96" s="1474">
        <v>1000</v>
      </c>
      <c r="H96" s="1475">
        <v>0.01</v>
      </c>
      <c r="I96" s="1309"/>
      <c r="J96" s="1476">
        <f>$L$32*(H91+(G93-F93)*H93+(G94-F94)*H94+(G95-F95)*H95+(G96-F96)*H96)*$B$90*$C$90</f>
        <v>7572.773537812117</v>
      </c>
      <c r="K96" s="1477">
        <f>$M$32*(H91+(G93-F93)*H93+(G94-F94)*H94+(G95-F95)*H95+(G96-F96)*H96)*$B$90*$C$90</f>
        <v>631.06446148434304</v>
      </c>
      <c r="L96" s="1476">
        <f t="shared" si="5"/>
        <v>9087.3282453745396</v>
      </c>
      <c r="M96" s="1477">
        <f t="shared" si="5"/>
        <v>757.27735378121167</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1004</v>
      </c>
      <c r="R1" s="62"/>
    </row>
    <row r="2" spans="1:20" s="192" customFormat="1" ht="25.15" customHeight="1" x14ac:dyDescent="0.25">
      <c r="B2" s="2086" t="s">
        <v>777</v>
      </c>
      <c r="C2" s="2086"/>
      <c r="D2" s="2086"/>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086"/>
      <c r="C3" s="2086"/>
      <c r="D3" s="2086"/>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086"/>
      <c r="C4" s="2086"/>
      <c r="D4" s="2086"/>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4" t="s">
        <v>778</v>
      </c>
      <c r="C6" s="1695" t="s">
        <v>1006</v>
      </c>
      <c r="D6" s="1726" t="s">
        <v>1005</v>
      </c>
      <c r="E6" s="1277"/>
      <c r="F6" s="2083" t="s">
        <v>340</v>
      </c>
      <c r="G6" s="2084"/>
      <c r="H6" s="2085"/>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2" t="s">
        <v>610</v>
      </c>
      <c r="C7" s="1696" t="s">
        <v>240</v>
      </c>
      <c r="D7" s="1727" t="s">
        <v>240</v>
      </c>
      <c r="E7" s="1283" t="s">
        <v>194</v>
      </c>
      <c r="F7" s="1400"/>
      <c r="G7" s="1401" t="s">
        <v>341</v>
      </c>
      <c r="H7" s="1731"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3" t="s">
        <v>611</v>
      </c>
      <c r="C8" s="1697">
        <f>'R&amp;C-Painel de Controle'!D27</f>
        <v>4.7000000000000002E-3</v>
      </c>
      <c r="D8" s="1679">
        <f>C8</f>
        <v>4.7000000000000002E-3</v>
      </c>
      <c r="E8" s="192" t="s">
        <v>194</v>
      </c>
      <c r="F8" s="1712" t="s">
        <v>344</v>
      </c>
      <c r="G8" s="1713">
        <f>SUMIF(C33:BC33,1,C159:BC159)</f>
        <v>-4.8394981838541886</v>
      </c>
      <c r="H8" s="1714">
        <f>SUMIF(C33:BC33,1,C178:BC178)</f>
        <v>-6.3527570651459371</v>
      </c>
      <c r="I8" s="268"/>
      <c r="J8" s="268"/>
      <c r="K8" s="268"/>
      <c r="L8" s="268"/>
      <c r="M8" s="268"/>
      <c r="N8" s="268"/>
      <c r="O8" s="268"/>
      <c r="P8" s="268"/>
      <c r="Q8" s="268"/>
      <c r="R8" s="268"/>
      <c r="S8" s="270"/>
      <c r="T8" s="268"/>
    </row>
    <row r="9" spans="1:20" s="192" customFormat="1" ht="17.649999999999999" customHeight="1" outlineLevel="1" x14ac:dyDescent="0.25">
      <c r="B9" s="1673" t="s">
        <v>343</v>
      </c>
      <c r="C9" s="1698">
        <v>0</v>
      </c>
      <c r="D9" s="1680">
        <f>C9</f>
        <v>0</v>
      </c>
      <c r="F9" s="1715" t="s">
        <v>345</v>
      </c>
      <c r="G9" s="171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-2.7708422916173925E-3</v>
      </c>
      <c r="H9" s="171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0.17265492770484414</v>
      </c>
      <c r="I9" s="271"/>
      <c r="J9" s="271"/>
      <c r="K9" s="268"/>
      <c r="L9" s="268"/>
      <c r="M9" s="268"/>
      <c r="N9" s="268"/>
      <c r="O9" s="268"/>
      <c r="P9" s="268"/>
      <c r="Q9" s="268"/>
      <c r="R9" s="268"/>
      <c r="S9" s="270"/>
      <c r="T9" s="268"/>
    </row>
    <row r="10" spans="1:20" s="192" customFormat="1" ht="17.649999999999999" customHeight="1" outlineLevel="1" x14ac:dyDescent="0.25">
      <c r="B10" s="1673" t="s">
        <v>912</v>
      </c>
      <c r="C10" s="1699">
        <v>0.05</v>
      </c>
      <c r="D10" s="1681">
        <f>C10</f>
        <v>0.05</v>
      </c>
      <c r="E10" s="192" t="s">
        <v>194</v>
      </c>
      <c r="F10" s="1715" t="s">
        <v>346</v>
      </c>
      <c r="G10" s="1716">
        <f>G9-C28</f>
        <v>-0.10017084229161739</v>
      </c>
      <c r="H10" s="1717">
        <f>H9-C28</f>
        <v>7.5254927704844141E-2</v>
      </c>
      <c r="I10" s="268"/>
      <c r="J10" s="273"/>
      <c r="K10" s="268"/>
      <c r="L10" s="268"/>
      <c r="M10" s="268"/>
      <c r="N10" s="268"/>
      <c r="O10" s="268"/>
      <c r="P10" s="268"/>
      <c r="Q10" s="268"/>
      <c r="R10" s="268"/>
      <c r="S10" s="270"/>
      <c r="T10" s="268"/>
    </row>
    <row r="11" spans="1:20" s="192" customFormat="1" ht="19.899999999999999" customHeight="1" outlineLevel="1" thickBot="1" x14ac:dyDescent="0.3">
      <c r="B11" s="1673" t="s">
        <v>913</v>
      </c>
      <c r="C11" s="1699">
        <v>0.12</v>
      </c>
      <c r="D11" s="1681">
        <f>C11</f>
        <v>0.12</v>
      </c>
      <c r="E11" s="192" t="s">
        <v>194</v>
      </c>
      <c r="F11" s="1715" t="s">
        <v>347</v>
      </c>
      <c r="G11" s="1718">
        <f>SUMIF(C33:BC33,1,C63:BC63)</f>
        <v>183.68246424383366</v>
      </c>
      <c r="H11" s="1719">
        <f>SUMIF(C33:BC33,1,C63:BC63)</f>
        <v>183.68246424383366</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4" t="s">
        <v>779</v>
      </c>
      <c r="C12" s="1700" t="s">
        <v>1006</v>
      </c>
      <c r="D12" s="1728" t="s">
        <v>1005</v>
      </c>
      <c r="F12" s="1715" t="s">
        <v>348</v>
      </c>
      <c r="G12" s="1716">
        <f>G8/G11</f>
        <v>-2.6347088731507224E-2</v>
      </c>
      <c r="H12" s="1717">
        <f>H8/H11</f>
        <v>-3.4585539187414312E-2</v>
      </c>
      <c r="I12" s="273"/>
      <c r="J12" s="273"/>
      <c r="K12" s="268"/>
      <c r="L12" s="268"/>
      <c r="M12" s="268"/>
      <c r="N12" s="268"/>
      <c r="O12" s="268"/>
      <c r="P12" s="268"/>
      <c r="Q12" s="268"/>
      <c r="R12" s="268"/>
      <c r="S12" s="270"/>
      <c r="T12" s="268"/>
    </row>
    <row r="13" spans="1:20" s="192" customFormat="1" ht="17.649999999999999" customHeight="1" outlineLevel="1" x14ac:dyDescent="0.25">
      <c r="B13" s="1675" t="s">
        <v>447</v>
      </c>
      <c r="C13" s="1701" t="s">
        <v>240</v>
      </c>
      <c r="D13" s="1727" t="s">
        <v>240</v>
      </c>
      <c r="F13" s="1720" t="s">
        <v>349</v>
      </c>
      <c r="G13" s="1721">
        <f>IF(G8&lt;0,SUM(C164:BC164),SUM(C164:BC164))</f>
        <v>36.15930172409508</v>
      </c>
      <c r="H13" s="1722">
        <f>IF(H8&lt;0,SUM(C183:BC183),SUM(C183:BC183))</f>
        <v>36.531276368150074</v>
      </c>
      <c r="I13" s="271"/>
      <c r="J13" s="271"/>
      <c r="K13" s="268"/>
      <c r="L13" s="268"/>
      <c r="M13" s="268"/>
      <c r="N13" s="268"/>
      <c r="O13" s="268"/>
      <c r="P13" s="268"/>
      <c r="Q13" s="268"/>
      <c r="R13" s="268"/>
      <c r="S13" s="270"/>
      <c r="T13" s="268"/>
    </row>
    <row r="14" spans="1:20" s="192" customFormat="1" ht="19.899999999999999" customHeight="1" outlineLevel="1" thickBot="1" x14ac:dyDescent="0.3">
      <c r="B14" s="1673" t="s">
        <v>612</v>
      </c>
      <c r="C14" s="1702">
        <v>0.7</v>
      </c>
      <c r="D14" s="1694">
        <v>0.3</v>
      </c>
      <c r="E14" s="192" t="s">
        <v>194</v>
      </c>
      <c r="F14" s="1723" t="s">
        <v>613</v>
      </c>
      <c r="G14" s="1724">
        <f>(SUMIF(C33:BC33,1,C159:BC159)+SUMIF(C33:BC33,1,C63:BC63))/SUMIF(C33:BC33,1,C63:BC63)</f>
        <v>0.97365291126849285</v>
      </c>
      <c r="H14" s="1725">
        <f>(SUMIF(C33:BC33,1,C178:BC178)+SUMIF(C33:BC33,1,C63:BC63))/SUMIF(C33:BC33,1,C63:BC63)</f>
        <v>0.96541446081258564</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3"/>
      <c r="D15" s="1682"/>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6" t="s">
        <v>709</v>
      </c>
      <c r="C16" s="1748">
        <v>0.125</v>
      </c>
      <c r="D16" s="1749">
        <v>0.125</v>
      </c>
      <c r="E16" s="192" t="s">
        <v>350</v>
      </c>
      <c r="F16" s="2097" t="s">
        <v>780</v>
      </c>
      <c r="G16" s="1735" t="s">
        <v>261</v>
      </c>
      <c r="H16" s="1729" t="s">
        <v>351</v>
      </c>
      <c r="I16" s="1686"/>
      <c r="J16" s="1685"/>
      <c r="K16" s="1288"/>
      <c r="L16" s="1288"/>
      <c r="M16" s="1288"/>
      <c r="N16" s="1288"/>
      <c r="O16" s="1288"/>
      <c r="P16" s="1288"/>
      <c r="Q16" s="1288"/>
      <c r="R16" s="1288"/>
      <c r="S16" s="1289"/>
      <c r="T16" s="1288"/>
    </row>
    <row r="17" spans="1:58" s="192" customFormat="1" ht="17.649999999999999" customHeight="1" outlineLevel="1" thickTop="1" x14ac:dyDescent="0.25">
      <c r="B17" s="1677" t="s">
        <v>782</v>
      </c>
      <c r="C17" s="1704" t="s">
        <v>240</v>
      </c>
      <c r="D17" s="1729" t="s">
        <v>240</v>
      </c>
      <c r="E17" s="1287"/>
      <c r="F17" s="2098"/>
      <c r="G17" s="2101" t="s">
        <v>781</v>
      </c>
      <c r="H17" s="2103"/>
      <c r="I17" s="1687"/>
      <c r="J17" s="1688"/>
      <c r="K17" s="268"/>
      <c r="L17" s="268"/>
      <c r="M17" s="268"/>
      <c r="N17" s="268"/>
      <c r="O17" s="268"/>
      <c r="P17" s="268"/>
      <c r="Q17" s="268"/>
      <c r="R17" s="268"/>
      <c r="S17" s="270"/>
      <c r="T17" s="268"/>
    </row>
    <row r="18" spans="1:58" s="192" customFormat="1" ht="17.649999999999999" customHeight="1" outlineLevel="1" x14ac:dyDescent="0.25">
      <c r="B18" s="1673" t="s">
        <v>614</v>
      </c>
      <c r="C18" s="1705">
        <f>1-C14</f>
        <v>0.30000000000000004</v>
      </c>
      <c r="D18" s="1830">
        <f>1-D14</f>
        <v>0.7</v>
      </c>
      <c r="E18" s="192" t="s">
        <v>194</v>
      </c>
      <c r="F18" s="2098"/>
      <c r="G18" s="2102"/>
      <c r="H18" s="2104"/>
      <c r="I18" s="1691"/>
      <c r="J18" s="1264"/>
      <c r="K18" s="268"/>
      <c r="L18" s="268"/>
      <c r="M18" s="268"/>
      <c r="N18" s="268"/>
      <c r="O18" s="268"/>
      <c r="P18" s="268"/>
      <c r="Q18" s="268"/>
      <c r="R18" s="268"/>
      <c r="S18" s="270"/>
    </row>
    <row r="19" spans="1:58" s="192" customFormat="1" ht="2.65" customHeight="1" outlineLevel="1" x14ac:dyDescent="0.25">
      <c r="B19" s="1274"/>
      <c r="C19" s="1703"/>
      <c r="D19" s="1682"/>
      <c r="F19" s="2098"/>
      <c r="G19" s="1671"/>
      <c r="H19" s="1732"/>
      <c r="I19" s="1692"/>
      <c r="J19" s="268"/>
      <c r="K19" s="268"/>
      <c r="L19" s="268"/>
      <c r="M19" s="268"/>
      <c r="N19" s="268"/>
      <c r="O19" s="268"/>
      <c r="P19" s="268"/>
      <c r="Q19" s="268"/>
      <c r="R19" s="268"/>
      <c r="S19" s="270"/>
    </row>
    <row r="20" spans="1:58" s="192" customFormat="1" ht="17.649999999999999" customHeight="1" outlineLevel="1" x14ac:dyDescent="0.25">
      <c r="B20" s="1673" t="s">
        <v>710</v>
      </c>
      <c r="C20" s="1746" t="s">
        <v>1009</v>
      </c>
      <c r="D20" s="1747" t="s">
        <v>1009</v>
      </c>
      <c r="F20" s="2098"/>
      <c r="G20" s="1268">
        <v>0.05</v>
      </c>
      <c r="H20" s="1269">
        <v>4.3499999999999997E-2</v>
      </c>
      <c r="I20" s="1689"/>
      <c r="J20" s="1264"/>
      <c r="K20" s="268"/>
      <c r="L20" s="268"/>
      <c r="M20" s="268"/>
      <c r="N20" s="268"/>
      <c r="O20" s="268"/>
      <c r="P20" s="268"/>
      <c r="Q20" s="268"/>
      <c r="R20" s="268"/>
      <c r="S20" s="270"/>
      <c r="T20" s="268"/>
    </row>
    <row r="21" spans="1:58" s="192" customFormat="1" ht="17.649999999999999" customHeight="1" outlineLevel="1" x14ac:dyDescent="0.25">
      <c r="B21" s="1673" t="s">
        <v>615</v>
      </c>
      <c r="C21" s="1706">
        <v>0.05</v>
      </c>
      <c r="D21" s="1828">
        <v>0.05</v>
      </c>
      <c r="E21" s="192" t="s">
        <v>350</v>
      </c>
      <c r="F21" s="2098"/>
      <c r="G21" s="1270">
        <v>20</v>
      </c>
      <c r="H21" s="1271">
        <v>20</v>
      </c>
      <c r="I21" s="1690"/>
      <c r="J21" s="1264"/>
      <c r="K21" s="268"/>
      <c r="L21" s="268"/>
      <c r="M21" s="268"/>
      <c r="N21" s="268"/>
      <c r="O21" s="268"/>
      <c r="P21" s="268"/>
      <c r="Q21" s="268"/>
      <c r="R21" s="268"/>
      <c r="S21" s="270"/>
      <c r="T21" s="268"/>
    </row>
    <row r="22" spans="1:58" s="192" customFormat="1" ht="17.649999999999999" customHeight="1" outlineLevel="1" x14ac:dyDescent="0.25">
      <c r="B22" s="1693" t="s">
        <v>616</v>
      </c>
      <c r="C22" s="1707">
        <v>20</v>
      </c>
      <c r="D22" s="1829">
        <v>20</v>
      </c>
      <c r="E22" s="192" t="s">
        <v>339</v>
      </c>
      <c r="F22" s="2098"/>
      <c r="G22" s="1270">
        <v>2</v>
      </c>
      <c r="H22" s="1271">
        <v>2</v>
      </c>
      <c r="I22" s="1690"/>
      <c r="J22" s="1264"/>
      <c r="K22" s="268"/>
      <c r="L22" s="268"/>
      <c r="M22" s="268"/>
      <c r="N22" s="268"/>
      <c r="O22" s="268"/>
      <c r="P22" s="268"/>
      <c r="Q22" s="268"/>
      <c r="R22" s="268"/>
      <c r="S22" s="270"/>
      <c r="T22" s="268"/>
    </row>
    <row r="23" spans="1:58" s="192" customFormat="1" ht="17.649999999999999" customHeight="1" outlineLevel="1" thickBot="1" x14ac:dyDescent="0.3">
      <c r="B23" s="1693" t="s">
        <v>617</v>
      </c>
      <c r="C23" s="1707">
        <v>2</v>
      </c>
      <c r="D23" s="1829">
        <v>2</v>
      </c>
      <c r="E23" s="192" t="s">
        <v>339</v>
      </c>
      <c r="F23" s="2099"/>
      <c r="G23" s="1272">
        <v>4.3499999999999997E-2</v>
      </c>
      <c r="H23" s="1273">
        <v>4.3499999999999997E-2</v>
      </c>
      <c r="I23" s="1689"/>
      <c r="J23" s="1264"/>
      <c r="K23" s="268"/>
      <c r="L23" s="268"/>
      <c r="M23" s="268"/>
      <c r="N23" s="268"/>
      <c r="O23" s="268"/>
      <c r="P23" s="268"/>
      <c r="Q23" s="268"/>
      <c r="R23" s="268"/>
      <c r="S23" s="270"/>
      <c r="T23" s="268"/>
    </row>
    <row r="24" spans="1:58" s="192" customFormat="1" ht="17.649999999999999" customHeight="1" outlineLevel="1" thickTop="1" thickBot="1" x14ac:dyDescent="0.3">
      <c r="B24" s="1693" t="s">
        <v>618</v>
      </c>
      <c r="C24" s="1706">
        <v>4.3499999999999997E-2</v>
      </c>
      <c r="D24" s="1828">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3" t="s">
        <v>711</v>
      </c>
      <c r="C25" s="1708">
        <v>0.09</v>
      </c>
      <c r="D25" s="1681">
        <f>C25</f>
        <v>0.09</v>
      </c>
      <c r="E25" s="192" t="s">
        <v>194</v>
      </c>
      <c r="F25" s="1733" t="s">
        <v>783</v>
      </c>
      <c r="G25" s="1734"/>
      <c r="H25" s="1734"/>
      <c r="I25" s="1669"/>
      <c r="J25" s="1669"/>
      <c r="K25" s="1669"/>
      <c r="L25" s="1669"/>
      <c r="M25" s="1669"/>
      <c r="N25" s="1669"/>
      <c r="O25" s="1669"/>
      <c r="P25" s="1669"/>
      <c r="Q25" s="1669"/>
      <c r="R25" s="1669"/>
      <c r="S25" s="1670"/>
      <c r="T25" s="268"/>
    </row>
    <row r="26" spans="1:58" s="192" customFormat="1" ht="17.649999999999999" customHeight="1" outlineLevel="1" thickTop="1" thickBot="1" x14ac:dyDescent="0.3">
      <c r="B26" s="1678" t="s">
        <v>712</v>
      </c>
      <c r="C26" s="1709">
        <v>0.25</v>
      </c>
      <c r="D26" s="1681">
        <f>C26</f>
        <v>0.25</v>
      </c>
      <c r="E26" s="192" t="s">
        <v>194</v>
      </c>
      <c r="F26" s="2100" t="s">
        <v>1007</v>
      </c>
      <c r="G26" s="2092"/>
      <c r="H26" s="1265">
        <f>'R&amp;C-Painel de Controle'!D33</f>
        <v>1396.7092707049733</v>
      </c>
      <c r="I26" s="1395" t="s">
        <v>246</v>
      </c>
      <c r="J26" s="1394"/>
      <c r="K26" s="2091" t="s">
        <v>604</v>
      </c>
      <c r="L26" s="2092"/>
      <c r="M26" s="1266">
        <f>G8</f>
        <v>-4.8394981838541886</v>
      </c>
      <c r="N26" s="1395" t="s">
        <v>255</v>
      </c>
      <c r="O26" s="2081" t="s">
        <v>605</v>
      </c>
      <c r="P26" s="2081"/>
      <c r="Q26" s="2082"/>
      <c r="R26" s="1267">
        <f>G14</f>
        <v>0.97365291126849285</v>
      </c>
      <c r="S26" s="1397" t="s">
        <v>194</v>
      </c>
      <c r="T26" s="268"/>
    </row>
    <row r="27" spans="1:58" s="192" customFormat="1" ht="19.899999999999999" customHeight="1" outlineLevel="1" thickTop="1" x14ac:dyDescent="0.25">
      <c r="B27" s="1674" t="s">
        <v>352</v>
      </c>
      <c r="C27" s="1710" t="s">
        <v>240</v>
      </c>
      <c r="D27" s="1730" t="s">
        <v>240</v>
      </c>
      <c r="F27" s="2096" t="s">
        <v>606</v>
      </c>
      <c r="G27" s="2094"/>
      <c r="H27" s="735">
        <f>'R&amp;C-Painel de Controle'!D32</f>
        <v>35</v>
      </c>
      <c r="I27" s="1396" t="s">
        <v>339</v>
      </c>
      <c r="J27" s="1274"/>
      <c r="K27" s="2093" t="s">
        <v>607</v>
      </c>
      <c r="L27" s="2094"/>
      <c r="M27" s="736">
        <f>G9</f>
        <v>-2.7708422916173925E-3</v>
      </c>
      <c r="N27" s="1396" t="s">
        <v>194</v>
      </c>
      <c r="O27" s="1274"/>
      <c r="P27" s="1398"/>
      <c r="Q27" s="749"/>
      <c r="R27" s="749"/>
      <c r="S27" s="1399"/>
      <c r="T27" s="268"/>
    </row>
    <row r="28" spans="1:58" s="192" customFormat="1" ht="18" customHeight="1" outlineLevel="1" thickBot="1" x14ac:dyDescent="0.3">
      <c r="B28" s="1678" t="s">
        <v>619</v>
      </c>
      <c r="C28" s="1711">
        <f>C14*C16+C18*C21*(1-(C25+C26))</f>
        <v>9.74E-2</v>
      </c>
      <c r="D28" s="1683">
        <f>D14*D16+D18*D21*(1-(D25+D26))</f>
        <v>6.0600000000000001E-2</v>
      </c>
      <c r="E28" s="192" t="s">
        <v>350</v>
      </c>
      <c r="F28" s="2087" t="s">
        <v>608</v>
      </c>
      <c r="G28" s="2088"/>
      <c r="H28" s="1736">
        <f>H26*('R&amp;C-Painel de Controle'!D7*30/'R&amp;C-Painel de Controle'!D6)</f>
        <v>7.5129661424665652</v>
      </c>
      <c r="I28" s="1737" t="s">
        <v>250</v>
      </c>
      <c r="J28" s="1274"/>
      <c r="K28" s="2095" t="s">
        <v>609</v>
      </c>
      <c r="L28" s="2088"/>
      <c r="M28" s="1738">
        <f>G13</f>
        <v>36.15930172409508</v>
      </c>
      <c r="N28" s="1396" t="s">
        <v>339</v>
      </c>
      <c r="O28" s="1274"/>
      <c r="P28" s="1274"/>
      <c r="Q28" s="1274"/>
      <c r="R28" s="1274"/>
      <c r="S28" s="1399"/>
      <c r="T28" s="268"/>
    </row>
    <row r="29" spans="1:58" s="192" customFormat="1" ht="18" customHeight="1" outlineLevel="1" thickTop="1" thickBot="1" x14ac:dyDescent="0.3">
      <c r="B29" s="290"/>
      <c r="F29" s="2089" t="s">
        <v>1008</v>
      </c>
      <c r="G29" s="2090"/>
      <c r="H29" s="1739">
        <f>'R&amp;C-Painel de Controle'!H33</f>
        <v>1491.675405776728</v>
      </c>
      <c r="I29" s="1740" t="s">
        <v>246</v>
      </c>
      <c r="J29" s="1741"/>
      <c r="K29" s="1741"/>
      <c r="L29" s="1741"/>
      <c r="M29" s="1741"/>
      <c r="N29" s="1741"/>
      <c r="O29" s="1741"/>
      <c r="P29" s="1741"/>
      <c r="Q29" s="1741"/>
      <c r="R29" s="1741"/>
      <c r="S29" s="1742"/>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79.057269915667192</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23025.599999999999</v>
      </c>
      <c r="D35" s="279">
        <f>C35*(1+$C$8)</f>
        <v>23133.820319999995</v>
      </c>
      <c r="E35" s="279">
        <f t="shared" ref="E35:AI35" si="4">D35*(1+$C$8)</f>
        <v>23242.549275503992</v>
      </c>
      <c r="F35" s="279">
        <f t="shared" si="4"/>
        <v>23351.789257098859</v>
      </c>
      <c r="G35" s="279">
        <f t="shared" si="4"/>
        <v>23461.542666607224</v>
      </c>
      <c r="H35" s="279">
        <f t="shared" si="4"/>
        <v>23571.811917140276</v>
      </c>
      <c r="I35" s="279">
        <f t="shared" si="4"/>
        <v>23682.599433150834</v>
      </c>
      <c r="J35" s="279">
        <f t="shared" si="4"/>
        <v>23793.907650486643</v>
      </c>
      <c r="K35" s="279">
        <f t="shared" si="4"/>
        <v>23905.739016443928</v>
      </c>
      <c r="L35" s="279">
        <f t="shared" si="4"/>
        <v>24018.095989821213</v>
      </c>
      <c r="M35" s="279">
        <f t="shared" si="4"/>
        <v>24130.981040973373</v>
      </c>
      <c r="N35" s="279">
        <f t="shared" si="4"/>
        <v>24244.396651865947</v>
      </c>
      <c r="O35" s="279">
        <f t="shared" si="4"/>
        <v>24358.345316129715</v>
      </c>
      <c r="P35" s="279">
        <f t="shared" si="4"/>
        <v>24472.829539115522</v>
      </c>
      <c r="Q35" s="279">
        <f t="shared" si="4"/>
        <v>24587.851837949365</v>
      </c>
      <c r="R35" s="279">
        <f t="shared" si="4"/>
        <v>24703.414741587727</v>
      </c>
      <c r="S35" s="279">
        <f t="shared" si="4"/>
        <v>24819.520790873186</v>
      </c>
      <c r="T35" s="279">
        <f t="shared" si="4"/>
        <v>24936.17253859029</v>
      </c>
      <c r="U35" s="279">
        <f t="shared" si="4"/>
        <v>25053.372549521664</v>
      </c>
      <c r="V35" s="279">
        <f t="shared" si="4"/>
        <v>25171.123400504413</v>
      </c>
      <c r="W35" s="279">
        <f t="shared" si="4"/>
        <v>25289.427680486784</v>
      </c>
      <c r="X35" s="279">
        <f t="shared" si="4"/>
        <v>25408.287990585071</v>
      </c>
      <c r="Y35" s="279">
        <f t="shared" si="4"/>
        <v>25527.70694414082</v>
      </c>
      <c r="Z35" s="279">
        <f t="shared" si="4"/>
        <v>25647.68716677828</v>
      </c>
      <c r="AA35" s="279">
        <f t="shared" si="4"/>
        <v>25768.231296462134</v>
      </c>
      <c r="AB35" s="279">
        <f t="shared" si="4"/>
        <v>25889.341983555503</v>
      </c>
      <c r="AC35" s="279">
        <f t="shared" si="4"/>
        <v>26011.021890878212</v>
      </c>
      <c r="AD35" s="279">
        <f t="shared" si="4"/>
        <v>26133.273693765339</v>
      </c>
      <c r="AE35" s="279">
        <f t="shared" si="4"/>
        <v>26256.100080126034</v>
      </c>
      <c r="AF35" s="279">
        <f t="shared" si="4"/>
        <v>26379.503750502623</v>
      </c>
      <c r="AG35" s="279">
        <f t="shared" si="4"/>
        <v>26503.487418129982</v>
      </c>
      <c r="AH35" s="279">
        <f t="shared" si="4"/>
        <v>26628.053808995192</v>
      </c>
      <c r="AI35" s="279">
        <f t="shared" si="4"/>
        <v>26753.205661897468</v>
      </c>
      <c r="AJ35" s="279">
        <f t="shared" ref="AJ35:BC35" si="5">AI35*(1+$C$8)</f>
        <v>26878.945728508384</v>
      </c>
      <c r="AK35" s="279">
        <f t="shared" si="5"/>
        <v>27005.276773432372</v>
      </c>
      <c r="AL35" s="279">
        <f t="shared" si="5"/>
        <v>27132.201574267503</v>
      </c>
      <c r="AM35" s="279">
        <f t="shared" si="5"/>
        <v>27259.722921666558</v>
      </c>
      <c r="AN35" s="279">
        <f t="shared" si="5"/>
        <v>27387.843619398391</v>
      </c>
      <c r="AO35" s="279">
        <f t="shared" si="5"/>
        <v>27516.566484409563</v>
      </c>
      <c r="AP35" s="279">
        <f t="shared" si="5"/>
        <v>27645.894346886285</v>
      </c>
      <c r="AQ35" s="279">
        <f t="shared" si="5"/>
        <v>27775.83005031665</v>
      </c>
      <c r="AR35" s="279">
        <f t="shared" si="5"/>
        <v>27906.376451553137</v>
      </c>
      <c r="AS35" s="279">
        <f t="shared" si="5"/>
        <v>28037.536420875433</v>
      </c>
      <c r="AT35" s="279">
        <f t="shared" si="5"/>
        <v>28169.312842053547</v>
      </c>
      <c r="AU35" s="279">
        <f t="shared" si="5"/>
        <v>28301.708612411196</v>
      </c>
      <c r="AV35" s="279">
        <f t="shared" si="5"/>
        <v>28434.726642889527</v>
      </c>
      <c r="AW35" s="279">
        <f t="shared" si="5"/>
        <v>28568.369858111106</v>
      </c>
      <c r="AX35" s="279">
        <f t="shared" si="5"/>
        <v>28702.641196444227</v>
      </c>
      <c r="AY35" s="279">
        <f t="shared" si="5"/>
        <v>28837.543610067514</v>
      </c>
      <c r="AZ35" s="279">
        <f t="shared" si="5"/>
        <v>28973.080065034828</v>
      </c>
      <c r="BA35" s="279">
        <f t="shared" si="5"/>
        <v>29109.253541340491</v>
      </c>
      <c r="BB35" s="279">
        <f t="shared" si="5"/>
        <v>29246.067032984789</v>
      </c>
      <c r="BC35" s="279">
        <f t="shared" si="5"/>
        <v>29383.523548039815</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2887.4249999999993</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2900.995897499999</v>
      </c>
      <c r="G42" s="299">
        <f t="shared" si="10"/>
        <v>2900.995897499999</v>
      </c>
      <c r="H42" s="299">
        <f t="shared" si="10"/>
        <v>2900.995897499999</v>
      </c>
      <c r="I42" s="299">
        <f t="shared" si="10"/>
        <v>2900.995897499999</v>
      </c>
      <c r="J42" s="299">
        <f t="shared" si="10"/>
        <v>2900.995897499999</v>
      </c>
      <c r="K42" s="299">
        <f t="shared" si="10"/>
        <v>2900.995897499999</v>
      </c>
      <c r="L42" s="299">
        <f t="shared" si="10"/>
        <v>2900.995897499999</v>
      </c>
      <c r="M42" s="299">
        <f t="shared" si="10"/>
        <v>2900.995897499999</v>
      </c>
      <c r="N42" s="299">
        <f t="shared" si="10"/>
        <v>2900.995897499999</v>
      </c>
      <c r="O42" s="299">
        <f t="shared" si="10"/>
        <v>2900.995897499999</v>
      </c>
      <c r="P42" s="299">
        <f t="shared" si="10"/>
        <v>2900.995897499999</v>
      </c>
      <c r="Q42" s="299">
        <f t="shared" si="10"/>
        <v>2900.995897499999</v>
      </c>
      <c r="R42" s="299">
        <f t="shared" ref="R42:BC42" si="11">Q42*(1+$C$8)</f>
        <v>2914.630578218249</v>
      </c>
      <c r="S42" s="299">
        <f t="shared" si="11"/>
        <v>2928.3293419358747</v>
      </c>
      <c r="T42" s="299">
        <f t="shared" si="11"/>
        <v>2942.092489842973</v>
      </c>
      <c r="U42" s="299">
        <f t="shared" si="11"/>
        <v>2955.920324545235</v>
      </c>
      <c r="V42" s="299">
        <f t="shared" si="11"/>
        <v>2969.8131500705972</v>
      </c>
      <c r="W42" s="299">
        <f t="shared" si="11"/>
        <v>2983.771271875929</v>
      </c>
      <c r="X42" s="299">
        <f t="shared" si="11"/>
        <v>2997.7949968537455</v>
      </c>
      <c r="Y42" s="299">
        <f t="shared" si="11"/>
        <v>3011.8846333389579</v>
      </c>
      <c r="Z42" s="299">
        <f t="shared" si="11"/>
        <v>3026.0404911156506</v>
      </c>
      <c r="AA42" s="299">
        <f t="shared" si="11"/>
        <v>3040.2628814238938</v>
      </c>
      <c r="AB42" s="299">
        <f t="shared" si="11"/>
        <v>3054.5521169665858</v>
      </c>
      <c r="AC42" s="299">
        <f t="shared" si="11"/>
        <v>3068.9085119163287</v>
      </c>
      <c r="AD42" s="299">
        <f t="shared" si="11"/>
        <v>3083.3323819223351</v>
      </c>
      <c r="AE42" s="299">
        <f t="shared" si="11"/>
        <v>3097.8240441173698</v>
      </c>
      <c r="AF42" s="299">
        <f t="shared" si="11"/>
        <v>3112.3838171247212</v>
      </c>
      <c r="AG42" s="299">
        <f t="shared" si="11"/>
        <v>3127.0120210652071</v>
      </c>
      <c r="AH42" s="299">
        <f t="shared" si="11"/>
        <v>3141.7089775642135</v>
      </c>
      <c r="AI42" s="299">
        <f t="shared" si="11"/>
        <v>3156.4750097587648</v>
      </c>
      <c r="AJ42" s="299">
        <f t="shared" si="11"/>
        <v>3171.3104423046307</v>
      </c>
      <c r="AK42" s="299">
        <f t="shared" si="11"/>
        <v>3186.2156013834624</v>
      </c>
      <c r="AL42" s="299">
        <f t="shared" si="11"/>
        <v>3201.1908147099643</v>
      </c>
      <c r="AM42" s="299">
        <f t="shared" si="11"/>
        <v>3216.236411539101</v>
      </c>
      <c r="AN42" s="299">
        <f t="shared" si="11"/>
        <v>3231.3527226733345</v>
      </c>
      <c r="AO42" s="299">
        <f t="shared" si="11"/>
        <v>3246.5400804698988</v>
      </c>
      <c r="AP42" s="299">
        <f t="shared" si="11"/>
        <v>3261.7988188481072</v>
      </c>
      <c r="AQ42" s="299">
        <f t="shared" si="11"/>
        <v>3277.1292732966931</v>
      </c>
      <c r="AR42" s="299">
        <f t="shared" si="11"/>
        <v>3292.5317808811874</v>
      </c>
      <c r="AS42" s="299">
        <f t="shared" si="11"/>
        <v>3308.0066802513288</v>
      </c>
      <c r="AT42" s="299">
        <f t="shared" si="11"/>
        <v>3323.5543116485096</v>
      </c>
      <c r="AU42" s="299">
        <f t="shared" si="11"/>
        <v>3339.1750169132574</v>
      </c>
      <c r="AV42" s="299">
        <f t="shared" si="11"/>
        <v>3354.8691394927496</v>
      </c>
      <c r="AW42" s="299">
        <f t="shared" si="11"/>
        <v>3370.6370244483651</v>
      </c>
      <c r="AX42" s="299">
        <f t="shared" si="11"/>
        <v>3386.479018463272</v>
      </c>
      <c r="AY42" s="299">
        <f t="shared" si="11"/>
        <v>3402.3954698500493</v>
      </c>
      <c r="AZ42" s="299">
        <f t="shared" si="11"/>
        <v>3418.3867285583442</v>
      </c>
      <c r="BA42" s="299">
        <f t="shared" si="11"/>
        <v>3434.4531461825682</v>
      </c>
      <c r="BB42" s="299">
        <f t="shared" si="11"/>
        <v>3450.5950759696261</v>
      </c>
      <c r="BC42" s="299">
        <f t="shared" si="11"/>
        <v>3466.8128728266829</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Sim</v>
      </c>
      <c r="D55" s="291">
        <f>'R&amp;C-Painel de Controle'!H70</f>
        <v>22869.127856249997</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22976.612757174371</v>
      </c>
      <c r="G57" s="299">
        <f t="shared" si="25"/>
        <v>22976.612757174371</v>
      </c>
      <c r="H57" s="299">
        <f t="shared" si="25"/>
        <v>22976.612757174371</v>
      </c>
      <c r="I57" s="299">
        <f t="shared" si="25"/>
        <v>22976.612757174371</v>
      </c>
      <c r="J57" s="299">
        <f t="shared" si="25"/>
        <v>22976.612757174371</v>
      </c>
      <c r="K57" s="299">
        <f t="shared" si="25"/>
        <v>22976.612757174371</v>
      </c>
      <c r="L57" s="299">
        <f t="shared" si="25"/>
        <v>22976.612757174371</v>
      </c>
      <c r="M57" s="299">
        <f t="shared" si="25"/>
        <v>22976.612757174371</v>
      </c>
      <c r="N57" s="299">
        <f t="shared" si="25"/>
        <v>22976.612757174371</v>
      </c>
      <c r="O57" s="299">
        <f t="shared" si="25"/>
        <v>22976.612757174371</v>
      </c>
      <c r="P57" s="299">
        <f t="shared" si="25"/>
        <v>22976.612757174371</v>
      </c>
      <c r="Q57" s="299">
        <f t="shared" si="25"/>
        <v>22976.612757174371</v>
      </c>
      <c r="R57" s="299">
        <f t="shared" ref="R57:BC57" si="26">Q57*(1+$C$8)</f>
        <v>23084.60283713309</v>
      </c>
      <c r="S57" s="299">
        <f t="shared" si="26"/>
        <v>23193.100470467612</v>
      </c>
      <c r="T57" s="299">
        <f t="shared" si="26"/>
        <v>23302.10804267881</v>
      </c>
      <c r="U57" s="299">
        <f t="shared" si="26"/>
        <v>23411.6279504794</v>
      </c>
      <c r="V57" s="299">
        <f t="shared" si="26"/>
        <v>23521.662601846652</v>
      </c>
      <c r="W57" s="299">
        <f t="shared" si="26"/>
        <v>23632.214416075331</v>
      </c>
      <c r="X57" s="299">
        <f t="shared" si="26"/>
        <v>23743.285823830884</v>
      </c>
      <c r="Y57" s="299">
        <f t="shared" si="26"/>
        <v>23854.879267202887</v>
      </c>
      <c r="Z57" s="299">
        <f t="shared" si="26"/>
        <v>23966.997199758738</v>
      </c>
      <c r="AA57" s="299">
        <f t="shared" si="26"/>
        <v>24079.642086597603</v>
      </c>
      <c r="AB57" s="299">
        <f t="shared" si="26"/>
        <v>24192.81640440461</v>
      </c>
      <c r="AC57" s="299">
        <f t="shared" si="26"/>
        <v>24306.522641505311</v>
      </c>
      <c r="AD57" s="299">
        <f t="shared" si="26"/>
        <v>24420.763297920385</v>
      </c>
      <c r="AE57" s="299">
        <f t="shared" si="26"/>
        <v>24535.540885420607</v>
      </c>
      <c r="AF57" s="299">
        <f t="shared" si="26"/>
        <v>24650.857927582081</v>
      </c>
      <c r="AG57" s="299">
        <f t="shared" si="26"/>
        <v>24766.716959841717</v>
      </c>
      <c r="AH57" s="299">
        <f t="shared" si="26"/>
        <v>24883.120529552973</v>
      </c>
      <c r="AI57" s="299">
        <f t="shared" si="26"/>
        <v>25000.07119604187</v>
      </c>
      <c r="AJ57" s="299">
        <f t="shared" si="26"/>
        <v>25117.571530663266</v>
      </c>
      <c r="AK57" s="299">
        <f t="shared" si="26"/>
        <v>25235.624116857383</v>
      </c>
      <c r="AL57" s="299">
        <f t="shared" si="26"/>
        <v>25354.231550206612</v>
      </c>
      <c r="AM57" s="299">
        <f t="shared" si="26"/>
        <v>25473.396438492582</v>
      </c>
      <c r="AN57" s="299">
        <f t="shared" si="26"/>
        <v>25593.121401753495</v>
      </c>
      <c r="AO57" s="299">
        <f t="shared" si="26"/>
        <v>25713.409072341736</v>
      </c>
      <c r="AP57" s="299">
        <f t="shared" si="26"/>
        <v>25834.262094981739</v>
      </c>
      <c r="AQ57" s="299">
        <f t="shared" si="26"/>
        <v>25955.683126828153</v>
      </c>
      <c r="AR57" s="299">
        <f t="shared" si="26"/>
        <v>26077.674837524242</v>
      </c>
      <c r="AS57" s="299">
        <f t="shared" si="26"/>
        <v>26200.239909260603</v>
      </c>
      <c r="AT57" s="299">
        <f t="shared" si="26"/>
        <v>26323.381036834126</v>
      </c>
      <c r="AU57" s="299">
        <f t="shared" si="26"/>
        <v>26447.100927707244</v>
      </c>
      <c r="AV57" s="299">
        <f t="shared" si="26"/>
        <v>26571.402302067465</v>
      </c>
      <c r="AW57" s="299">
        <f t="shared" si="26"/>
        <v>26696.28789288718</v>
      </c>
      <c r="AX57" s="299">
        <f t="shared" si="26"/>
        <v>26821.760445983746</v>
      </c>
      <c r="AY57" s="299">
        <f t="shared" si="26"/>
        <v>26947.822720079868</v>
      </c>
      <c r="AZ57" s="299">
        <f t="shared" si="26"/>
        <v>27074.477486864242</v>
      </c>
      <c r="BA57" s="299">
        <f t="shared" si="26"/>
        <v>27201.7275310525</v>
      </c>
      <c r="BB57" s="299">
        <f t="shared" si="26"/>
        <v>27329.575650448445</v>
      </c>
      <c r="BC57" s="299">
        <f t="shared" si="26"/>
        <v>27458.024656005549</v>
      </c>
      <c r="BD57" s="280"/>
      <c r="BE57" s="280"/>
      <c r="BF57" s="280"/>
    </row>
    <row r="58" spans="1:58" s="192" customFormat="1" ht="18" hidden="1" customHeight="1" outlineLevel="1" x14ac:dyDescent="0.25">
      <c r="B58" s="732" t="str">
        <f>B86</f>
        <v>Aterro Sanitário</v>
      </c>
      <c r="C58" s="291" t="str">
        <f>C86</f>
        <v>Sim</v>
      </c>
      <c r="D58" s="291">
        <f>'R&amp;C-Painel de Controle'!H73</f>
        <v>23353.825571249999</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23463.588551434874</v>
      </c>
      <c r="G60" s="299">
        <f t="shared" si="28"/>
        <v>23463.588551434874</v>
      </c>
      <c r="H60" s="299">
        <f t="shared" si="28"/>
        <v>23463.588551434874</v>
      </c>
      <c r="I60" s="299">
        <f t="shared" si="28"/>
        <v>23463.588551434874</v>
      </c>
      <c r="J60" s="299">
        <f t="shared" si="28"/>
        <v>23463.588551434874</v>
      </c>
      <c r="K60" s="299">
        <f t="shared" si="28"/>
        <v>23463.588551434874</v>
      </c>
      <c r="L60" s="299">
        <f t="shared" si="28"/>
        <v>23463.588551434874</v>
      </c>
      <c r="M60" s="299">
        <f t="shared" si="28"/>
        <v>23463.588551434874</v>
      </c>
      <c r="N60" s="299">
        <f t="shared" si="28"/>
        <v>23463.588551434874</v>
      </c>
      <c r="O60" s="299">
        <f t="shared" si="28"/>
        <v>23463.588551434874</v>
      </c>
      <c r="P60" s="299">
        <f t="shared" si="28"/>
        <v>23463.588551434874</v>
      </c>
      <c r="Q60" s="299">
        <f t="shared" si="28"/>
        <v>23463.588551434874</v>
      </c>
      <c r="R60" s="299">
        <f t="shared" ref="R60:BC60" si="29">Q60*(1+$C$8)</f>
        <v>23573.867417626618</v>
      </c>
      <c r="S60" s="299">
        <f t="shared" si="29"/>
        <v>23684.664594489463</v>
      </c>
      <c r="T60" s="299">
        <f t="shared" si="29"/>
        <v>23795.982518083561</v>
      </c>
      <c r="U60" s="299">
        <f t="shared" si="29"/>
        <v>23907.823635918554</v>
      </c>
      <c r="V60" s="299">
        <f t="shared" si="29"/>
        <v>24020.190407007369</v>
      </c>
      <c r="W60" s="299">
        <f t="shared" si="29"/>
        <v>24133.085301920302</v>
      </c>
      <c r="X60" s="299">
        <f t="shared" si="29"/>
        <v>24246.510802839326</v>
      </c>
      <c r="Y60" s="299">
        <f t="shared" si="29"/>
        <v>24360.469403612668</v>
      </c>
      <c r="Z60" s="299">
        <f t="shared" si="29"/>
        <v>24474.963609809645</v>
      </c>
      <c r="AA60" s="299">
        <f t="shared" si="29"/>
        <v>24589.995938775748</v>
      </c>
      <c r="AB60" s="299">
        <f t="shared" si="29"/>
        <v>24705.568919687994</v>
      </c>
      <c r="AC60" s="299">
        <f t="shared" si="29"/>
        <v>24821.685093610526</v>
      </c>
      <c r="AD60" s="299">
        <f t="shared" si="29"/>
        <v>24938.347013550494</v>
      </c>
      <c r="AE60" s="299">
        <f t="shared" si="29"/>
        <v>25055.557244514181</v>
      </c>
      <c r="AF60" s="299">
        <f t="shared" si="29"/>
        <v>25173.318363563394</v>
      </c>
      <c r="AG60" s="299">
        <f t="shared" si="29"/>
        <v>25291.632959872139</v>
      </c>
      <c r="AH60" s="299">
        <f t="shared" si="29"/>
        <v>25410.503634783538</v>
      </c>
      <c r="AI60" s="299">
        <f t="shared" si="29"/>
        <v>25529.933001867019</v>
      </c>
      <c r="AJ60" s="299">
        <f t="shared" si="29"/>
        <v>25649.923686975791</v>
      </c>
      <c r="AK60" s="299">
        <f t="shared" si="29"/>
        <v>25770.478328304576</v>
      </c>
      <c r="AL60" s="299">
        <f t="shared" si="29"/>
        <v>25891.599576447607</v>
      </c>
      <c r="AM60" s="299">
        <f t="shared" si="29"/>
        <v>26013.290094456908</v>
      </c>
      <c r="AN60" s="299">
        <f t="shared" si="29"/>
        <v>26135.552557900854</v>
      </c>
      <c r="AO60" s="299">
        <f t="shared" si="29"/>
        <v>26258.389654922987</v>
      </c>
      <c r="AP60" s="299">
        <f t="shared" si="29"/>
        <v>26381.804086301123</v>
      </c>
      <c r="AQ60" s="299">
        <f t="shared" si="29"/>
        <v>26505.798565506735</v>
      </c>
      <c r="AR60" s="299">
        <f t="shared" si="29"/>
        <v>26630.375818764616</v>
      </c>
      <c r="AS60" s="299">
        <f t="shared" si="29"/>
        <v>26755.538585112809</v>
      </c>
      <c r="AT60" s="299">
        <f t="shared" si="29"/>
        <v>26881.289616462836</v>
      </c>
      <c r="AU60" s="299">
        <f t="shared" si="29"/>
        <v>27007.631677660211</v>
      </c>
      <c r="AV60" s="299">
        <f t="shared" si="29"/>
        <v>27134.567546545211</v>
      </c>
      <c r="AW60" s="299">
        <f t="shared" si="29"/>
        <v>27262.100014013973</v>
      </c>
      <c r="AX60" s="299">
        <f t="shared" si="29"/>
        <v>27390.231884079836</v>
      </c>
      <c r="AY60" s="299">
        <f t="shared" si="29"/>
        <v>27518.96597393501</v>
      </c>
      <c r="AZ60" s="299">
        <f t="shared" si="29"/>
        <v>27648.305114012503</v>
      </c>
      <c r="BA60" s="299">
        <f t="shared" si="29"/>
        <v>27778.252148048359</v>
      </c>
      <c r="BB60" s="299">
        <f t="shared" si="29"/>
        <v>27908.809933144184</v>
      </c>
      <c r="BC60" s="299">
        <f t="shared" si="29"/>
        <v>28039.981339829959</v>
      </c>
      <c r="BD60" s="280"/>
      <c r="BE60" s="280"/>
      <c r="BF60" s="280"/>
    </row>
    <row r="61" spans="1:58" s="192" customFormat="1" ht="18" hidden="1" customHeight="1" outlineLevel="1" x14ac:dyDescent="0.25">
      <c r="B61" s="732" t="s">
        <v>622</v>
      </c>
      <c r="C61" s="294">
        <f>C35</f>
        <v>23025.599999999999</v>
      </c>
      <c r="D61" s="296">
        <f>D35</f>
        <v>23133.820319999995</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46.822789687144734</v>
      </c>
      <c r="D63" s="281">
        <f>((D67+D70+D73+D76+D79+D82+D85+D88+'R&amp;C-Painel de Controle'!I21)+('R&amp;C-Painel de Controle'!$K$77*$H$27/5+'R&amp;C-Painel de Controle'!$K$75*$H$27/20+'R&amp;C-Painel de Controle'!$D$29+'R&amp;C-Painel de Controle'!$D$30)/3*(1+$C$62))</f>
        <v>73.042228218313511</v>
      </c>
      <c r="E63" s="281">
        <f>((E67+E70+E73+E76+E79+E82+E85+E88+'R&amp;C-Painel de Controle'!J21)+('R&amp;C-Painel de Controle'!$K$77*$H$27/5+'R&amp;C-Painel de Controle'!$K$75*$H$27/20+'R&amp;C-Painel de Controle'!$D$29+'R&amp;C-Painel de Controle'!$D$30)/3*(1+$C$62))</f>
        <v>63.817446338375426</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35.377902032176173</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10.613370609652852</v>
      </c>
      <c r="D70" s="299">
        <f>D69*$D$68</f>
        <v>7.0755804064352352</v>
      </c>
      <c r="E70" s="299">
        <f>E69*$D$68</f>
        <v>17.688951016088087</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Sim</v>
      </c>
      <c r="D83" s="302">
        <f>'R&amp;C-Painel de Controle'!K70</f>
        <v>89.081354699844127</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17.816270939968827</v>
      </c>
      <c r="D85" s="300">
        <f t="shared" si="39"/>
        <v>44.540677349922063</v>
      </c>
      <c r="E85" s="298">
        <f t="shared" si="39"/>
        <v>26.724406409953236</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10.109407748110504</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2.0218815496221008</v>
      </c>
      <c r="D88" s="300">
        <f t="shared" si="40"/>
        <v>5.0547038740552521</v>
      </c>
      <c r="E88" s="298">
        <f t="shared" si="40"/>
        <v>3.0328223244331514</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27.546336782186671</v>
      </c>
      <c r="G90" s="281">
        <f>IF('R&amp;C-Painel de Controle'!$D$24="Não",G94+G97+G100+G103+G106+G109+G112+G115,G94+G97+G100+G103+G106+G109+G112+G115+'R&amp;C-Painel de Controle'!$L$91)</f>
        <v>27.546336782186671</v>
      </c>
      <c r="H90" s="281">
        <f>IF('R&amp;C-Painel de Controle'!$D$24="Não",H94+H97+H100+H103+H106+H109+H112+H115,H94+H97+H100+H103+H106+H109+H112+H115+'R&amp;C-Painel de Controle'!$L$91)</f>
        <v>27.546336782186671</v>
      </c>
      <c r="I90" s="281">
        <f>IF('R&amp;C-Painel de Controle'!$D$24="Não",I94+I97+I100+I103+I106+I109+I112+I115,I94+I97+I100+I103+I106+I109+I112+I115+'R&amp;C-Painel de Controle'!$L$91)</f>
        <v>27.546336782186671</v>
      </c>
      <c r="J90" s="281">
        <f>IF('R&amp;C-Painel de Controle'!$D$24="Não",J94+J97+J100+J103+J106+J109+J112+J115,J94+J97+J100+J103+J106+J109+J112+J115+'R&amp;C-Painel de Controle'!$L$91)</f>
        <v>27.546336782186671</v>
      </c>
      <c r="K90" s="281">
        <f>IF('R&amp;C-Painel de Controle'!$D$24="Não",K94+K97+K100+K103+K106+K109+K112+K115,K94+K97+K100+K103+K106+K109+K112+K115+'R&amp;C-Painel de Controle'!$L$91)</f>
        <v>27.546336782186671</v>
      </c>
      <c r="L90" s="281">
        <f>IF('R&amp;C-Painel de Controle'!$D$24="Não",L94+L97+L100+L103+L106+L109+L112+L115,L94+L97+L100+L103+L106+L109+L112+L115+'R&amp;C-Painel de Controle'!$L$91)</f>
        <v>27.546336782186671</v>
      </c>
      <c r="M90" s="281">
        <f>IF('R&amp;C-Painel de Controle'!$D$24="Não",M94+M97+M100+M103+M106+M109+M112+M115,M94+M97+M100+M103+M106+M109+M112+M115+'R&amp;C-Painel de Controle'!$L$91)</f>
        <v>27.546336782186671</v>
      </c>
      <c r="N90" s="281">
        <f>IF('R&amp;C-Painel de Controle'!$D$24="Não",N94+N97+N100+N103+N106+N109+N112+N115,N94+N97+N100+N103+N106+N109+N112+N115+'R&amp;C-Painel de Controle'!$L$91)</f>
        <v>27.546336782186671</v>
      </c>
      <c r="O90" s="281">
        <f>IF('R&amp;C-Painel de Controle'!$D$24="Não",O94+O97+O100+O103+O106+O109+O112+O115,O94+O97+O100+O103+O106+O109+O112+O115+'R&amp;C-Painel de Controle'!$L$91)</f>
        <v>27.546336782186671</v>
      </c>
      <c r="P90" s="281">
        <f>IF('R&amp;C-Painel de Controle'!$D$24="Não",P94+P97+P100+P103+P106+P109+P112+P115,P94+P97+P100+P103+P106+P109+P112+P115+'R&amp;C-Painel de Controle'!$L$91)</f>
        <v>27.546336782186671</v>
      </c>
      <c r="Q90" s="281">
        <f>IF('R&amp;C-Painel de Controle'!$D$24="Não",Q94+Q97+Q100+Q103+Q106+Q109+Q112+Q115,Q94+Q97+Q100+Q103+Q106+Q109+Q112+Q115+'R&amp;C-Painel de Controle'!$L$91)</f>
        <v>27.546336782186671</v>
      </c>
      <c r="R90" s="281">
        <f>IF('R&amp;C-Painel de Controle'!$D$24="Não",R94+R97+R100+R103+R106+R109+R112+R115,R94+R97+R100+R103+R106+R109+R112+R115+'R&amp;C-Painel de Controle'!$L$91)</f>
        <v>27.546336782186671</v>
      </c>
      <c r="S90" s="281">
        <f>IF('R&amp;C-Painel de Controle'!$D$24="Não",S94+S97+S100+S103+S106+S109+S112+S115,S94+S97+S100+S103+S106+S109+S112+S115+'R&amp;C-Painel de Controle'!$L$91)</f>
        <v>27.546336782186671</v>
      </c>
      <c r="T90" s="281">
        <f>IF('R&amp;C-Painel de Controle'!$D$24="Não",T94+T97+T100+T103+T106+T109+T112+T115,T94+T97+T100+T103+T106+T109+T112+T115+'R&amp;C-Painel de Controle'!$L$91)</f>
        <v>27.546336782186671</v>
      </c>
      <c r="U90" s="281">
        <f>IF('R&amp;C-Painel de Controle'!$D$24="Não",U94+U97+U100+U103+U106+U109+U112+U115,U94+U97+U100+U103+U106+U109+U112+U115+'R&amp;C-Painel de Controle'!$L$91)</f>
        <v>27.546336782186671</v>
      </c>
      <c r="V90" s="281">
        <f>IF('R&amp;C-Painel de Controle'!$D$24="Não",V94+V97+V100+V103+V106+V109+V112+V115,V94+V97+V100+V103+V106+V109+V112+V115+'R&amp;C-Painel de Controle'!$L$91)</f>
        <v>27.546336782186671</v>
      </c>
      <c r="W90" s="281">
        <f>IF('R&amp;C-Painel de Controle'!$D$24="Não",W94+W97+W100+W103+W106+W109+W112+W115,W94+W97+W100+W103+W106+W109+W112+W115+'R&amp;C-Painel de Controle'!$L$91)</f>
        <v>27.546336782186671</v>
      </c>
      <c r="X90" s="281">
        <f>IF('R&amp;C-Painel de Controle'!$D$24="Não",X94+X97+X100+X103+X106+X109+X112+X115,X94+X97+X100+X103+X106+X109+X112+X115+'R&amp;C-Painel de Controle'!$L$91)</f>
        <v>27.546336782186671</v>
      </c>
      <c r="Y90" s="281">
        <f>IF('R&amp;C-Painel de Controle'!$D$24="Não",Y94+Y97+Y100+Y103+Y106+Y109+Y112+Y115,Y94+Y97+Y100+Y103+Y106+Y109+Y112+Y115+'R&amp;C-Painel de Controle'!$L$91)</f>
        <v>27.546336782186671</v>
      </c>
      <c r="Z90" s="281">
        <f>IF('R&amp;C-Painel de Controle'!$D$24="Não",Z94+Z97+Z100+Z103+Z106+Z109+Z112+Z115,Z94+Z97+Z100+Z103+Z106+Z109+Z112+Z115+'R&amp;C-Painel de Controle'!$L$91)</f>
        <v>27.546336782186671</v>
      </c>
      <c r="AA90" s="281">
        <f>IF('R&amp;C-Painel de Controle'!$D$24="Não",AA94+AA97+AA100+AA103+AA106+AA109+AA112+AA115,AA94+AA97+AA100+AA103+AA106+AA109+AA112+AA115+'R&amp;C-Painel de Controle'!$L$91)</f>
        <v>27.546336782186671</v>
      </c>
      <c r="AB90" s="281">
        <f>IF('R&amp;C-Painel de Controle'!$D$24="Não",AB94+AB97+AB100+AB103+AB106+AB109+AB112+AB115,AB94+AB97+AB100+AB103+AB106+AB109+AB112+AB115+'R&amp;C-Painel de Controle'!$L$91)</f>
        <v>27.546336782186671</v>
      </c>
      <c r="AC90" s="281">
        <f>IF('R&amp;C-Painel de Controle'!$D$24="Não",AC94+AC97+AC100+AC103+AC106+AC109+AC112+AC115,AC94+AC97+AC100+AC103+AC106+AC109+AC112+AC115+'R&amp;C-Painel de Controle'!$L$91)</f>
        <v>27.546336782186671</v>
      </c>
      <c r="AD90" s="281">
        <f>IF('R&amp;C-Painel de Controle'!$D$24="Não",AD94+AD97+AD100+AD103+AD106+AD109+AD112+AD115,AD94+AD97+AD100+AD103+AD106+AD109+AD112+AD115+'R&amp;C-Painel de Controle'!$L$91)</f>
        <v>27.546336782186671</v>
      </c>
      <c r="AE90" s="281">
        <f>IF('R&amp;C-Painel de Controle'!$D$24="Não",AE94+AE97+AE100+AE103+AE106+AE109+AE112+AE115,AE94+AE97+AE100+AE103+AE106+AE109+AE112+AE115+'R&amp;C-Painel de Controle'!$L$91)</f>
        <v>27.546336782186671</v>
      </c>
      <c r="AF90" s="281">
        <f>IF('R&amp;C-Painel de Controle'!$D$24="Não",AF94+AF97+AF100+AF103+AF106+AF109+AF112+AF115,AF94+AF97+AF100+AF103+AF106+AF109+AF112+AF115+'R&amp;C-Painel de Controle'!$L$91)</f>
        <v>27.546336782186671</v>
      </c>
      <c r="AG90" s="281">
        <f>IF('R&amp;C-Painel de Controle'!$D$24="Não",AG94+AG97+AG100+AG103+AG106+AG109+AG112+AG115,AG94+AG97+AG100+AG103+AG106+AG109+AG112+AG115+'R&amp;C-Painel de Controle'!$L$91)</f>
        <v>27.546336782186671</v>
      </c>
      <c r="AH90" s="281">
        <f>IF('R&amp;C-Painel de Controle'!$D$24="Não",AH94+AH97+AH100+AH103+AH106+AH109+AH112+AH115,AH94+AH97+AH100+AH103+AH106+AH109+AH112+AH115+'R&amp;C-Painel de Controle'!$L$91)</f>
        <v>27.546336782186671</v>
      </c>
      <c r="AI90" s="281">
        <f>IF('R&amp;C-Painel de Controle'!$D$24="Não",AI94+AI97+AI100+AI103+AI106+AI109+AI112+AI115,AI94+AI97+AI100+AI103+AI106+AI109+AI112+AI115+'R&amp;C-Painel de Controle'!$L$91)</f>
        <v>27.546336782186671</v>
      </c>
      <c r="AJ90" s="281">
        <f>IF('R&amp;C-Painel de Controle'!$D$24="Não",AJ94+AJ97+AJ100+AJ103+AJ106+AJ109+AJ112+AJ115,AJ94+AJ97+AJ100+AJ103+AJ106+AJ109+AJ112+AJ115+'R&amp;C-Painel de Controle'!$L$91)</f>
        <v>27.546336782186671</v>
      </c>
      <c r="AK90" s="281">
        <f>IF('R&amp;C-Painel de Controle'!$D$24="Não",AK94+AK97+AK100+AK103+AK106+AK109+AK112+AK115,AK94+AK97+AK100+AK103+AK106+AK109+AK112+AK115+'R&amp;C-Painel de Controle'!$L$91)</f>
        <v>27.546336782186671</v>
      </c>
      <c r="AL90" s="281">
        <f>IF('R&amp;C-Painel de Controle'!$D$24="Não",AL94+AL97+AL100+AL103+AL106+AL109+AL112+AL115,AL94+AL97+AL100+AL103+AL106+AL109+AL112+AL115+'R&amp;C-Painel de Controle'!$L$91)</f>
        <v>27.546336782186671</v>
      </c>
      <c r="AM90" s="281">
        <f>IF('R&amp;C-Painel de Controle'!$D$24="Não",AM94+AM97+AM100+AM103+AM106+AM109+AM112+AM115,AM94+AM97+AM100+AM103+AM106+AM109+AM112+AM115+'R&amp;C-Painel de Controle'!$L$91)</f>
        <v>27.546336782186671</v>
      </c>
      <c r="AN90" s="281">
        <f>IF('R&amp;C-Painel de Controle'!$D$24="Não",AN94+AN97+AN100+AN103+AN106+AN109+AN112+AN115,AN94+AN97+AN100+AN103+AN106+AN109+AN112+AN115+'R&amp;C-Painel de Controle'!$L$91)</f>
        <v>27.546336782186671</v>
      </c>
      <c r="AO90" s="281">
        <f>IF('R&amp;C-Painel de Controle'!$D$24="Não",AO94+AO97+AO100+AO103+AO106+AO109+AO112+AO115,AO94+AO97+AO100+AO103+AO106+AO109+AO112+AO115+'R&amp;C-Painel de Controle'!$L$91)</f>
        <v>27.546336782186671</v>
      </c>
      <c r="AP90" s="281">
        <f>IF('R&amp;C-Painel de Controle'!$D$24="Não",AP94+AP97+AP100+AP103+AP106+AP109+AP112+AP115,AP94+AP97+AP100+AP103+AP106+AP109+AP112+AP115+'R&amp;C-Painel de Controle'!$L$91)</f>
        <v>27.546336782186671</v>
      </c>
      <c r="AQ90" s="281">
        <f>IF('R&amp;C-Painel de Controle'!$D$24="Não",AQ94+AQ97+AQ100+AQ103+AQ106+AQ109+AQ112+AQ115,AQ94+AQ97+AQ100+AQ103+AQ106+AQ109+AQ112+AQ115+'R&amp;C-Painel de Controle'!$L$91)</f>
        <v>27.546336782186671</v>
      </c>
      <c r="AR90" s="281">
        <f>IF('R&amp;C-Painel de Controle'!$D$24="Não",AR94+AR97+AR100+AR103+AR106+AR109+AR112+AR115,AR94+AR97+AR100+AR103+AR106+AR109+AR112+AR115+'R&amp;C-Painel de Controle'!$L$91)</f>
        <v>27.546336782186671</v>
      </c>
      <c r="AS90" s="281">
        <f>IF('R&amp;C-Painel de Controle'!$D$24="Não",AS94+AS97+AS100+AS103+AS106+AS109+AS112+AS115,AS94+AS97+AS100+AS103+AS106+AS109+AS112+AS115+'R&amp;C-Painel de Controle'!$L$91)</f>
        <v>27.546336782186671</v>
      </c>
      <c r="AT90" s="281">
        <f>IF('R&amp;C-Painel de Controle'!$D$24="Não",AT94+AT97+AT100+AT103+AT106+AT109+AT112+AT115,AT94+AT97+AT100+AT103+AT106+AT109+AT112+AT115+'R&amp;C-Painel de Controle'!$L$91)</f>
        <v>27.546336782186671</v>
      </c>
      <c r="AU90" s="281">
        <f>IF('R&amp;C-Painel de Controle'!$D$24="Não",AU94+AU97+AU100+AU103+AU106+AU109+AU112+AU115,AU94+AU97+AU100+AU103+AU106+AU109+AU112+AU115+'R&amp;C-Painel de Controle'!$L$91)</f>
        <v>27.546336782186671</v>
      </c>
      <c r="AV90" s="281">
        <f>IF('R&amp;C-Painel de Controle'!$D$24="Não",AV94+AV97+AV100+AV103+AV106+AV109+AV112+AV115,AV94+AV97+AV100+AV103+AV106+AV109+AV112+AV115+'R&amp;C-Painel de Controle'!$L$91)</f>
        <v>27.546336782186671</v>
      </c>
      <c r="AW90" s="281">
        <f>IF('R&amp;C-Painel de Controle'!$D$24="Não",AW94+AW97+AW100+AW103+AW106+AW109+AW112+AW115,AW94+AW97+AW100+AW103+AW106+AW109+AW112+AW115+'R&amp;C-Painel de Controle'!$L$91)</f>
        <v>27.546336782186671</v>
      </c>
      <c r="AX90" s="281">
        <f>IF('R&amp;C-Painel de Controle'!$D$24="Não",AX94+AX97+AX100+AX103+AX106+AX109+AX112+AX115,AX94+AX97+AX100+AX103+AX106+AX109+AX112+AX115+'R&amp;C-Painel de Controle'!$L$91)</f>
        <v>27.546336782186671</v>
      </c>
      <c r="AY90" s="281">
        <f>IF('R&amp;C-Painel de Controle'!$D$24="Não",AY94+AY97+AY100+AY103+AY106+AY109+AY112+AY115,AY94+AY97+AY100+AY103+AY106+AY109+AY112+AY115+'R&amp;C-Painel de Controle'!$L$91)</f>
        <v>27.546336782186671</v>
      </c>
      <c r="AZ90" s="281">
        <f>IF('R&amp;C-Painel de Controle'!$D$24="Não",AZ94+AZ97+AZ100+AZ103+AZ106+AZ109+AZ112+AZ115,AZ94+AZ97+AZ100+AZ103+AZ106+AZ109+AZ112+AZ115+'R&amp;C-Painel de Controle'!$L$91)</f>
        <v>27.546336782186671</v>
      </c>
      <c r="BA90" s="281">
        <f>IF('R&amp;C-Painel de Controle'!$D$24="Não",BA94+BA97+BA100+BA103+BA106+BA109+BA112+BA115,BA94+BA97+BA100+BA103+BA106+BA109+BA112+BA115+'R&amp;C-Painel de Controle'!$L$91)</f>
        <v>27.546336782186671</v>
      </c>
      <c r="BB90" s="281">
        <f>IF('R&amp;C-Painel de Controle'!$D$24="Não",BB94+BB97+BB100+BB103+BB106+BB109+BB112+BB115,BB94+BB97+BB100+BB103+BB106+BB109+BB112+BB115+'R&amp;C-Painel de Controle'!$L$91)</f>
        <v>27.546336782186671</v>
      </c>
      <c r="BC90" s="281">
        <f>IF('R&amp;C-Painel de Controle'!$D$24="Não",BC94+BC97+BC100+BC103+BC106+BC109+BC112+BC115,BC94+BC97+BC100+BC103+BC106+BC109+BC112+BC115+'R&amp;C-Painel de Controle'!$L$91)</f>
        <v>27.546336782186671</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2887.4249999999993</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7.3940878318928025</v>
      </c>
      <c r="G97" s="293">
        <f>IF(G42&gt;0,'R&amp;C-Painel de Controle'!$O57+'R&amp;C-Painel de Controle'!$P57*G42/1000000,0)</f>
        <v>7.3940878318928025</v>
      </c>
      <c r="H97" s="293">
        <f>IF(H42&gt;0,'R&amp;C-Painel de Controle'!$O57+'R&amp;C-Painel de Controle'!$P57*H42/1000000,0)</f>
        <v>7.3940878318928025</v>
      </c>
      <c r="I97" s="293">
        <f>IF(I42&gt;0,'R&amp;C-Painel de Controle'!$O57+'R&amp;C-Painel de Controle'!$P57*I42/1000000,0)</f>
        <v>7.3940878318928025</v>
      </c>
      <c r="J97" s="293">
        <f>IF(J42&gt;0,'R&amp;C-Painel de Controle'!$O57+'R&amp;C-Painel de Controle'!$P57*J42/1000000,0)</f>
        <v>7.3940878318928025</v>
      </c>
      <c r="K97" s="293">
        <f>IF(K42&gt;0,'R&amp;C-Painel de Controle'!$O57+'R&amp;C-Painel de Controle'!$P57*K42/1000000,0)</f>
        <v>7.3940878318928025</v>
      </c>
      <c r="L97" s="293">
        <f>IF(L42&gt;0,'R&amp;C-Painel de Controle'!$O57+'R&amp;C-Painel de Controle'!$P57*L42/1000000,0)</f>
        <v>7.3940878318928025</v>
      </c>
      <c r="M97" s="293">
        <f>IF(M42&gt;0,'R&amp;C-Painel de Controle'!$O57+'R&amp;C-Painel de Controle'!$P57*M42/1000000,0)</f>
        <v>7.3940878318928025</v>
      </c>
      <c r="N97" s="293">
        <f>IF(N42&gt;0,'R&amp;C-Painel de Controle'!$O57+'R&amp;C-Painel de Controle'!$P57*N42/1000000,0)</f>
        <v>7.3940878318928025</v>
      </c>
      <c r="O97" s="293">
        <f>IF(O42&gt;0,'R&amp;C-Painel de Controle'!$O57+'R&amp;C-Painel de Controle'!$P57*O42/1000000,0)</f>
        <v>7.3940878318928025</v>
      </c>
      <c r="P97" s="293">
        <f>IF(P42&gt;0,'R&amp;C-Painel de Controle'!$O57+'R&amp;C-Painel de Controle'!$P57*P42/1000000,0)</f>
        <v>7.3940878318928025</v>
      </c>
      <c r="Q97" s="293">
        <f>IF(Q42&gt;0,'R&amp;C-Painel de Controle'!$O57+'R&amp;C-Painel de Controle'!$P57*Q42/1000000,0)</f>
        <v>7.3940878318928025</v>
      </c>
      <c r="R97" s="280">
        <f t="shared" ref="R97:BC97" si="42">Q97</f>
        <v>7.3940878318928025</v>
      </c>
      <c r="S97" s="280">
        <f t="shared" si="42"/>
        <v>7.3940878318928025</v>
      </c>
      <c r="T97" s="280">
        <f t="shared" si="42"/>
        <v>7.3940878318928025</v>
      </c>
      <c r="U97" s="280">
        <f t="shared" si="42"/>
        <v>7.3940878318928025</v>
      </c>
      <c r="V97" s="280">
        <f t="shared" si="42"/>
        <v>7.3940878318928025</v>
      </c>
      <c r="W97" s="280">
        <f t="shared" si="42"/>
        <v>7.3940878318928025</v>
      </c>
      <c r="X97" s="280">
        <f t="shared" si="42"/>
        <v>7.3940878318928025</v>
      </c>
      <c r="Y97" s="280">
        <f t="shared" si="42"/>
        <v>7.3940878318928025</v>
      </c>
      <c r="Z97" s="280">
        <f t="shared" si="42"/>
        <v>7.3940878318928025</v>
      </c>
      <c r="AA97" s="280">
        <f t="shared" si="42"/>
        <v>7.3940878318928025</v>
      </c>
      <c r="AB97" s="280">
        <f t="shared" si="42"/>
        <v>7.3940878318928025</v>
      </c>
      <c r="AC97" s="280">
        <f t="shared" si="42"/>
        <v>7.3940878318928025</v>
      </c>
      <c r="AD97" s="280">
        <f t="shared" si="42"/>
        <v>7.3940878318928025</v>
      </c>
      <c r="AE97" s="280">
        <f t="shared" si="42"/>
        <v>7.3940878318928025</v>
      </c>
      <c r="AF97" s="280">
        <f t="shared" si="42"/>
        <v>7.3940878318928025</v>
      </c>
      <c r="AG97" s="280">
        <f t="shared" si="42"/>
        <v>7.3940878318928025</v>
      </c>
      <c r="AH97" s="280">
        <f t="shared" si="42"/>
        <v>7.3940878318928025</v>
      </c>
      <c r="AI97" s="280">
        <f t="shared" si="42"/>
        <v>7.3940878318928025</v>
      </c>
      <c r="AJ97" s="280">
        <f t="shared" si="42"/>
        <v>7.3940878318928025</v>
      </c>
      <c r="AK97" s="280">
        <f t="shared" si="42"/>
        <v>7.3940878318928025</v>
      </c>
      <c r="AL97" s="280">
        <f t="shared" si="42"/>
        <v>7.3940878318928025</v>
      </c>
      <c r="AM97" s="280">
        <f t="shared" si="42"/>
        <v>7.3940878318928025</v>
      </c>
      <c r="AN97" s="280">
        <f t="shared" si="42"/>
        <v>7.3940878318928025</v>
      </c>
      <c r="AO97" s="280">
        <f t="shared" si="42"/>
        <v>7.3940878318928025</v>
      </c>
      <c r="AP97" s="280">
        <f t="shared" si="42"/>
        <v>7.3940878318928025</v>
      </c>
      <c r="AQ97" s="280">
        <f t="shared" si="42"/>
        <v>7.3940878318928025</v>
      </c>
      <c r="AR97" s="280">
        <f t="shared" si="42"/>
        <v>7.3940878318928025</v>
      </c>
      <c r="AS97" s="280">
        <f t="shared" si="42"/>
        <v>7.3940878318928025</v>
      </c>
      <c r="AT97" s="280">
        <f t="shared" si="42"/>
        <v>7.3940878318928025</v>
      </c>
      <c r="AU97" s="280">
        <f t="shared" si="42"/>
        <v>7.3940878318928025</v>
      </c>
      <c r="AV97" s="280">
        <f t="shared" si="42"/>
        <v>7.3940878318928025</v>
      </c>
      <c r="AW97" s="280">
        <f t="shared" si="42"/>
        <v>7.3940878318928025</v>
      </c>
      <c r="AX97" s="280">
        <f t="shared" si="42"/>
        <v>7.3940878318928025</v>
      </c>
      <c r="AY97" s="280">
        <f t="shared" si="42"/>
        <v>7.3940878318928025</v>
      </c>
      <c r="AZ97" s="280">
        <f t="shared" si="42"/>
        <v>7.3940878318928025</v>
      </c>
      <c r="BA97" s="280">
        <f t="shared" si="42"/>
        <v>7.3940878318928025</v>
      </c>
      <c r="BB97" s="280">
        <f t="shared" si="42"/>
        <v>7.3940878318928025</v>
      </c>
      <c r="BC97" s="280">
        <f t="shared" si="42"/>
        <v>7.3940878318928025</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Sim</v>
      </c>
      <c r="D110" s="291">
        <f>D55</f>
        <v>22869.127856249997</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16.264738348708736</v>
      </c>
      <c r="G112" s="293">
        <f>IF(G57&gt;0,'R&amp;C-Painel de Controle'!$O72+'R&amp;C-Painel de Controle'!$P72*G57/1000000,0)</f>
        <v>16.264738348708736</v>
      </c>
      <c r="H112" s="293">
        <f>IF(H57&gt;0,'R&amp;C-Painel de Controle'!$O72+'R&amp;C-Painel de Controle'!$P72*H57/1000000,0)</f>
        <v>16.264738348708736</v>
      </c>
      <c r="I112" s="293">
        <f>IF(I57&gt;0,'R&amp;C-Painel de Controle'!$O72+'R&amp;C-Painel de Controle'!$P72*I57/1000000,0)</f>
        <v>16.264738348708736</v>
      </c>
      <c r="J112" s="293">
        <f>IF(J57&gt;0,'R&amp;C-Painel de Controle'!$O72+'R&amp;C-Painel de Controle'!$P72*J57/1000000,0)</f>
        <v>16.264738348708736</v>
      </c>
      <c r="K112" s="293">
        <f>IF(K57&gt;0,'R&amp;C-Painel de Controle'!$O72+'R&amp;C-Painel de Controle'!$P72*K57/1000000,0)</f>
        <v>16.264738348708736</v>
      </c>
      <c r="L112" s="293">
        <f>IF(L57&gt;0,'R&amp;C-Painel de Controle'!$O72+'R&amp;C-Painel de Controle'!$P72*L57/1000000,0)</f>
        <v>16.264738348708736</v>
      </c>
      <c r="M112" s="293">
        <f>IF(M57&gt;0,'R&amp;C-Painel de Controle'!$O72+'R&amp;C-Painel de Controle'!$P72*M57/1000000,0)</f>
        <v>16.264738348708736</v>
      </c>
      <c r="N112" s="293">
        <f>IF(N57&gt;0,'R&amp;C-Painel de Controle'!$O72+'R&amp;C-Painel de Controle'!$P72*N57/1000000,0)</f>
        <v>16.264738348708736</v>
      </c>
      <c r="O112" s="293">
        <f>IF(O57&gt;0,'R&amp;C-Painel de Controle'!$O72+'R&amp;C-Painel de Controle'!$P72*O57/1000000,0)</f>
        <v>16.264738348708736</v>
      </c>
      <c r="P112" s="293">
        <f>IF(P57&gt;0,'R&amp;C-Painel de Controle'!$O72+'R&amp;C-Painel de Controle'!$P72*P57/1000000,0)</f>
        <v>16.264738348708736</v>
      </c>
      <c r="Q112" s="293">
        <f>IF(Q57&gt;0,'R&amp;C-Painel de Controle'!$O72+'R&amp;C-Painel de Controle'!$P72*Q57/1000000,0)</f>
        <v>16.264738348708736</v>
      </c>
      <c r="R112" s="280">
        <f t="shared" ref="R112:BC112" si="47">Q112</f>
        <v>16.264738348708736</v>
      </c>
      <c r="S112" s="280">
        <f t="shared" si="47"/>
        <v>16.264738348708736</v>
      </c>
      <c r="T112" s="280">
        <f t="shared" si="47"/>
        <v>16.264738348708736</v>
      </c>
      <c r="U112" s="280">
        <f t="shared" si="47"/>
        <v>16.264738348708736</v>
      </c>
      <c r="V112" s="280">
        <f t="shared" si="47"/>
        <v>16.264738348708736</v>
      </c>
      <c r="W112" s="280">
        <f t="shared" si="47"/>
        <v>16.264738348708736</v>
      </c>
      <c r="X112" s="280">
        <f t="shared" si="47"/>
        <v>16.264738348708736</v>
      </c>
      <c r="Y112" s="280">
        <f t="shared" si="47"/>
        <v>16.264738348708736</v>
      </c>
      <c r="Z112" s="280">
        <f t="shared" si="47"/>
        <v>16.264738348708736</v>
      </c>
      <c r="AA112" s="280">
        <f t="shared" si="47"/>
        <v>16.264738348708736</v>
      </c>
      <c r="AB112" s="280">
        <f t="shared" si="47"/>
        <v>16.264738348708736</v>
      </c>
      <c r="AC112" s="280">
        <f t="shared" si="47"/>
        <v>16.264738348708736</v>
      </c>
      <c r="AD112" s="280">
        <f t="shared" si="47"/>
        <v>16.264738348708736</v>
      </c>
      <c r="AE112" s="280">
        <f t="shared" si="47"/>
        <v>16.264738348708736</v>
      </c>
      <c r="AF112" s="280">
        <f t="shared" si="47"/>
        <v>16.264738348708736</v>
      </c>
      <c r="AG112" s="280">
        <f t="shared" si="47"/>
        <v>16.264738348708736</v>
      </c>
      <c r="AH112" s="280">
        <f t="shared" si="47"/>
        <v>16.264738348708736</v>
      </c>
      <c r="AI112" s="280">
        <f t="shared" si="47"/>
        <v>16.264738348708736</v>
      </c>
      <c r="AJ112" s="280">
        <f t="shared" si="47"/>
        <v>16.264738348708736</v>
      </c>
      <c r="AK112" s="280">
        <f t="shared" si="47"/>
        <v>16.264738348708736</v>
      </c>
      <c r="AL112" s="280">
        <f t="shared" si="47"/>
        <v>16.264738348708736</v>
      </c>
      <c r="AM112" s="280">
        <f t="shared" si="47"/>
        <v>16.264738348708736</v>
      </c>
      <c r="AN112" s="280">
        <f t="shared" si="47"/>
        <v>16.264738348708736</v>
      </c>
      <c r="AO112" s="280">
        <f t="shared" si="47"/>
        <v>16.264738348708736</v>
      </c>
      <c r="AP112" s="280">
        <f t="shared" si="47"/>
        <v>16.264738348708736</v>
      </c>
      <c r="AQ112" s="280">
        <f t="shared" si="47"/>
        <v>16.264738348708736</v>
      </c>
      <c r="AR112" s="280">
        <f t="shared" si="47"/>
        <v>16.264738348708736</v>
      </c>
      <c r="AS112" s="280">
        <f t="shared" si="47"/>
        <v>16.264738348708736</v>
      </c>
      <c r="AT112" s="280">
        <f t="shared" si="47"/>
        <v>16.264738348708736</v>
      </c>
      <c r="AU112" s="280">
        <f t="shared" si="47"/>
        <v>16.264738348708736</v>
      </c>
      <c r="AV112" s="280">
        <f t="shared" si="47"/>
        <v>16.264738348708736</v>
      </c>
      <c r="AW112" s="280">
        <f t="shared" si="47"/>
        <v>16.264738348708736</v>
      </c>
      <c r="AX112" s="280">
        <f t="shared" si="47"/>
        <v>16.264738348708736</v>
      </c>
      <c r="AY112" s="280">
        <f t="shared" si="47"/>
        <v>16.264738348708736</v>
      </c>
      <c r="AZ112" s="280">
        <f t="shared" si="47"/>
        <v>16.264738348708736</v>
      </c>
      <c r="BA112" s="280">
        <f t="shared" si="47"/>
        <v>16.264738348708736</v>
      </c>
      <c r="BB112" s="280">
        <f t="shared" si="47"/>
        <v>16.264738348708736</v>
      </c>
      <c r="BC112" s="280">
        <f t="shared" si="47"/>
        <v>16.264738348708736</v>
      </c>
      <c r="BD112" s="280"/>
      <c r="BE112" s="280"/>
      <c r="BF112" s="280"/>
    </row>
    <row r="113" spans="1:58" s="192" customFormat="1" ht="18" hidden="1" customHeight="1" outlineLevel="1" x14ac:dyDescent="0.25">
      <c r="B113" s="732" t="str">
        <f>B86</f>
        <v>Aterro Sanitário</v>
      </c>
      <c r="C113" s="291" t="str">
        <f>C58</f>
        <v>Sim</v>
      </c>
      <c r="D113" s="291">
        <f>D58</f>
        <v>23353.825571249999</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3.8875106015851362</v>
      </c>
      <c r="G115" s="293">
        <f>IF(G60&gt;0,'R&amp;C-Painel de Controle'!$O75+'R&amp;C-Painel de Controle'!$P75*G60/1000000,0)</f>
        <v>3.8875106015851362</v>
      </c>
      <c r="H115" s="293">
        <f>IF(H60&gt;0,'R&amp;C-Painel de Controle'!$O75+'R&amp;C-Painel de Controle'!$P75*H60/1000000,0)</f>
        <v>3.8875106015851362</v>
      </c>
      <c r="I115" s="293">
        <f>IF(I60&gt;0,'R&amp;C-Painel de Controle'!$O75+'R&amp;C-Painel de Controle'!$P75*I60/1000000,0)</f>
        <v>3.8875106015851362</v>
      </c>
      <c r="J115" s="293">
        <f>IF(J60&gt;0,'R&amp;C-Painel de Controle'!$O75+'R&amp;C-Painel de Controle'!$P75*J60/1000000,0)</f>
        <v>3.8875106015851362</v>
      </c>
      <c r="K115" s="293">
        <f>IF(K60&gt;0,'R&amp;C-Painel de Controle'!$O75+'R&amp;C-Painel de Controle'!$P75*K60/1000000,0)</f>
        <v>3.8875106015851362</v>
      </c>
      <c r="L115" s="293">
        <f>IF(L60&gt;0,'R&amp;C-Painel de Controle'!$O75+'R&amp;C-Painel de Controle'!$P75*L60/1000000,0)</f>
        <v>3.8875106015851362</v>
      </c>
      <c r="M115" s="293">
        <f>IF(M60&gt;0,'R&amp;C-Painel de Controle'!$O75+'R&amp;C-Painel de Controle'!$P75*M60/1000000,0)</f>
        <v>3.8875106015851362</v>
      </c>
      <c r="N115" s="293">
        <f>IF(N60&gt;0,'R&amp;C-Painel de Controle'!$O75+'R&amp;C-Painel de Controle'!$P75*N60/1000000,0)</f>
        <v>3.8875106015851362</v>
      </c>
      <c r="O115" s="293">
        <f>IF(O60&gt;0,'R&amp;C-Painel de Controle'!$O75+'R&amp;C-Painel de Controle'!$P75*O60/1000000,0)</f>
        <v>3.8875106015851362</v>
      </c>
      <c r="P115" s="293">
        <f>IF(P60&gt;0,'R&amp;C-Painel de Controle'!$O75+'R&amp;C-Painel de Controle'!$P75*P60/1000000,0)</f>
        <v>3.8875106015851362</v>
      </c>
      <c r="Q115" s="293">
        <f>IF(Q60&gt;0,'R&amp;C-Painel de Controle'!$O75+'R&amp;C-Painel de Controle'!$P75*Q60/1000000,0)</f>
        <v>3.8875106015851362</v>
      </c>
      <c r="R115" s="280">
        <f t="shared" ref="R115:BC115" si="48">Q115</f>
        <v>3.8875106015851362</v>
      </c>
      <c r="S115" s="280">
        <f t="shared" si="48"/>
        <v>3.8875106015851362</v>
      </c>
      <c r="T115" s="280">
        <f t="shared" si="48"/>
        <v>3.8875106015851362</v>
      </c>
      <c r="U115" s="280">
        <f t="shared" si="48"/>
        <v>3.8875106015851362</v>
      </c>
      <c r="V115" s="280">
        <f t="shared" si="48"/>
        <v>3.8875106015851362</v>
      </c>
      <c r="W115" s="280">
        <f t="shared" si="48"/>
        <v>3.8875106015851362</v>
      </c>
      <c r="X115" s="280">
        <f t="shared" si="48"/>
        <v>3.8875106015851362</v>
      </c>
      <c r="Y115" s="280">
        <f t="shared" si="48"/>
        <v>3.8875106015851362</v>
      </c>
      <c r="Z115" s="280">
        <f t="shared" si="48"/>
        <v>3.8875106015851362</v>
      </c>
      <c r="AA115" s="280">
        <f t="shared" si="48"/>
        <v>3.8875106015851362</v>
      </c>
      <c r="AB115" s="280">
        <f t="shared" si="48"/>
        <v>3.8875106015851362</v>
      </c>
      <c r="AC115" s="280">
        <f t="shared" si="48"/>
        <v>3.8875106015851362</v>
      </c>
      <c r="AD115" s="280">
        <f t="shared" si="48"/>
        <v>3.8875106015851362</v>
      </c>
      <c r="AE115" s="280">
        <f t="shared" si="48"/>
        <v>3.8875106015851362</v>
      </c>
      <c r="AF115" s="280">
        <f t="shared" si="48"/>
        <v>3.8875106015851362</v>
      </c>
      <c r="AG115" s="280">
        <f t="shared" si="48"/>
        <v>3.8875106015851362</v>
      </c>
      <c r="AH115" s="280">
        <f t="shared" si="48"/>
        <v>3.8875106015851362</v>
      </c>
      <c r="AI115" s="280">
        <f t="shared" si="48"/>
        <v>3.8875106015851362</v>
      </c>
      <c r="AJ115" s="280">
        <f t="shared" si="48"/>
        <v>3.8875106015851362</v>
      </c>
      <c r="AK115" s="280">
        <f t="shared" si="48"/>
        <v>3.8875106015851362</v>
      </c>
      <c r="AL115" s="280">
        <f t="shared" si="48"/>
        <v>3.8875106015851362</v>
      </c>
      <c r="AM115" s="280">
        <f t="shared" si="48"/>
        <v>3.8875106015851362</v>
      </c>
      <c r="AN115" s="280">
        <f t="shared" si="48"/>
        <v>3.8875106015851362</v>
      </c>
      <c r="AO115" s="280">
        <f t="shared" si="48"/>
        <v>3.8875106015851362</v>
      </c>
      <c r="AP115" s="280">
        <f t="shared" si="48"/>
        <v>3.8875106015851362</v>
      </c>
      <c r="AQ115" s="280">
        <f t="shared" si="48"/>
        <v>3.8875106015851362</v>
      </c>
      <c r="AR115" s="280">
        <f t="shared" si="48"/>
        <v>3.8875106015851362</v>
      </c>
      <c r="AS115" s="280">
        <f t="shared" si="48"/>
        <v>3.8875106015851362</v>
      </c>
      <c r="AT115" s="280">
        <f t="shared" si="48"/>
        <v>3.8875106015851362</v>
      </c>
      <c r="AU115" s="280">
        <f t="shared" si="48"/>
        <v>3.8875106015851362</v>
      </c>
      <c r="AV115" s="280">
        <f t="shared" si="48"/>
        <v>3.8875106015851362</v>
      </c>
      <c r="AW115" s="280">
        <f t="shared" si="48"/>
        <v>3.8875106015851362</v>
      </c>
      <c r="AX115" s="280">
        <f t="shared" si="48"/>
        <v>3.8875106015851362</v>
      </c>
      <c r="AY115" s="280">
        <f t="shared" si="48"/>
        <v>3.8875106015851362</v>
      </c>
      <c r="AZ115" s="280">
        <f t="shared" si="48"/>
        <v>3.8875106015851362</v>
      </c>
      <c r="BA115" s="280">
        <f t="shared" si="48"/>
        <v>3.8875106015851362</v>
      </c>
      <c r="BB115" s="280">
        <f t="shared" si="48"/>
        <v>3.8875106015851362</v>
      </c>
      <c r="BC115" s="280">
        <f t="shared" si="48"/>
        <v>3.8875106015851362</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0.16914679154099951</v>
      </c>
      <c r="D117" s="281">
        <f>IF('R-Definição'!$E$121="Existente",D90+((('R&amp;C-Painel de Controle'!$D$88+'R&amp;C-Painel de Controle'!$D$89)*('R&amp;C-Painel de Controle'!$D$44+'R&amp;C-Painel de Controle'!$D$46))/1000000),D90+((('R&amp;C-Painel de Controle'!$D$88)*('R&amp;C-Painel de Controle'!$D$44+'R&amp;C-Painel de Controle'!$D$46))/1000000))</f>
        <v>0.16914679154099951</v>
      </c>
      <c r="E117" s="281">
        <f>IF('R-Definição'!$E$121="Existente",E90+((('R&amp;C-Painel de Controle'!$D$88+'R&amp;C-Painel de Controle'!$D$89)*('R&amp;C-Painel de Controle'!$D$44+'R&amp;C-Painel de Controle'!$D$46))/1000000),E90+((('R&amp;C-Painel de Controle'!$D$88)*('R&amp;C-Painel de Controle'!$D$44+'R&amp;C-Painel de Controle'!$D$46))/1000000))</f>
        <v>0.16914679154099951</v>
      </c>
      <c r="F117" s="281">
        <f>IF('R-Definição'!$E$121="Existente",F90+((('R&amp;C-Painel de Controle'!$D$88+'R&amp;C-Painel de Controle'!$D$89)*('R&amp;C-Painel de Controle'!$D$44+'R&amp;C-Painel de Controle'!$D$46))/1000000),F90+((('R&amp;C-Painel de Controle'!$D$88)*('R&amp;C-Painel de Controle'!$D$44+'R&amp;C-Painel de Controle'!$D$46))/1000000))</f>
        <v>27.715483573727671</v>
      </c>
      <c r="G117" s="281">
        <f>IF('R-Definição'!$E$121="Existente",G90+((('R&amp;C-Painel de Controle'!$D$88+'R&amp;C-Painel de Controle'!$D$89)*('R&amp;C-Painel de Controle'!$D$44+'R&amp;C-Painel de Controle'!$D$46))/1000000),G90+((('R&amp;C-Painel de Controle'!$D$88)*('R&amp;C-Painel de Controle'!$D$44+'R&amp;C-Painel de Controle'!$D$46))/1000000))</f>
        <v>27.715483573727671</v>
      </c>
      <c r="H117" s="281">
        <f>IF('R-Definição'!$E$121="Existente",H90+((('R&amp;C-Painel de Controle'!$D$88+'R&amp;C-Painel de Controle'!$D$89)*('R&amp;C-Painel de Controle'!$D$44+'R&amp;C-Painel de Controle'!$D$46))/1000000),H90+((('R&amp;C-Painel de Controle'!$D$88)*('R&amp;C-Painel de Controle'!$D$44+'R&amp;C-Painel de Controle'!$D$46))/1000000))</f>
        <v>27.715483573727671</v>
      </c>
      <c r="I117" s="281">
        <f>IF('R-Definição'!$E$121="Existente",I90+((('R&amp;C-Painel de Controle'!$D$88+'R&amp;C-Painel de Controle'!$D$89)*('R&amp;C-Painel de Controle'!$D$44+'R&amp;C-Painel de Controle'!$D$46))/1000000),I90+((('R&amp;C-Painel de Controle'!$D$88)*('R&amp;C-Painel de Controle'!$D$44+'R&amp;C-Painel de Controle'!$D$46))/1000000))</f>
        <v>27.715483573727671</v>
      </c>
      <c r="J117" s="281">
        <f>IF('R-Definição'!$E$121="Existente",J90+((('R&amp;C-Painel de Controle'!$D$88+'R&amp;C-Painel de Controle'!$D$89)*('R&amp;C-Painel de Controle'!$D$44+'R&amp;C-Painel de Controle'!$D$46))/1000000),J90+((('R&amp;C-Painel de Controle'!$D$88)*('R&amp;C-Painel de Controle'!$D$44+'R&amp;C-Painel de Controle'!$D$46))/1000000))</f>
        <v>27.715483573727671</v>
      </c>
      <c r="K117" s="281">
        <f>IF('R-Definição'!$E$121="Existente",K90+((('R&amp;C-Painel de Controle'!$D$88+'R&amp;C-Painel de Controle'!$D$89)*('R&amp;C-Painel de Controle'!$D$44+'R&amp;C-Painel de Controle'!$D$46))/1000000),K90+((('R&amp;C-Painel de Controle'!$D$88)*('R&amp;C-Painel de Controle'!$D$44+'R&amp;C-Painel de Controle'!$D$46))/1000000))</f>
        <v>27.715483573727671</v>
      </c>
      <c r="L117" s="281">
        <f>IF('R-Definição'!$E$121="Existente",L90+((('R&amp;C-Painel de Controle'!$D$88+'R&amp;C-Painel de Controle'!$D$89)*('R&amp;C-Painel de Controle'!$D$44+'R&amp;C-Painel de Controle'!$D$46))/1000000),L90+((('R&amp;C-Painel de Controle'!$D$88)*('R&amp;C-Painel de Controle'!$D$44+'R&amp;C-Painel de Controle'!$D$46))/1000000))</f>
        <v>27.715483573727671</v>
      </c>
      <c r="M117" s="281">
        <f>IF('R-Definição'!$E$121="Existente",M90+((('R&amp;C-Painel de Controle'!$D$88+'R&amp;C-Painel de Controle'!$D$89)*('R&amp;C-Painel de Controle'!$D$44+'R&amp;C-Painel de Controle'!$D$46))/1000000),M90+((('R&amp;C-Painel de Controle'!$D$88)*('R&amp;C-Painel de Controle'!$D$44+'R&amp;C-Painel de Controle'!$D$46))/1000000))</f>
        <v>27.715483573727671</v>
      </c>
      <c r="N117" s="281">
        <f>IF('R-Definição'!$E$121="Existente",N90+((('R&amp;C-Painel de Controle'!$D$88+'R&amp;C-Painel de Controle'!$D$89)*('R&amp;C-Painel de Controle'!$D$44+'R&amp;C-Painel de Controle'!$D$46))/1000000),N90+((('R&amp;C-Painel de Controle'!$D$88)*('R&amp;C-Painel de Controle'!$D$44+'R&amp;C-Painel de Controle'!$D$46))/1000000))</f>
        <v>27.715483573727671</v>
      </c>
      <c r="O117" s="281">
        <f>IF('R-Definição'!$E$121="Existente",O90+((('R&amp;C-Painel de Controle'!$D$88+'R&amp;C-Painel de Controle'!$D$89)*('R&amp;C-Painel de Controle'!$D$44+'R&amp;C-Painel de Controle'!$D$46))/1000000),O90+((('R&amp;C-Painel de Controle'!$D$88)*('R&amp;C-Painel de Controle'!$D$44+'R&amp;C-Painel de Controle'!$D$46))/1000000))</f>
        <v>27.715483573727671</v>
      </c>
      <c r="P117" s="281">
        <f>IF('R-Definição'!$E$121="Existente",P90+((('R&amp;C-Painel de Controle'!$D$88+'R&amp;C-Painel de Controle'!$D$89)*('R&amp;C-Painel de Controle'!$D$44+'R&amp;C-Painel de Controle'!$D$46))/1000000),P90+((('R&amp;C-Painel de Controle'!$D$88)*('R&amp;C-Painel de Controle'!$D$44+'R&amp;C-Painel de Controle'!$D$46))/1000000))</f>
        <v>27.715483573727671</v>
      </c>
      <c r="Q117" s="281">
        <f>IF('R-Definição'!$E$121="Existente",Q90+((('R&amp;C-Painel de Controle'!$D$88+'R&amp;C-Painel de Controle'!$D$89)*('R&amp;C-Painel de Controle'!$D$44+'R&amp;C-Painel de Controle'!$D$46))/1000000),Q90+((('R&amp;C-Painel de Controle'!$D$88)*('R&amp;C-Painel de Controle'!$D$44+'R&amp;C-Painel de Controle'!$D$46))/1000000))</f>
        <v>27.715483573727671</v>
      </c>
      <c r="R117" s="281">
        <f>IF('R-Definição'!$E$121="Existente",R90+((('R&amp;C-Painel de Controle'!$D$88+'R&amp;C-Painel de Controle'!$D$89)*('R&amp;C-Painel de Controle'!$D$44+'R&amp;C-Painel de Controle'!$D$46))/1000000),R90+((('R&amp;C-Painel de Controle'!$D$88)*('R&amp;C-Painel de Controle'!$D$44+'R&amp;C-Painel de Controle'!$D$46))/1000000))</f>
        <v>27.715483573727671</v>
      </c>
      <c r="S117" s="281">
        <f>IF('R-Definição'!$E$121="Existente",S90+((('R&amp;C-Painel de Controle'!$D$88+'R&amp;C-Painel de Controle'!$D$89)*('R&amp;C-Painel de Controle'!$D$44+'R&amp;C-Painel de Controle'!$D$46))/1000000),S90+((('R&amp;C-Painel de Controle'!$D$88)*('R&amp;C-Painel de Controle'!$D$44+'R&amp;C-Painel de Controle'!$D$46))/1000000))</f>
        <v>27.715483573727671</v>
      </c>
      <c r="T117" s="281">
        <f>IF('R-Definição'!$E$121="Existente",T90+((('R&amp;C-Painel de Controle'!$D$88+'R&amp;C-Painel de Controle'!$D$89)*('R&amp;C-Painel de Controle'!$D$44+'R&amp;C-Painel de Controle'!$D$46))/1000000),T90+((('R&amp;C-Painel de Controle'!$D$88)*('R&amp;C-Painel de Controle'!$D$44+'R&amp;C-Painel de Controle'!$D$46))/1000000))</f>
        <v>27.715483573727671</v>
      </c>
      <c r="U117" s="281">
        <f>IF('R-Definição'!$E$121="Existente",U90+((('R&amp;C-Painel de Controle'!$D$88+'R&amp;C-Painel de Controle'!$D$89)*('R&amp;C-Painel de Controle'!$D$44+'R&amp;C-Painel de Controle'!$D$46))/1000000),U90+((('R&amp;C-Painel de Controle'!$D$88)*('R&amp;C-Painel de Controle'!$D$44+'R&amp;C-Painel de Controle'!$D$46))/1000000))</f>
        <v>27.715483573727671</v>
      </c>
      <c r="V117" s="281">
        <f>IF('R-Definição'!$E$121="Existente",V90+((('R&amp;C-Painel de Controle'!$D$88+'R&amp;C-Painel de Controle'!$D$89)*('R&amp;C-Painel de Controle'!$D$44+'R&amp;C-Painel de Controle'!$D$46))/1000000),V90+((('R&amp;C-Painel de Controle'!$D$88)*('R&amp;C-Painel de Controle'!$D$44+'R&amp;C-Painel de Controle'!$D$46))/1000000))</f>
        <v>27.715483573727671</v>
      </c>
      <c r="W117" s="281">
        <f>IF('R-Definição'!$E$121="Existente",W90+((('R&amp;C-Painel de Controle'!$D$88+'R&amp;C-Painel de Controle'!$D$89)*('R&amp;C-Painel de Controle'!$D$44+'R&amp;C-Painel de Controle'!$D$46))/1000000),W90+((('R&amp;C-Painel de Controle'!$D$88)*('R&amp;C-Painel de Controle'!$D$44+'R&amp;C-Painel de Controle'!$D$46))/1000000))</f>
        <v>27.715483573727671</v>
      </c>
      <c r="X117" s="281">
        <f>IF('R-Definição'!$E$121="Existente",X90+((('R&amp;C-Painel de Controle'!$D$88+'R&amp;C-Painel de Controle'!$D$89)*('R&amp;C-Painel de Controle'!$D$44+'R&amp;C-Painel de Controle'!$D$46))/1000000),X90+((('R&amp;C-Painel de Controle'!$D$88)*('R&amp;C-Painel de Controle'!$D$44+'R&amp;C-Painel de Controle'!$D$46))/1000000))</f>
        <v>27.715483573727671</v>
      </c>
      <c r="Y117" s="281">
        <f>IF('R-Definição'!$E$121="Existente",Y90+((('R&amp;C-Painel de Controle'!$D$88+'R&amp;C-Painel de Controle'!$D$89)*('R&amp;C-Painel de Controle'!$D$44+'R&amp;C-Painel de Controle'!$D$46))/1000000),Y90+((('R&amp;C-Painel de Controle'!$D$88)*('R&amp;C-Painel de Controle'!$D$44+'R&amp;C-Painel de Controle'!$D$46))/1000000))</f>
        <v>27.715483573727671</v>
      </c>
      <c r="Z117" s="281">
        <f>IF('R-Definição'!$E$121="Existente",Z90+((('R&amp;C-Painel de Controle'!$D$88+'R&amp;C-Painel de Controle'!$D$89)*('R&amp;C-Painel de Controle'!$D$44+'R&amp;C-Painel de Controle'!$D$46))/1000000),Z90+((('R&amp;C-Painel de Controle'!$D$88)*('R&amp;C-Painel de Controle'!$D$44+'R&amp;C-Painel de Controle'!$D$46))/1000000))</f>
        <v>27.715483573727671</v>
      </c>
      <c r="AA117" s="281">
        <f>IF('R-Definição'!$E$121="Existente",AA90+((('R&amp;C-Painel de Controle'!$D$88+'R&amp;C-Painel de Controle'!$D$89)*('R&amp;C-Painel de Controle'!$D$44+'R&amp;C-Painel de Controle'!$D$46))/1000000),AA90+((('R&amp;C-Painel de Controle'!$D$88)*('R&amp;C-Painel de Controle'!$D$44+'R&amp;C-Painel de Controle'!$D$46))/1000000))</f>
        <v>27.715483573727671</v>
      </c>
      <c r="AB117" s="281">
        <f>IF('R-Definição'!$E$121="Existente",AB90+((('R&amp;C-Painel de Controle'!$D$88+'R&amp;C-Painel de Controle'!$D$89)*('R&amp;C-Painel de Controle'!$D$44+'R&amp;C-Painel de Controle'!$D$46))/1000000),AB90+((('R&amp;C-Painel de Controle'!$D$88)*('R&amp;C-Painel de Controle'!$D$44+'R&amp;C-Painel de Controle'!$D$46))/1000000))</f>
        <v>27.715483573727671</v>
      </c>
      <c r="AC117" s="281">
        <f>IF('R-Definição'!$E$121="Existente",AC90+((('R&amp;C-Painel de Controle'!$D$88+'R&amp;C-Painel de Controle'!$D$89)*('R&amp;C-Painel de Controle'!$D$44+'R&amp;C-Painel de Controle'!$D$46))/1000000),AC90+((('R&amp;C-Painel de Controle'!$D$88)*('R&amp;C-Painel de Controle'!$D$44+'R&amp;C-Painel de Controle'!$D$46))/1000000))</f>
        <v>27.715483573727671</v>
      </c>
      <c r="AD117" s="281">
        <f>IF('R-Definição'!$E$121="Existente",AD90+((('R&amp;C-Painel de Controle'!$D$88+'R&amp;C-Painel de Controle'!$D$89)*('R&amp;C-Painel de Controle'!$D$44+'R&amp;C-Painel de Controle'!$D$46))/1000000),AD90+((('R&amp;C-Painel de Controle'!$D$88)*('R&amp;C-Painel de Controle'!$D$44+'R&amp;C-Painel de Controle'!$D$46))/1000000))</f>
        <v>27.715483573727671</v>
      </c>
      <c r="AE117" s="281">
        <f>IF('R-Definição'!$E$121="Existente",AE90+((('R&amp;C-Painel de Controle'!$D$88+'R&amp;C-Painel de Controle'!$D$89)*('R&amp;C-Painel de Controle'!$D$44+'R&amp;C-Painel de Controle'!$D$46))/1000000),AE90+((('R&amp;C-Painel de Controle'!$D$88)*('R&amp;C-Painel de Controle'!$D$44+'R&amp;C-Painel de Controle'!$D$46))/1000000))</f>
        <v>27.715483573727671</v>
      </c>
      <c r="AF117" s="281">
        <f>IF('R-Definição'!$E$121="Existente",AF90+((('R&amp;C-Painel de Controle'!$D$88+'R&amp;C-Painel de Controle'!$D$89)*('R&amp;C-Painel de Controle'!$D$44+'R&amp;C-Painel de Controle'!$D$46))/1000000),AF90+((('R&amp;C-Painel de Controle'!$D$88)*('R&amp;C-Painel de Controle'!$D$44+'R&amp;C-Painel de Controle'!$D$46))/1000000))</f>
        <v>27.715483573727671</v>
      </c>
      <c r="AG117" s="281">
        <f>IF('R-Definição'!$E$121="Existente",AG90+((('R&amp;C-Painel de Controle'!$D$88+'R&amp;C-Painel de Controle'!$D$89)*('R&amp;C-Painel de Controle'!$D$44+'R&amp;C-Painel de Controle'!$D$46))/1000000),AG90+((('R&amp;C-Painel de Controle'!$D$88)*('R&amp;C-Painel de Controle'!$D$44+'R&amp;C-Painel de Controle'!$D$46))/1000000))</f>
        <v>27.715483573727671</v>
      </c>
      <c r="AH117" s="281">
        <f>IF('R-Definição'!$E$121="Existente",AH90+((('R&amp;C-Painel de Controle'!$D$88+'R&amp;C-Painel de Controle'!$D$89)*('R&amp;C-Painel de Controle'!$D$44+'R&amp;C-Painel de Controle'!$D$46))/1000000),AH90+((('R&amp;C-Painel de Controle'!$D$88)*('R&amp;C-Painel de Controle'!$D$44+'R&amp;C-Painel de Controle'!$D$46))/1000000))</f>
        <v>27.715483573727671</v>
      </c>
      <c r="AI117" s="281">
        <f>IF('R-Definição'!$E$121="Existente",AI90+((('R&amp;C-Painel de Controle'!$D$88+'R&amp;C-Painel de Controle'!$D$89)*('R&amp;C-Painel de Controle'!$D$44+'R&amp;C-Painel de Controle'!$D$46))/1000000),AI90+((('R&amp;C-Painel de Controle'!$D$88)*('R&amp;C-Painel de Controle'!$D$44+'R&amp;C-Painel de Controle'!$D$46))/1000000))</f>
        <v>27.715483573727671</v>
      </c>
      <c r="AJ117" s="281">
        <f>IF('R-Definição'!$E$121="Existente",AJ90+((('R&amp;C-Painel de Controle'!$D$88+'R&amp;C-Painel de Controle'!$D$89)*('R&amp;C-Painel de Controle'!$D$44+'R&amp;C-Painel de Controle'!$D$46))/1000000),AJ90+((('R&amp;C-Painel de Controle'!$D$88)*('R&amp;C-Painel de Controle'!$D$44+'R&amp;C-Painel de Controle'!$D$46))/1000000))</f>
        <v>27.715483573727671</v>
      </c>
      <c r="AK117" s="281">
        <f>IF('R-Definição'!$E$121="Existente",AK90+((('R&amp;C-Painel de Controle'!$D$88+'R&amp;C-Painel de Controle'!$D$89)*('R&amp;C-Painel de Controle'!$D$44+'R&amp;C-Painel de Controle'!$D$46))/1000000),AK90+((('R&amp;C-Painel de Controle'!$D$88)*('R&amp;C-Painel de Controle'!$D$44+'R&amp;C-Painel de Controle'!$D$46))/1000000))</f>
        <v>27.715483573727671</v>
      </c>
      <c r="AL117" s="281">
        <f>IF('R-Definição'!$E$121="Existente",AL90+((('R&amp;C-Painel de Controle'!$D$88+'R&amp;C-Painel de Controle'!$D$89)*('R&amp;C-Painel de Controle'!$D$44+'R&amp;C-Painel de Controle'!$D$46))/1000000),AL90+((('R&amp;C-Painel de Controle'!$D$88)*('R&amp;C-Painel de Controle'!$D$44+'R&amp;C-Painel de Controle'!$D$46))/1000000))</f>
        <v>27.715483573727671</v>
      </c>
      <c r="AM117" s="281">
        <f>IF('R-Definição'!$E$121="Existente",AM90+((('R&amp;C-Painel de Controle'!$D$88+'R&amp;C-Painel de Controle'!$D$89)*('R&amp;C-Painel de Controle'!$D$44+'R&amp;C-Painel de Controle'!$D$46))/1000000),AM90+((('R&amp;C-Painel de Controle'!$D$88)*('R&amp;C-Painel de Controle'!$D$44+'R&amp;C-Painel de Controle'!$D$46))/1000000))</f>
        <v>27.715483573727671</v>
      </c>
      <c r="AN117" s="281">
        <f>IF('R-Definição'!$E$121="Existente",AN90+((('R&amp;C-Painel de Controle'!$D$88+'R&amp;C-Painel de Controle'!$D$89)*('R&amp;C-Painel de Controle'!$D$44+'R&amp;C-Painel de Controle'!$D$46))/1000000),AN90+((('R&amp;C-Painel de Controle'!$D$88)*('R&amp;C-Painel de Controle'!$D$44+'R&amp;C-Painel de Controle'!$D$46))/1000000))</f>
        <v>27.715483573727671</v>
      </c>
      <c r="AO117" s="281">
        <f>IF('R-Definição'!$E$121="Existente",AO90+((('R&amp;C-Painel de Controle'!$D$88+'R&amp;C-Painel de Controle'!$D$89)*('R&amp;C-Painel de Controle'!$D$44+'R&amp;C-Painel de Controle'!$D$46))/1000000),AO90+((('R&amp;C-Painel de Controle'!$D$88)*('R&amp;C-Painel de Controle'!$D$44+'R&amp;C-Painel de Controle'!$D$46))/1000000))</f>
        <v>27.715483573727671</v>
      </c>
      <c r="AP117" s="281">
        <f>IF('R-Definição'!$E$121="Existente",AP90+((('R&amp;C-Painel de Controle'!$D$88+'R&amp;C-Painel de Controle'!$D$89)*('R&amp;C-Painel de Controle'!$D$44+'R&amp;C-Painel de Controle'!$D$46))/1000000),AP90+((('R&amp;C-Painel de Controle'!$D$88)*('R&amp;C-Painel de Controle'!$D$44+'R&amp;C-Painel de Controle'!$D$46))/1000000))</f>
        <v>27.715483573727671</v>
      </c>
      <c r="AQ117" s="281">
        <f>IF('R-Definição'!$E$121="Existente",AQ90+((('R&amp;C-Painel de Controle'!$D$88+'R&amp;C-Painel de Controle'!$D$89)*('R&amp;C-Painel de Controle'!$D$44+'R&amp;C-Painel de Controle'!$D$46))/1000000),AQ90+((('R&amp;C-Painel de Controle'!$D$88)*('R&amp;C-Painel de Controle'!$D$44+'R&amp;C-Painel de Controle'!$D$46))/1000000))</f>
        <v>27.715483573727671</v>
      </c>
      <c r="AR117" s="281">
        <f>IF('R-Definição'!$E$121="Existente",AR90+((('R&amp;C-Painel de Controle'!$D$88+'R&amp;C-Painel de Controle'!$D$89)*('R&amp;C-Painel de Controle'!$D$44+'R&amp;C-Painel de Controle'!$D$46))/1000000),AR90+((('R&amp;C-Painel de Controle'!$D$88)*('R&amp;C-Painel de Controle'!$D$44+'R&amp;C-Painel de Controle'!$D$46))/1000000))</f>
        <v>27.715483573727671</v>
      </c>
      <c r="AS117" s="281">
        <f>IF('R-Definição'!$E$121="Existente",AS90+((('R&amp;C-Painel de Controle'!$D$88+'R&amp;C-Painel de Controle'!$D$89)*('R&amp;C-Painel de Controle'!$D$44+'R&amp;C-Painel de Controle'!$D$46))/1000000),AS90+((('R&amp;C-Painel de Controle'!$D$88)*('R&amp;C-Painel de Controle'!$D$44+'R&amp;C-Painel de Controle'!$D$46))/1000000))</f>
        <v>27.715483573727671</v>
      </c>
      <c r="AT117" s="281">
        <f>IF('R-Definição'!$E$121="Existente",AT90+((('R&amp;C-Painel de Controle'!$D$88+'R&amp;C-Painel de Controle'!$D$89)*('R&amp;C-Painel de Controle'!$D$44+'R&amp;C-Painel de Controle'!$D$46))/1000000),AT90+((('R&amp;C-Painel de Controle'!$D$88)*('R&amp;C-Painel de Controle'!$D$44+'R&amp;C-Painel de Controle'!$D$46))/1000000))</f>
        <v>27.715483573727671</v>
      </c>
      <c r="AU117" s="281">
        <f>IF('R-Definição'!$E$121="Existente",AU90+((('R&amp;C-Painel de Controle'!$D$88+'R&amp;C-Painel de Controle'!$D$89)*('R&amp;C-Painel de Controle'!$D$44+'R&amp;C-Painel de Controle'!$D$46))/1000000),AU90+((('R&amp;C-Painel de Controle'!$D$88)*('R&amp;C-Painel de Controle'!$D$44+'R&amp;C-Painel de Controle'!$D$46))/1000000))</f>
        <v>27.715483573727671</v>
      </c>
      <c r="AV117" s="281">
        <f>IF('R-Definição'!$E$121="Existente",AV90+((('R&amp;C-Painel de Controle'!$D$88+'R&amp;C-Painel de Controle'!$D$89)*('R&amp;C-Painel de Controle'!$D$44+'R&amp;C-Painel de Controle'!$D$46))/1000000),AV90+((('R&amp;C-Painel de Controle'!$D$88)*('R&amp;C-Painel de Controle'!$D$44+'R&amp;C-Painel de Controle'!$D$46))/1000000))</f>
        <v>27.715483573727671</v>
      </c>
      <c r="AW117" s="281">
        <f>IF('R-Definição'!$E$121="Existente",AW90+((('R&amp;C-Painel de Controle'!$D$88+'R&amp;C-Painel de Controle'!$D$89)*('R&amp;C-Painel de Controle'!$D$44+'R&amp;C-Painel de Controle'!$D$46))/1000000),AW90+((('R&amp;C-Painel de Controle'!$D$88)*('R&amp;C-Painel de Controle'!$D$44+'R&amp;C-Painel de Controle'!$D$46))/1000000))</f>
        <v>27.715483573727671</v>
      </c>
      <c r="AX117" s="281">
        <f>IF('R-Definição'!$E$121="Existente",AX90+((('R&amp;C-Painel de Controle'!$D$88+'R&amp;C-Painel de Controle'!$D$89)*('R&amp;C-Painel de Controle'!$D$44+'R&amp;C-Painel de Controle'!$D$46))/1000000),AX90+((('R&amp;C-Painel de Controle'!$D$88)*('R&amp;C-Painel de Controle'!$D$44+'R&amp;C-Painel de Controle'!$D$46))/1000000))</f>
        <v>27.715483573727671</v>
      </c>
      <c r="AY117" s="281">
        <f>IF('R-Definição'!$E$121="Existente",AY90+((('R&amp;C-Painel de Controle'!$D$88+'R&amp;C-Painel de Controle'!$D$89)*('R&amp;C-Painel de Controle'!$D$44+'R&amp;C-Painel de Controle'!$D$46))/1000000),AY90+((('R&amp;C-Painel de Controle'!$D$88)*('R&amp;C-Painel de Controle'!$D$44+'R&amp;C-Painel de Controle'!$D$46))/1000000))</f>
        <v>27.715483573727671</v>
      </c>
      <c r="AZ117" s="281">
        <f>IF('R-Definição'!$E$121="Existente",AZ90+((('R&amp;C-Painel de Controle'!$D$88+'R&amp;C-Painel de Controle'!$D$89)*('R&amp;C-Painel de Controle'!$D$44+'R&amp;C-Painel de Controle'!$D$46))/1000000),AZ90+((('R&amp;C-Painel de Controle'!$D$88)*('R&amp;C-Painel de Controle'!$D$44+'R&amp;C-Painel de Controle'!$D$46))/1000000))</f>
        <v>27.715483573727671</v>
      </c>
      <c r="BA117" s="281">
        <f>IF('R-Definição'!$E$121="Existente",BA90+((('R&amp;C-Painel de Controle'!$D$88+'R&amp;C-Painel de Controle'!$D$89)*('R&amp;C-Painel de Controle'!$D$44+'R&amp;C-Painel de Controle'!$D$46))/1000000),BA90+((('R&amp;C-Painel de Controle'!$D$88)*('R&amp;C-Painel de Controle'!$D$44+'R&amp;C-Painel de Controle'!$D$46))/1000000))</f>
        <v>27.715483573727671</v>
      </c>
      <c r="BB117" s="281">
        <f>IF('R-Definição'!$E$121="Existente",BB90+((('R&amp;C-Painel de Controle'!$D$88+'R&amp;C-Painel de Controle'!$D$89)*('R&amp;C-Painel de Controle'!$D$44+'R&amp;C-Painel de Controle'!$D$46))/1000000),BB90+((('R&amp;C-Painel de Controle'!$D$88)*('R&amp;C-Painel de Controle'!$D$44+'R&amp;C-Painel de Controle'!$D$46))/1000000))</f>
        <v>27.715483573727671</v>
      </c>
      <c r="BC117" s="281">
        <f>IF('R-Definição'!$E$121="Existente",BC90+((('R&amp;C-Painel de Controle'!$D$88+'R&amp;C-Painel de Controle'!$D$89)*('R&amp;C-Painel de Controle'!$D$44+'R&amp;C-Painel de Controle'!$D$46))/1000000),BC90+((('R&amp;C-Painel de Controle'!$D$88)*('R&amp;C-Painel de Controle'!$D$44+'R&amp;C-Painel de Controle'!$D$46))/1000000))</f>
        <v>27.715483573727671</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1.1691467915409994</v>
      </c>
      <c r="D119" s="281">
        <f>(D117+'R&amp;C-Painel de Controle'!$D$28)*(1+$C$118)</f>
        <v>1.1691467915409994</v>
      </c>
      <c r="E119" s="281">
        <f>(E117+'R&amp;C-Painel de Controle'!$D$28)*(1+$C$118)</f>
        <v>1.1691467915409994</v>
      </c>
      <c r="F119" s="281">
        <f>(F117+'R&amp;C-Painel de Controle'!$D$28)*(1+$C$118)</f>
        <v>28.715483573727671</v>
      </c>
      <c r="G119" s="281">
        <f>(G117+'R&amp;C-Painel de Controle'!$D$28)*(1+$C$118)</f>
        <v>28.715483573727671</v>
      </c>
      <c r="H119" s="281">
        <f>(H117+'R&amp;C-Painel de Controle'!$D$28)*(1+$C$118)</f>
        <v>28.715483573727671</v>
      </c>
      <c r="I119" s="281">
        <f>(I117+'R&amp;C-Painel de Controle'!$D$28)*(1+$C$118)</f>
        <v>28.715483573727671</v>
      </c>
      <c r="J119" s="281">
        <f>(J117+'R&amp;C-Painel de Controle'!$D$28)*(1+$C$118)</f>
        <v>28.715483573727671</v>
      </c>
      <c r="K119" s="281">
        <f>(K117+'R&amp;C-Painel de Controle'!$D$28)*(1+$C$118)</f>
        <v>28.715483573727671</v>
      </c>
      <c r="L119" s="281">
        <f>(L117+'R&amp;C-Painel de Controle'!$D$28)*(1+$C$118)</f>
        <v>28.715483573727671</v>
      </c>
      <c r="M119" s="281">
        <f>(M117+'R&amp;C-Painel de Controle'!$D$28)*(1+$C$118)</f>
        <v>28.715483573727671</v>
      </c>
      <c r="N119" s="281">
        <f>(N117+'R&amp;C-Painel de Controle'!$D$28)*(1+$C$118)</f>
        <v>28.715483573727671</v>
      </c>
      <c r="O119" s="281">
        <f>(O117+'R&amp;C-Painel de Controle'!$D$28)*(1+$C$118)</f>
        <v>28.715483573727671</v>
      </c>
      <c r="P119" s="281">
        <f>(P117+'R&amp;C-Painel de Controle'!$D$28)*(1+$C$118)</f>
        <v>28.715483573727671</v>
      </c>
      <c r="Q119" s="281">
        <f>(Q117+'R&amp;C-Painel de Controle'!$D$28)*(1+$C$118)</f>
        <v>28.715483573727671</v>
      </c>
      <c r="R119" s="281">
        <f>(R117+'R&amp;C-Painel de Controle'!$D$28)*(1+$C$118)</f>
        <v>28.715483573727671</v>
      </c>
      <c r="S119" s="281">
        <f>(S117+'R&amp;C-Painel de Controle'!$D$28)*(1+$C$118)</f>
        <v>28.715483573727671</v>
      </c>
      <c r="T119" s="281">
        <f>(T117+'R&amp;C-Painel de Controle'!$D$28)*(1+$C$118)</f>
        <v>28.715483573727671</v>
      </c>
      <c r="U119" s="281">
        <f>(U117+'R&amp;C-Painel de Controle'!$D$28)*(1+$C$118)</f>
        <v>28.715483573727671</v>
      </c>
      <c r="V119" s="281">
        <f>(V117+'R&amp;C-Painel de Controle'!$D$28)*(1+$C$118)</f>
        <v>28.715483573727671</v>
      </c>
      <c r="W119" s="281">
        <f>(W117+'R&amp;C-Painel de Controle'!$D$28)*(1+$C$118)</f>
        <v>28.715483573727671</v>
      </c>
      <c r="X119" s="281">
        <f>(X117+'R&amp;C-Painel de Controle'!$D$28)*(1+$C$118)</f>
        <v>28.715483573727671</v>
      </c>
      <c r="Y119" s="281">
        <f>(Y117+'R&amp;C-Painel de Controle'!$D$28)*(1+$C$118)</f>
        <v>28.715483573727671</v>
      </c>
      <c r="Z119" s="281">
        <f>(Z117+'R&amp;C-Painel de Controle'!$D$28)*(1+$C$118)</f>
        <v>28.715483573727671</v>
      </c>
      <c r="AA119" s="281">
        <f>(AA117+'R&amp;C-Painel de Controle'!$D$28)*(1+$C$118)</f>
        <v>28.715483573727671</v>
      </c>
      <c r="AB119" s="281">
        <f>(AB117+'R&amp;C-Painel de Controle'!$D$28)*(1+$C$118)</f>
        <v>28.715483573727671</v>
      </c>
      <c r="AC119" s="281">
        <f>(AC117+'R&amp;C-Painel de Controle'!$D$28)*(1+$C$118)</f>
        <v>28.715483573727671</v>
      </c>
      <c r="AD119" s="281">
        <f>(AD117+'R&amp;C-Painel de Controle'!$D$28)*(1+$C$118)</f>
        <v>28.715483573727671</v>
      </c>
      <c r="AE119" s="281">
        <f>(AE117+'R&amp;C-Painel de Controle'!$D$28)*(1+$C$118)</f>
        <v>28.715483573727671</v>
      </c>
      <c r="AF119" s="281">
        <f>(AF117+'R&amp;C-Painel de Controle'!$D$28)*(1+$C$118)</f>
        <v>28.715483573727671</v>
      </c>
      <c r="AG119" s="281">
        <f>(AG117+'R&amp;C-Painel de Controle'!$D$28)*(1+$C$118)</f>
        <v>28.715483573727671</v>
      </c>
      <c r="AH119" s="281">
        <f>(AH117+'R&amp;C-Painel de Controle'!$D$28)*(1+$C$118)</f>
        <v>28.715483573727671</v>
      </c>
      <c r="AI119" s="281">
        <f>(AI117+'R&amp;C-Painel de Controle'!$D$28)*(1+$C$118)</f>
        <v>28.715483573727671</v>
      </c>
      <c r="AJ119" s="281">
        <f>(AJ117+'R&amp;C-Painel de Controle'!$D$28)*(1+$C$118)</f>
        <v>28.715483573727671</v>
      </c>
      <c r="AK119" s="281">
        <f>(AK117+'R&amp;C-Painel de Controle'!$D$28)*(1+$C$118)</f>
        <v>28.715483573727671</v>
      </c>
      <c r="AL119" s="281">
        <f>(AL117+'R&amp;C-Painel de Controle'!$D$28)*(1+$C$118)</f>
        <v>28.715483573727671</v>
      </c>
      <c r="AM119" s="281">
        <f>(AM117+'R&amp;C-Painel de Controle'!$D$28)*(1+$C$118)</f>
        <v>28.715483573727671</v>
      </c>
      <c r="AN119" s="281">
        <f>(AN117+'R&amp;C-Painel de Controle'!$D$28)*(1+$C$118)</f>
        <v>28.715483573727671</v>
      </c>
      <c r="AO119" s="281">
        <f>(AO117+'R&amp;C-Painel de Controle'!$D$28)*(1+$C$118)</f>
        <v>28.715483573727671</v>
      </c>
      <c r="AP119" s="281">
        <f>(AP117+'R&amp;C-Painel de Controle'!$D$28)*(1+$C$118)</f>
        <v>28.715483573727671</v>
      </c>
      <c r="AQ119" s="281">
        <f>(AQ117+'R&amp;C-Painel de Controle'!$D$28)*(1+$C$118)</f>
        <v>28.715483573727671</v>
      </c>
      <c r="AR119" s="281">
        <f>(AR117+'R&amp;C-Painel de Controle'!$D$28)*(1+$C$118)</f>
        <v>28.715483573727671</v>
      </c>
      <c r="AS119" s="281">
        <f>(AS117+'R&amp;C-Painel de Controle'!$D$28)*(1+$C$118)</f>
        <v>28.715483573727671</v>
      </c>
      <c r="AT119" s="281">
        <f>(AT117+'R&amp;C-Painel de Controle'!$D$28)*(1+$C$118)</f>
        <v>28.715483573727671</v>
      </c>
      <c r="AU119" s="281">
        <f>(AU117+'R&amp;C-Painel de Controle'!$D$28)*(1+$C$118)</f>
        <v>28.715483573727671</v>
      </c>
      <c r="AV119" s="281">
        <f>(AV117+'R&amp;C-Painel de Controle'!$D$28)*(1+$C$118)</f>
        <v>28.715483573727671</v>
      </c>
      <c r="AW119" s="281">
        <f>(AW117+'R&amp;C-Painel de Controle'!$D$28)*(1+$C$118)</f>
        <v>28.715483573727671</v>
      </c>
      <c r="AX119" s="281">
        <f>(AX117+'R&amp;C-Painel de Controle'!$D$28)*(1+$C$118)</f>
        <v>28.715483573727671</v>
      </c>
      <c r="AY119" s="281">
        <f>(AY117+'R&amp;C-Painel de Controle'!$D$28)*(1+$C$118)</f>
        <v>28.715483573727671</v>
      </c>
      <c r="AZ119" s="281">
        <f>(AZ117+'R&amp;C-Painel de Controle'!$D$28)*(1+$C$118)</f>
        <v>28.715483573727671</v>
      </c>
      <c r="BA119" s="281">
        <f>(BA117+'R&amp;C-Painel de Controle'!$D$28)*(1+$C$118)</f>
        <v>28.715483573727671</v>
      </c>
      <c r="BB119" s="281">
        <f>(BB117+'R&amp;C-Painel de Controle'!$D$28)*(1+$C$118)</f>
        <v>28.715483573727671</v>
      </c>
      <c r="BC119" s="281">
        <f>(BC117+'R&amp;C-Painel de Controle'!$D$28)*(1+$C$118)</f>
        <v>28.715483573727671</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2887.4249999999993</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Sim</v>
      </c>
      <c r="D141" s="291">
        <f>D110</f>
        <v>22869.127856249997</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7.7106630711911874</v>
      </c>
      <c r="G143" s="300">
        <f>IF(G57&gt;0,'R&amp;C-Painel de Controle'!$O$71*(1-0.0925)*G35/1000000,0)</f>
        <v>7.7469031876257857</v>
      </c>
      <c r="H143" s="300">
        <f>IF(H57&gt;0,'R&amp;C-Painel de Controle'!$O$71*(1-0.0925)*H35/1000000,0)</f>
        <v>7.7833136326076255</v>
      </c>
      <c r="I143" s="300">
        <f>IF(I57&gt;0,'R&amp;C-Painel de Controle'!$O$71*(1-0.0925)*I35/1000000,0)</f>
        <v>7.819895206680882</v>
      </c>
      <c r="J143" s="300">
        <f>IF(J57&gt;0,'R&amp;C-Painel de Controle'!$O$71*(1-0.0925)*J35/1000000,0)</f>
        <v>7.8566487141522812</v>
      </c>
      <c r="K143" s="300">
        <f>IF(K57&gt;0,'R&amp;C-Painel de Controle'!$O$71*(1-0.0925)*K35/1000000,0)</f>
        <v>7.8935749631087964</v>
      </c>
      <c r="L143" s="300">
        <f>IF(L57&gt;0,'R&amp;C-Painel de Controle'!$O$71*(1-0.0925)*L35/1000000,0)</f>
        <v>7.9306747654354082</v>
      </c>
      <c r="M143" s="300">
        <f>IF(M57&gt;0,'R&amp;C-Painel de Controle'!$O$71*(1-0.0925)*M35/1000000,0)</f>
        <v>7.9679489368329541</v>
      </c>
      <c r="N143" s="300">
        <f>IF(N57&gt;0,'R&amp;C-Painel de Controle'!$O$71*(1-0.0925)*N35/1000000,0)</f>
        <v>8.0053982968360682</v>
      </c>
      <c r="O143" s="300">
        <f>IF(O57&gt;0,'R&amp;C-Painel de Controle'!$O$71*(1-0.0925)*O35/1000000,0)</f>
        <v>8.0430236688311982</v>
      </c>
      <c r="P143" s="300">
        <f>IF(P57&gt;0,'R&amp;C-Painel de Controle'!$O$71*(1-0.0925)*P35/1000000,0)</f>
        <v>8.0808258800747037</v>
      </c>
      <c r="Q143" s="300">
        <f>IF(Q57&gt;0,'R&amp;C-Painel de Controle'!$O$71*(1-0.0925)*Q35/1000000,0)</f>
        <v>8.1188057617110552</v>
      </c>
      <c r="R143" s="300">
        <f>IF(R57&gt;0,'R&amp;C-Painel de Controle'!$O$71*(1-0.0925)*R35/1000000,0)</f>
        <v>8.1569641487910953</v>
      </c>
      <c r="S143" s="300">
        <f>IF(S57&gt;0,'R&amp;C-Painel de Controle'!$O$71*(1-0.0925)*S35/1000000,0)</f>
        <v>8.1953018802904136</v>
      </c>
      <c r="T143" s="300">
        <f>IF(T57&gt;0,'R&amp;C-Painel de Controle'!$O$71*(1-0.0925)*T35/1000000,0)</f>
        <v>8.2338197991277777</v>
      </c>
      <c r="U143" s="300">
        <f>IF(U57&gt;0,'R&amp;C-Painel de Controle'!$O$71*(1-0.0925)*U35/1000000,0)</f>
        <v>8.2725187521836787</v>
      </c>
      <c r="V143" s="300">
        <f>IF(V57&gt;0,'R&amp;C-Painel de Controle'!$O$71*(1-0.0925)*V35/1000000,0)</f>
        <v>8.3113995903189419</v>
      </c>
      <c r="W143" s="300">
        <f>IF(W57&gt;0,'R&amp;C-Painel de Controle'!$O$71*(1-0.0925)*W35/1000000,0)</f>
        <v>8.3504631683934409</v>
      </c>
      <c r="X143" s="300">
        <f>IF(X57&gt;0,'R&amp;C-Painel de Controle'!$O$71*(1-0.0925)*X35/1000000,0)</f>
        <v>8.3897103452848878</v>
      </c>
      <c r="Y143" s="300">
        <f>IF(Y57&gt;0,'R&amp;C-Painel de Controle'!$O$71*(1-0.0925)*Y35/1000000,0)</f>
        <v>8.4291419839077282</v>
      </c>
      <c r="Z143" s="300">
        <f>IF(Z57&gt;0,'R&amp;C-Painel de Controle'!$O$71*(1-0.0925)*Z35/1000000,0)</f>
        <v>8.4687589512320951</v>
      </c>
      <c r="AA143" s="300">
        <f>IF(AA57&gt;0,'R&amp;C-Painel de Controle'!$O$71*(1-0.0925)*AA35/1000000,0)</f>
        <v>8.5085621183028834</v>
      </c>
      <c r="AB143" s="300">
        <f>IF(AB57&gt;0,'R&amp;C-Painel de Controle'!$O$71*(1-0.0925)*AB35/1000000,0)</f>
        <v>8.5485523602589044</v>
      </c>
      <c r="AC143" s="300">
        <f>IF(AC57&gt;0,'R&amp;C-Painel de Controle'!$O$71*(1-0.0925)*AC35/1000000,0)</f>
        <v>8.5887305563521217</v>
      </c>
      <c r="AD143" s="300">
        <f>IF(AD57&gt;0,'R&amp;C-Painel de Controle'!$O$71*(1-0.0925)*AD35/1000000,0)</f>
        <v>8.6290975899669764</v>
      </c>
      <c r="AE143" s="300">
        <f>IF(AE57&gt;0,'R&amp;C-Painel de Controle'!$O$71*(1-0.0925)*AE35/1000000,0)</f>
        <v>8.6696543486398223</v>
      </c>
      <c r="AF143" s="300">
        <f>IF(AF57&gt;0,'R&amp;C-Painel de Controle'!$O$71*(1-0.0925)*AF35/1000000,0)</f>
        <v>8.7104017240784266</v>
      </c>
      <c r="AG143" s="300">
        <f>IF(AG57&gt;0,'R&amp;C-Painel de Controle'!$O$71*(1-0.0925)*AG35/1000000,0)</f>
        <v>8.7513406121815951</v>
      </c>
      <c r="AH143" s="300">
        <f>IF(AH57&gt;0,'R&amp;C-Painel de Controle'!$O$71*(1-0.0925)*AH35/1000000,0)</f>
        <v>8.7924719130588471</v>
      </c>
      <c r="AI143" s="300">
        <f>IF(AI57&gt;0,'R&amp;C-Painel de Controle'!$O$71*(1-0.0925)*AI35/1000000,0)</f>
        <v>8.8337965310502238</v>
      </c>
      <c r="AJ143" s="300">
        <f>IF(AJ57&gt;0,'R&amp;C-Painel de Controle'!$O$71*(1-0.0925)*AJ35/1000000,0)</f>
        <v>8.8753153747461582</v>
      </c>
      <c r="AK143" s="300">
        <f>IF(AK57&gt;0,'R&amp;C-Painel de Controle'!$O$71*(1-0.0925)*AK35/1000000,0)</f>
        <v>8.9170293570074666</v>
      </c>
      <c r="AL143" s="300">
        <f>IF(AL57&gt;0,'R&amp;C-Painel de Controle'!$O$71*(1-0.0925)*AL35/1000000,0)</f>
        <v>8.9589393949853999</v>
      </c>
      <c r="AM143" s="300">
        <f>IF(AM57&gt;0,'R&amp;C-Painel de Controle'!$O$71*(1-0.0925)*AM35/1000000,0)</f>
        <v>9.0010464101418304</v>
      </c>
      <c r="AN143" s="300">
        <f>IF(AN57&gt;0,'R&amp;C-Painel de Controle'!$O$71*(1-0.0925)*AN35/1000000,0)</f>
        <v>9.0433513282694964</v>
      </c>
      <c r="AO143" s="300">
        <f>IF(AO57&gt;0,'R&amp;C-Painel de Controle'!$O$71*(1-0.0925)*AO35/1000000,0)</f>
        <v>9.0858550795123634</v>
      </c>
      <c r="AP143" s="300">
        <f>IF(AP57&gt;0,'R&amp;C-Painel de Controle'!$O$71*(1-0.0925)*AP35/1000000,0)</f>
        <v>9.1285585983860713</v>
      </c>
      <c r="AQ143" s="300">
        <f>IF(AQ57&gt;0,'R&amp;C-Painel de Controle'!$O$71*(1-0.0925)*AQ35/1000000,0)</f>
        <v>9.1714628237984854</v>
      </c>
      <c r="AR143" s="300">
        <f>IF(AR57&gt;0,'R&amp;C-Painel de Controle'!$O$71*(1-0.0925)*AR35/1000000,0)</f>
        <v>9.2145686990703375</v>
      </c>
      <c r="AS143" s="300">
        <f>IF(AS57&gt;0,'R&amp;C-Painel de Controle'!$O$71*(1-0.0925)*AS35/1000000,0)</f>
        <v>9.2578771719559665</v>
      </c>
      <c r="AT143" s="300">
        <f>IF(AT57&gt;0,'R&amp;C-Painel de Controle'!$O$71*(1-0.0925)*AT35/1000000,0)</f>
        <v>9.3013891946641589</v>
      </c>
      <c r="AU143" s="300">
        <f>IF(AU57&gt;0,'R&amp;C-Painel de Controle'!$O$71*(1-0.0925)*AU35/1000000,0)</f>
        <v>9.3451057238790796</v>
      </c>
      <c r="AV143" s="300">
        <f>IF(AV57&gt;0,'R&amp;C-Painel de Controle'!$O$71*(1-0.0925)*AV35/1000000,0)</f>
        <v>9.3890277207813106</v>
      </c>
      <c r="AW143" s="300">
        <f>IF(AW57&gt;0,'R&amp;C-Painel de Controle'!$O$71*(1-0.0925)*AW35/1000000,0)</f>
        <v>9.4331561510689834</v>
      </c>
      <c r="AX143" s="300">
        <f>IF(AX57&gt;0,'R&amp;C-Painel de Controle'!$O$71*(1-0.0925)*AX35/1000000,0)</f>
        <v>9.4774919849790074</v>
      </c>
      <c r="AY143" s="300">
        <f>IF(AY57&gt;0,'R&amp;C-Painel de Controle'!$O$71*(1-0.0925)*AY35/1000000,0)</f>
        <v>9.5220361973084078</v>
      </c>
      <c r="AZ143" s="300">
        <f>IF(AZ57&gt;0,'R&amp;C-Painel de Controle'!$O$71*(1-0.0925)*AZ35/1000000,0)</f>
        <v>9.5667897674357576</v>
      </c>
      <c r="BA143" s="300">
        <f>IF(BA57&gt;0,'R&amp;C-Painel de Controle'!$O$71*(1-0.0925)*BA35/1000000,0)</f>
        <v>9.6117536793427032</v>
      </c>
      <c r="BB143" s="300">
        <f>IF(BB57&gt;0,'R&amp;C-Painel de Controle'!$O$71*(1-0.0925)*BB35/1000000,0)</f>
        <v>9.6569289216356147</v>
      </c>
      <c r="BC143" s="300">
        <f>IF(BC57&gt;0,'R&amp;C-Painel de Controle'!$O$71*(1-0.0925)*BC35/1000000,0)</f>
        <v>9.7023164875673018</v>
      </c>
      <c r="BD143" s="280"/>
      <c r="BE143" s="280"/>
      <c r="BF143" s="280"/>
    </row>
    <row r="144" spans="2:58" s="192" customFormat="1" ht="18" hidden="1" customHeight="1" outlineLevel="1" x14ac:dyDescent="0.25">
      <c r="B144" s="732" t="str">
        <f>B113</f>
        <v>Aterro Sanitário</v>
      </c>
      <c r="C144" s="291" t="str">
        <f>C113</f>
        <v>Sim</v>
      </c>
      <c r="D144" s="291">
        <f>D113</f>
        <v>23353.825571249999</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30.240195166554528</v>
      </c>
      <c r="D148" s="281">
        <f t="shared" si="51"/>
        <v>30.382324083837332</v>
      </c>
      <c r="E148" s="281">
        <f t="shared" si="51"/>
        <v>30.525121007031359</v>
      </c>
      <c r="F148" s="281">
        <f t="shared" si="51"/>
        <v>30.668589075764405</v>
      </c>
      <c r="G148" s="281">
        <f t="shared" si="51"/>
        <v>30.8127314444205</v>
      </c>
      <c r="H148" s="281">
        <f t="shared" si="51"/>
        <v>30.957551282209273</v>
      </c>
      <c r="I148" s="281">
        <f t="shared" si="51"/>
        <v>31.103051773235656</v>
      </c>
      <c r="J148" s="281">
        <f t="shared" si="51"/>
        <v>31.249236116569861</v>
      </c>
      <c r="K148" s="281">
        <f t="shared" si="51"/>
        <v>31.396107526317735</v>
      </c>
      <c r="L148" s="281">
        <f t="shared" si="51"/>
        <v>31.543669231691428</v>
      </c>
      <c r="M148" s="281">
        <f t="shared" si="51"/>
        <v>31.691924477080377</v>
      </c>
      <c r="N148" s="281">
        <f t="shared" si="51"/>
        <v>31.840876522122652</v>
      </c>
      <c r="O148" s="281">
        <f t="shared" si="51"/>
        <v>31.990528641776628</v>
      </c>
      <c r="P148" s="281">
        <f t="shared" si="51"/>
        <v>32.140884126392969</v>
      </c>
      <c r="Q148" s="281">
        <f t="shared" si="51"/>
        <v>32.29194628178702</v>
      </c>
      <c r="R148" s="281">
        <f t="shared" si="51"/>
        <v>32.443718429311424</v>
      </c>
      <c r="S148" s="281">
        <f t="shared" si="51"/>
        <v>32.596203905929187</v>
      </c>
      <c r="T148" s="281">
        <f t="shared" si="51"/>
        <v>32.749406064287044</v>
      </c>
      <c r="U148" s="281">
        <f t="shared" si="51"/>
        <v>32.903328272789196</v>
      </c>
      <c r="V148" s="281">
        <f t="shared" si="51"/>
        <v>33.057973915671305</v>
      </c>
      <c r="W148" s="281">
        <f t="shared" si="51"/>
        <v>33.213346393074957</v>
      </c>
      <c r="X148" s="281">
        <f t="shared" si="51"/>
        <v>33.369449121122408</v>
      </c>
      <c r="Y148" s="281">
        <f t="shared" si="51"/>
        <v>33.526285531991682</v>
      </c>
      <c r="Z148" s="281">
        <f t="shared" si="51"/>
        <v>33.683859073992032</v>
      </c>
      <c r="AA148" s="281">
        <f t="shared" si="51"/>
        <v>33.842173211639796</v>
      </c>
      <c r="AB148" s="281">
        <f t="shared" si="51"/>
        <v>34.001231425734503</v>
      </c>
      <c r="AC148" s="281">
        <f t="shared" si="51"/>
        <v>34.161037213435456</v>
      </c>
      <c r="AD148" s="281">
        <f t="shared" si="51"/>
        <v>34.321594088338593</v>
      </c>
      <c r="AE148" s="281">
        <f t="shared" si="51"/>
        <v>34.482905580553783</v>
      </c>
      <c r="AF148" s="281">
        <f t="shared" si="51"/>
        <v>34.644975236782386</v>
      </c>
      <c r="AG148" s="281">
        <f t="shared" si="51"/>
        <v>34.807806620395255</v>
      </c>
      <c r="AH148" s="281">
        <f t="shared" si="51"/>
        <v>34.971403311511111</v>
      </c>
      <c r="AI148" s="281">
        <f t="shared" ref="AI148:BC148" si="52">AI35*$H$26*(1-0.0925-$C$10)/1000000+AI149</f>
        <v>35.135768907075217</v>
      </c>
      <c r="AJ148" s="281">
        <f t="shared" si="52"/>
        <v>35.300907020938467</v>
      </c>
      <c r="AK148" s="281">
        <f t="shared" si="52"/>
        <v>35.466821283936873</v>
      </c>
      <c r="AL148" s="281">
        <f t="shared" si="52"/>
        <v>35.633515343971375</v>
      </c>
      <c r="AM148" s="281">
        <f t="shared" si="52"/>
        <v>35.800992866088031</v>
      </c>
      <c r="AN148" s="281">
        <f t="shared" si="52"/>
        <v>35.969257532558643</v>
      </c>
      <c r="AO148" s="281">
        <f t="shared" si="52"/>
        <v>36.138313042961677</v>
      </c>
      <c r="AP148" s="281">
        <f t="shared" si="52"/>
        <v>36.308163114263593</v>
      </c>
      <c r="AQ148" s="281">
        <f t="shared" si="52"/>
        <v>36.478811480900625</v>
      </c>
      <c r="AR148" s="281">
        <f t="shared" si="52"/>
        <v>36.650261894860861</v>
      </c>
      <c r="AS148" s="281">
        <f t="shared" si="52"/>
        <v>36.822518125766699</v>
      </c>
      <c r="AT148" s="281">
        <f t="shared" si="52"/>
        <v>36.995583960957802</v>
      </c>
      <c r="AU148" s="281">
        <f t="shared" si="52"/>
        <v>37.169463205574296</v>
      </c>
      <c r="AV148" s="281">
        <f t="shared" si="52"/>
        <v>37.344159682640502</v>
      </c>
      <c r="AW148" s="281">
        <f t="shared" si="52"/>
        <v>37.519677233148919</v>
      </c>
      <c r="AX148" s="281">
        <f t="shared" si="52"/>
        <v>37.696019716144711</v>
      </c>
      <c r="AY148" s="281">
        <f t="shared" si="52"/>
        <v>37.873191008810579</v>
      </c>
      <c r="AZ148" s="281">
        <f t="shared" si="52"/>
        <v>38.051195006551986</v>
      </c>
      <c r="BA148" s="281">
        <f t="shared" si="52"/>
        <v>38.230035623082784</v>
      </c>
      <c r="BB148" s="281">
        <f t="shared" si="52"/>
        <v>38.409716790511268</v>
      </c>
      <c r="BC148" s="281">
        <f t="shared" si="52"/>
        <v>38.590242459426676</v>
      </c>
    </row>
    <row r="149" spans="2:58" s="192" customFormat="1" ht="16.899999999999999" customHeight="1" x14ac:dyDescent="0.25">
      <c r="B149" s="192" t="s">
        <v>897</v>
      </c>
      <c r="C149" s="281">
        <f>'R&amp;C-Painel de Controle'!D31*312*'R&amp;C-Painel de Controle'!H31*(1-0.0925-$C$10)/1000000</f>
        <v>2.6629360131651798</v>
      </c>
      <c r="D149" s="281">
        <f>C149*(1+'R&amp;C-Painel de Controle'!$D$27)</f>
        <v>2.6754518124270561</v>
      </c>
      <c r="E149" s="281">
        <f>D149*(1+'R&amp;C-Painel de Controle'!$D$27)</f>
        <v>2.6880264359454631</v>
      </c>
      <c r="F149" s="281">
        <f>E149*(1+'R&amp;C-Painel de Controle'!$D$27)</f>
        <v>2.7006601601944067</v>
      </c>
      <c r="G149" s="281">
        <f>F149*(1+'R&amp;C-Painel de Controle'!$D$27)</f>
        <v>2.71335326294732</v>
      </c>
      <c r="H149" s="281">
        <f>G149*(1+'R&amp;C-Painel de Controle'!$D$27)</f>
        <v>2.7261060232831724</v>
      </c>
      <c r="I149" s="281">
        <f>H149*(1+'R&amp;C-Painel de Controle'!$D$27)</f>
        <v>2.738918721592603</v>
      </c>
      <c r="J149" s="281">
        <f>I149*(1+'R&amp;C-Painel de Controle'!$D$27)</f>
        <v>2.7517916395840878</v>
      </c>
      <c r="K149" s="281">
        <f>J149*(1+'R&amp;C-Painel de Controle'!$D$27)</f>
        <v>2.7647250602901328</v>
      </c>
      <c r="L149" s="281">
        <f>K149*(1+'R&amp;C-Painel de Controle'!$D$27)</f>
        <v>2.7777192680734961</v>
      </c>
      <c r="M149" s="281">
        <f>L149*(1+'R&amp;C-Painel de Controle'!$D$27)</f>
        <v>2.7907745486334412</v>
      </c>
      <c r="N149" s="281">
        <f>M149*(1+'R&amp;C-Painel de Controle'!$D$27)</f>
        <v>2.8038911890120182</v>
      </c>
      <c r="O149" s="281">
        <f>N149*(1+'R&amp;C-Painel de Controle'!$D$27)</f>
        <v>2.8170694776003744</v>
      </c>
      <c r="P149" s="281">
        <f>O149*(1+'R&amp;C-Painel de Controle'!$D$27)</f>
        <v>2.8303097041450958</v>
      </c>
      <c r="Q149" s="281">
        <f>P149*(1+'R&amp;C-Painel de Controle'!$D$27)</f>
        <v>2.8436121597545774</v>
      </c>
      <c r="R149" s="281">
        <f>Q149*(1+'R&amp;C-Painel de Controle'!$D$27)</f>
        <v>2.8569771369054235</v>
      </c>
      <c r="S149" s="281">
        <f>R149*(1+'R&amp;C-Painel de Controle'!$D$27)</f>
        <v>2.8704049294488789</v>
      </c>
      <c r="T149" s="281">
        <f>S149*(1+'R&amp;C-Painel de Controle'!$D$27)</f>
        <v>2.8838958326172883</v>
      </c>
      <c r="U149" s="281">
        <f>T149*(1+'R&amp;C-Painel de Controle'!$D$27)</f>
        <v>2.8974501430305892</v>
      </c>
      <c r="V149" s="281">
        <f>U149*(1+'R&amp;C-Painel de Controle'!$D$27)</f>
        <v>2.9110681587028329</v>
      </c>
      <c r="W149" s="281">
        <f>V149*(1+'R&amp;C-Painel de Controle'!$D$27)</f>
        <v>2.9247501790487358</v>
      </c>
      <c r="X149" s="281">
        <f>W149*(1+'R&amp;C-Painel de Controle'!$D$27)</f>
        <v>2.9384965048902645</v>
      </c>
      <c r="Y149" s="281">
        <f>X149*(1+'R&amp;C-Painel de Controle'!$D$27)</f>
        <v>2.9523074384632486</v>
      </c>
      <c r="Z149" s="281">
        <f>Y149*(1+'R&amp;C-Painel de Controle'!$D$27)</f>
        <v>2.9661832834240256</v>
      </c>
      <c r="AA149" s="281">
        <f>Z149*(1+'R&amp;C-Painel de Controle'!$D$27)</f>
        <v>2.9801243448561183</v>
      </c>
      <c r="AB149" s="281">
        <f>AA149*(1+'R&amp;C-Painel de Controle'!$D$27)</f>
        <v>2.9941309292769418</v>
      </c>
      <c r="AC149" s="281">
        <f>AB149*(1+'R&amp;C-Painel de Controle'!$D$27)</f>
        <v>3.0082033446445431</v>
      </c>
      <c r="AD149" s="281">
        <f>AC149*(1+'R&amp;C-Painel de Controle'!$D$27)</f>
        <v>3.0223419003643723</v>
      </c>
      <c r="AE149" s="281">
        <f>AD149*(1+'R&amp;C-Painel de Controle'!$D$27)</f>
        <v>3.0365469072960845</v>
      </c>
      <c r="AF149" s="281">
        <f>AE149*(1+'R&amp;C-Painel de Controle'!$D$27)</f>
        <v>3.0508186777603759</v>
      </c>
      <c r="AG149" s="281">
        <f>AF149*(1+'R&amp;C-Painel de Controle'!$D$27)</f>
        <v>3.0651575255458492</v>
      </c>
      <c r="AH149" s="281">
        <f>AG149*(1+'R&amp;C-Painel de Controle'!$D$27)</f>
        <v>3.0795637659159145</v>
      </c>
      <c r="AI149" s="281">
        <f>AH149*(1+'R&amp;C-Painel de Controle'!$D$27)</f>
        <v>3.0940377156157193</v>
      </c>
      <c r="AJ149" s="281">
        <f>AI149*(1+'R&amp;C-Painel de Controle'!$D$27)</f>
        <v>3.108579692879113</v>
      </c>
      <c r="AK149" s="281">
        <f>AJ149*(1+'R&amp;C-Painel de Controle'!$D$27)</f>
        <v>3.1231900174356446</v>
      </c>
      <c r="AL149" s="281">
        <f>AK149*(1+'R&amp;C-Painel de Controle'!$D$27)</f>
        <v>3.1378690105175919</v>
      </c>
      <c r="AM149" s="281">
        <f>AL149*(1+'R&amp;C-Painel de Controle'!$D$27)</f>
        <v>3.1526169948670244</v>
      </c>
      <c r="AN149" s="281">
        <f>AM149*(1+'R&amp;C-Painel de Controle'!$D$27)</f>
        <v>3.1674342947428991</v>
      </c>
      <c r="AO149" s="281">
        <f>AN149*(1+'R&amp;C-Painel de Controle'!$D$27)</f>
        <v>3.1823212359281903</v>
      </c>
      <c r="AP149" s="281">
        <f>AO149*(1+'R&amp;C-Painel de Controle'!$D$27)</f>
        <v>3.1972781457370525</v>
      </c>
      <c r="AQ149" s="281">
        <f>AP149*(1+'R&amp;C-Painel de Controle'!$D$27)</f>
        <v>3.2123053530220163</v>
      </c>
      <c r="AR149" s="281">
        <f>AQ149*(1+'R&amp;C-Painel de Controle'!$D$27)</f>
        <v>3.2274031881812193</v>
      </c>
      <c r="AS149" s="281">
        <f>AR149*(1+'R&amp;C-Painel de Controle'!$D$27)</f>
        <v>3.242571983165671</v>
      </c>
      <c r="AT149" s="281">
        <f>AS149*(1+'R&amp;C-Painel de Controle'!$D$27)</f>
        <v>3.2578120714865495</v>
      </c>
      <c r="AU149" s="281">
        <f>AT149*(1+'R&amp;C-Painel de Controle'!$D$27)</f>
        <v>3.2731237882225361</v>
      </c>
      <c r="AV149" s="281">
        <f>AU149*(1+'R&amp;C-Painel de Controle'!$D$27)</f>
        <v>3.2885074700271817</v>
      </c>
      <c r="AW149" s="281">
        <f>AV149*(1+'R&amp;C-Painel de Controle'!$D$27)</f>
        <v>3.3039634551363091</v>
      </c>
      <c r="AX149" s="281">
        <f>AW149*(1+'R&amp;C-Painel de Controle'!$D$27)</f>
        <v>3.3194920833754495</v>
      </c>
      <c r="AY149" s="281">
        <f>AX149*(1+'R&amp;C-Painel de Controle'!$D$27)</f>
        <v>3.3350936961673141</v>
      </c>
      <c r="AZ149" s="281">
        <f>AY149*(1+'R&amp;C-Painel de Controle'!$D$27)</f>
        <v>3.3507686365393003</v>
      </c>
      <c r="BA149" s="281">
        <f>AZ149*(1+'R&amp;C-Painel de Controle'!$D$27)</f>
        <v>3.3665172491310349</v>
      </c>
      <c r="BB149" s="281">
        <f>BA149*(1+'R&amp;C-Painel de Controle'!$D$27)</f>
        <v>3.3823398802019504</v>
      </c>
      <c r="BC149" s="281">
        <f>BB149*(1+'R&amp;C-Painel de Controle'!$D$27)</f>
        <v>3.3982368776388991</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29.071048375013529</v>
      </c>
      <c r="D151" s="282">
        <f t="shared" si="53"/>
        <v>29.213177292296333</v>
      </c>
      <c r="E151" s="282">
        <f t="shared" si="53"/>
        <v>29.35597421549036</v>
      </c>
      <c r="F151" s="282">
        <f t="shared" si="53"/>
        <v>1.9531055020367347</v>
      </c>
      <c r="G151" s="282">
        <f t="shared" si="53"/>
        <v>2.0972478706928293</v>
      </c>
      <c r="H151" s="282">
        <f t="shared" si="53"/>
        <v>2.2420677084816028</v>
      </c>
      <c r="I151" s="282">
        <f t="shared" si="53"/>
        <v>2.3875681995079852</v>
      </c>
      <c r="J151" s="282">
        <f t="shared" si="53"/>
        <v>2.5337525428421905</v>
      </c>
      <c r="K151" s="282">
        <f t="shared" si="53"/>
        <v>2.6806239525900644</v>
      </c>
      <c r="L151" s="282">
        <f t="shared" si="53"/>
        <v>2.8281856579637576</v>
      </c>
      <c r="M151" s="282">
        <f t="shared" si="53"/>
        <v>2.9764409033527066</v>
      </c>
      <c r="N151" s="282">
        <f t="shared" si="53"/>
        <v>3.1253929483949818</v>
      </c>
      <c r="O151" s="282">
        <f t="shared" si="53"/>
        <v>3.2750450680489571</v>
      </c>
      <c r="P151" s="282">
        <f t="shared" si="53"/>
        <v>3.4254005526652982</v>
      </c>
      <c r="Q151" s="282">
        <f t="shared" si="53"/>
        <v>3.5764627080593492</v>
      </c>
      <c r="R151" s="282">
        <f t="shared" si="53"/>
        <v>3.7282348555837537</v>
      </c>
      <c r="S151" s="282">
        <f t="shared" si="53"/>
        <v>3.8807203322015162</v>
      </c>
      <c r="T151" s="282">
        <f t="shared" si="53"/>
        <v>4.0339224905593731</v>
      </c>
      <c r="U151" s="282">
        <f t="shared" si="53"/>
        <v>4.1878446990615252</v>
      </c>
      <c r="V151" s="282">
        <f t="shared" si="53"/>
        <v>4.342490341943634</v>
      </c>
      <c r="W151" s="282">
        <f t="shared" si="53"/>
        <v>4.4978628193472865</v>
      </c>
      <c r="X151" s="282">
        <f t="shared" si="53"/>
        <v>4.653965547394737</v>
      </c>
      <c r="Y151" s="282">
        <f t="shared" si="53"/>
        <v>4.8108019582640118</v>
      </c>
      <c r="Z151" s="282">
        <f t="shared" si="53"/>
        <v>4.9683755002643615</v>
      </c>
      <c r="AA151" s="282">
        <f t="shared" si="53"/>
        <v>5.1266896379121256</v>
      </c>
      <c r="AB151" s="282">
        <f t="shared" si="53"/>
        <v>5.2857478520068319</v>
      </c>
      <c r="AC151" s="282">
        <f t="shared" si="53"/>
        <v>5.4455536397077857</v>
      </c>
      <c r="AD151" s="282">
        <f t="shared" si="53"/>
        <v>5.606110514610922</v>
      </c>
      <c r="AE151" s="282">
        <f t="shared" si="53"/>
        <v>5.7674220068261128</v>
      </c>
      <c r="AF151" s="282">
        <f t="shared" si="53"/>
        <v>5.9294916630547156</v>
      </c>
      <c r="AG151" s="282">
        <f t="shared" si="53"/>
        <v>6.092323046667584</v>
      </c>
      <c r="AH151" s="282">
        <f t="shared" si="53"/>
        <v>6.2559197377834401</v>
      </c>
      <c r="AI151" s="282">
        <f t="shared" si="53"/>
        <v>6.4202853333475467</v>
      </c>
      <c r="AJ151" s="282">
        <f t="shared" si="53"/>
        <v>6.5854234472107969</v>
      </c>
      <c r="AK151" s="282">
        <f t="shared" si="53"/>
        <v>6.7513377102092029</v>
      </c>
      <c r="AL151" s="282">
        <f t="shared" si="53"/>
        <v>6.9180317702437044</v>
      </c>
      <c r="AM151" s="282">
        <f t="shared" si="53"/>
        <v>7.08550929236036</v>
      </c>
      <c r="AN151" s="282">
        <f t="shared" si="53"/>
        <v>7.2537739588309726</v>
      </c>
      <c r="AO151" s="282">
        <f t="shared" si="53"/>
        <v>7.4228294692340064</v>
      </c>
      <c r="AP151" s="282">
        <f t="shared" si="53"/>
        <v>7.5926795405359222</v>
      </c>
      <c r="AQ151" s="282">
        <f t="shared" si="53"/>
        <v>7.763327907172954</v>
      </c>
      <c r="AR151" s="282">
        <f t="shared" si="53"/>
        <v>7.9347783211331908</v>
      </c>
      <c r="AS151" s="282">
        <f t="shared" si="53"/>
        <v>8.1070345520390283</v>
      </c>
      <c r="AT151" s="282">
        <f t="shared" si="53"/>
        <v>8.2801003872301315</v>
      </c>
      <c r="AU151" s="282">
        <f t="shared" si="53"/>
        <v>8.4539796318466252</v>
      </c>
      <c r="AV151" s="282">
        <f t="shared" si="53"/>
        <v>8.6286761089128312</v>
      </c>
      <c r="AW151" s="282">
        <f t="shared" si="53"/>
        <v>8.804193659421248</v>
      </c>
      <c r="AX151" s="282">
        <f t="shared" si="53"/>
        <v>8.9805361424170407</v>
      </c>
      <c r="AY151" s="282">
        <f t="shared" si="53"/>
        <v>9.1577074350829086</v>
      </c>
      <c r="AZ151" s="282">
        <f t="shared" si="53"/>
        <v>9.3357114328243149</v>
      </c>
      <c r="BA151" s="282">
        <f t="shared" si="53"/>
        <v>9.5145520493551139</v>
      </c>
      <c r="BB151" s="282">
        <f t="shared" si="53"/>
        <v>9.6942332167835978</v>
      </c>
      <c r="BC151" s="282">
        <f t="shared" si="53"/>
        <v>9.8747588856990056</v>
      </c>
    </row>
    <row r="152" spans="2:58" s="192" customFormat="1" ht="16.899999999999999" customHeight="1" outlineLevel="1" x14ac:dyDescent="0.25">
      <c r="B152" s="192" t="s">
        <v>364</v>
      </c>
      <c r="C152" s="282">
        <f>C63</f>
        <v>46.822789687144734</v>
      </c>
      <c r="D152" s="282">
        <f>IF(SUM($C$152:C152)&lt;'R&amp;C-Painel de Controle'!$H$24,D63,0)</f>
        <v>73.042228218313511</v>
      </c>
      <c r="E152" s="282">
        <f>IF(SUM($C$152:D152)&lt;'R&amp;C-Painel de Controle'!$H$24,E63,0)</f>
        <v>63.817446338375426</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-17.751741312131205</v>
      </c>
      <c r="D153" s="282">
        <f t="shared" si="54"/>
        <v>-43.829050926017175</v>
      </c>
      <c r="E153" s="282">
        <f t="shared" si="54"/>
        <v>-34.46147212288507</v>
      </c>
      <c r="F153" s="282">
        <f t="shared" si="54"/>
        <v>1.9531055020367347</v>
      </c>
      <c r="G153" s="282">
        <f t="shared" si="54"/>
        <v>2.0972478706928293</v>
      </c>
      <c r="H153" s="282">
        <f t="shared" si="54"/>
        <v>2.2420677084816028</v>
      </c>
      <c r="I153" s="282">
        <f t="shared" si="54"/>
        <v>2.3875681995079852</v>
      </c>
      <c r="J153" s="282">
        <f t="shared" si="54"/>
        <v>2.5337525428421905</v>
      </c>
      <c r="K153" s="282">
        <f t="shared" si="54"/>
        <v>2.6806239525900644</v>
      </c>
      <c r="L153" s="282">
        <f t="shared" si="54"/>
        <v>2.8281856579637576</v>
      </c>
      <c r="M153" s="282">
        <f t="shared" si="54"/>
        <v>2.9764409033527066</v>
      </c>
      <c r="N153" s="282">
        <f t="shared" si="54"/>
        <v>3.1253929483949818</v>
      </c>
      <c r="O153" s="282">
        <f t="shared" si="54"/>
        <v>3.2750450680489571</v>
      </c>
      <c r="P153" s="282">
        <f t="shared" si="54"/>
        <v>3.4254005526652982</v>
      </c>
      <c r="Q153" s="282">
        <f t="shared" si="54"/>
        <v>3.5764627080593492</v>
      </c>
      <c r="R153" s="282">
        <f t="shared" si="54"/>
        <v>3.7282348555837537</v>
      </c>
      <c r="S153" s="282">
        <f t="shared" si="54"/>
        <v>3.8807203322015162</v>
      </c>
      <c r="T153" s="282">
        <f t="shared" si="54"/>
        <v>4.0339224905593731</v>
      </c>
      <c r="U153" s="282">
        <f t="shared" si="54"/>
        <v>4.1878446990615252</v>
      </c>
      <c r="V153" s="282">
        <f t="shared" si="54"/>
        <v>4.342490341943634</v>
      </c>
      <c r="W153" s="282">
        <f t="shared" si="54"/>
        <v>4.4978628193472865</v>
      </c>
      <c r="X153" s="282">
        <f t="shared" si="54"/>
        <v>4.653965547394737</v>
      </c>
      <c r="Y153" s="282">
        <f t="shared" si="54"/>
        <v>4.8108019582640118</v>
      </c>
      <c r="Z153" s="282">
        <f t="shared" si="54"/>
        <v>4.9683755002643615</v>
      </c>
      <c r="AA153" s="282">
        <f t="shared" si="54"/>
        <v>5.1266896379121256</v>
      </c>
      <c r="AB153" s="282">
        <f t="shared" si="54"/>
        <v>5.2857478520068319</v>
      </c>
      <c r="AC153" s="282">
        <f t="shared" si="54"/>
        <v>5.4455536397077857</v>
      </c>
      <c r="AD153" s="282">
        <f t="shared" si="54"/>
        <v>5.606110514610922</v>
      </c>
      <c r="AE153" s="282">
        <f t="shared" si="54"/>
        <v>5.7674220068261128</v>
      </c>
      <c r="AF153" s="282">
        <f t="shared" si="54"/>
        <v>5.9294916630547156</v>
      </c>
      <c r="AG153" s="282">
        <f t="shared" si="54"/>
        <v>6.092323046667584</v>
      </c>
      <c r="AH153" s="282">
        <f t="shared" si="54"/>
        <v>6.2559197377834401</v>
      </c>
      <c r="AI153" s="282">
        <f t="shared" si="54"/>
        <v>6.4202853333475467</v>
      </c>
      <c r="AJ153" s="282">
        <f t="shared" si="54"/>
        <v>6.5854234472107969</v>
      </c>
      <c r="AK153" s="282">
        <f t="shared" si="54"/>
        <v>6.7513377102092029</v>
      </c>
      <c r="AL153" s="282">
        <f t="shared" si="54"/>
        <v>6.9180317702437044</v>
      </c>
      <c r="AM153" s="282">
        <f t="shared" si="54"/>
        <v>7.08550929236036</v>
      </c>
      <c r="AN153" s="282">
        <f t="shared" si="54"/>
        <v>7.2537739588309726</v>
      </c>
      <c r="AO153" s="282">
        <f t="shared" si="54"/>
        <v>7.4228294692340064</v>
      </c>
      <c r="AP153" s="282">
        <f t="shared" si="54"/>
        <v>7.5926795405359222</v>
      </c>
      <c r="AQ153" s="282">
        <f t="shared" si="54"/>
        <v>7.763327907172954</v>
      </c>
      <c r="AR153" s="282">
        <f t="shared" si="54"/>
        <v>7.9347783211331908</v>
      </c>
      <c r="AS153" s="282">
        <f t="shared" si="54"/>
        <v>8.1070345520390283</v>
      </c>
      <c r="AT153" s="282">
        <f t="shared" si="54"/>
        <v>8.2801003872301315</v>
      </c>
      <c r="AU153" s="282">
        <f t="shared" si="54"/>
        <v>8.4539796318466252</v>
      </c>
      <c r="AV153" s="282">
        <f t="shared" si="54"/>
        <v>8.6286761089128312</v>
      </c>
      <c r="AW153" s="282">
        <f t="shared" si="54"/>
        <v>8.804193659421248</v>
      </c>
      <c r="AX153" s="282">
        <f t="shared" si="54"/>
        <v>8.9805361424170407</v>
      </c>
      <c r="AY153" s="282">
        <f t="shared" si="54"/>
        <v>9.1577074350829086</v>
      </c>
      <c r="AZ153" s="282">
        <f t="shared" si="54"/>
        <v>9.3357114328243149</v>
      </c>
      <c r="BA153" s="282">
        <f t="shared" si="54"/>
        <v>9.5145520493551139</v>
      </c>
      <c r="BB153" s="282">
        <f t="shared" si="54"/>
        <v>9.6942332167835978</v>
      </c>
      <c r="BC153" s="282">
        <f t="shared" si="54"/>
        <v>9.8747588856990056</v>
      </c>
    </row>
    <row r="154" spans="2:58" s="192" customFormat="1" ht="16.899999999999999" customHeight="1" outlineLevel="1" x14ac:dyDescent="0.25">
      <c r="B154" s="276" t="s">
        <v>366</v>
      </c>
      <c r="C154" s="282">
        <f>IF((C153&gt;0),C153*(1-($C$26+$C$25)),C153)</f>
        <v>-17.751741312131205</v>
      </c>
      <c r="D154" s="282">
        <f t="shared" ref="D154:BC154" si="55">IF((D153&gt;0),D153*(1-($C$26+$C$25)),D153)</f>
        <v>-43.829050926017175</v>
      </c>
      <c r="E154" s="282">
        <f t="shared" si="55"/>
        <v>-34.46147212288507</v>
      </c>
      <c r="F154" s="282">
        <f t="shared" si="55"/>
        <v>1.289049631344245</v>
      </c>
      <c r="G154" s="282">
        <f t="shared" si="55"/>
        <v>1.3841835946572674</v>
      </c>
      <c r="H154" s="282">
        <f t="shared" si="55"/>
        <v>1.4797646875978578</v>
      </c>
      <c r="I154" s="282">
        <f t="shared" si="55"/>
        <v>1.5757950116752704</v>
      </c>
      <c r="J154" s="282">
        <f t="shared" si="55"/>
        <v>1.6722766782758458</v>
      </c>
      <c r="K154" s="282">
        <f t="shared" si="55"/>
        <v>1.7692118087094426</v>
      </c>
      <c r="L154" s="282">
        <f t="shared" si="55"/>
        <v>1.8666025342560801</v>
      </c>
      <c r="M154" s="282">
        <f t="shared" si="55"/>
        <v>1.9644509962127865</v>
      </c>
      <c r="N154" s="282">
        <f t="shared" si="55"/>
        <v>2.0627593459406879</v>
      </c>
      <c r="O154" s="282">
        <f t="shared" si="55"/>
        <v>2.1615297449123116</v>
      </c>
      <c r="P154" s="282">
        <f t="shared" si="55"/>
        <v>2.2607643647590967</v>
      </c>
      <c r="Q154" s="282">
        <f t="shared" si="55"/>
        <v>2.3604653873191705</v>
      </c>
      <c r="R154" s="282">
        <f t="shared" si="55"/>
        <v>2.4606350046852774</v>
      </c>
      <c r="S154" s="282">
        <f t="shared" si="55"/>
        <v>2.561275419253001</v>
      </c>
      <c r="T154" s="282">
        <f t="shared" si="55"/>
        <v>2.6623888437691865</v>
      </c>
      <c r="U154" s="282">
        <f t="shared" si="55"/>
        <v>2.7639775013806069</v>
      </c>
      <c r="V154" s="282">
        <f t="shared" si="55"/>
        <v>2.8660436256827988</v>
      </c>
      <c r="W154" s="282">
        <f t="shared" si="55"/>
        <v>2.9685894607692092</v>
      </c>
      <c r="X154" s="282">
        <f t="shared" si="55"/>
        <v>3.0716172612805264</v>
      </c>
      <c r="Y154" s="282">
        <f t="shared" si="55"/>
        <v>3.175129292454248</v>
      </c>
      <c r="Z154" s="282">
        <f t="shared" si="55"/>
        <v>3.2791278301744788</v>
      </c>
      <c r="AA154" s="282">
        <f t="shared" si="55"/>
        <v>3.3836151610220031</v>
      </c>
      <c r="AB154" s="282">
        <f t="shared" si="55"/>
        <v>3.4885935823245093</v>
      </c>
      <c r="AC154" s="282">
        <f t="shared" si="55"/>
        <v>3.5940654022071388</v>
      </c>
      <c r="AD154" s="282">
        <f t="shared" si="55"/>
        <v>3.7000329396432088</v>
      </c>
      <c r="AE154" s="282">
        <f t="shared" si="55"/>
        <v>3.8064985245052347</v>
      </c>
      <c r="AF154" s="282">
        <f t="shared" si="55"/>
        <v>3.9134644976161126</v>
      </c>
      <c r="AG154" s="282">
        <f t="shared" si="55"/>
        <v>4.0209332108006057</v>
      </c>
      <c r="AH154" s="282">
        <f t="shared" si="55"/>
        <v>4.1289070269370702</v>
      </c>
      <c r="AI154" s="282">
        <f t="shared" si="55"/>
        <v>4.2373883200093809</v>
      </c>
      <c r="AJ154" s="282">
        <f t="shared" si="55"/>
        <v>4.346379475159126</v>
      </c>
      <c r="AK154" s="282">
        <f t="shared" si="55"/>
        <v>4.4558828887380741</v>
      </c>
      <c r="AL154" s="282">
        <f t="shared" si="55"/>
        <v>4.5659009683608449</v>
      </c>
      <c r="AM154" s="282">
        <f t="shared" si="55"/>
        <v>4.6764361329578374</v>
      </c>
      <c r="AN154" s="282">
        <f t="shared" si="55"/>
        <v>4.7874908128284419</v>
      </c>
      <c r="AO154" s="282">
        <f t="shared" si="55"/>
        <v>4.8990674496944449</v>
      </c>
      <c r="AP154" s="282">
        <f t="shared" si="55"/>
        <v>5.0111684967537089</v>
      </c>
      <c r="AQ154" s="282">
        <f t="shared" si="55"/>
        <v>5.12379641873415</v>
      </c>
      <c r="AR154" s="282">
        <f t="shared" si="55"/>
        <v>5.2369536919479058</v>
      </c>
      <c r="AS154" s="282">
        <f t="shared" si="55"/>
        <v>5.3506428043457586</v>
      </c>
      <c r="AT154" s="282">
        <f t="shared" si="55"/>
        <v>5.464866255571887</v>
      </c>
      <c r="AU154" s="282">
        <f t="shared" si="55"/>
        <v>5.5796265570187726</v>
      </c>
      <c r="AV154" s="282">
        <f t="shared" si="55"/>
        <v>5.6949262318824685</v>
      </c>
      <c r="AW154" s="282">
        <f t="shared" si="55"/>
        <v>5.810767815218024</v>
      </c>
      <c r="AX154" s="282">
        <f t="shared" si="55"/>
        <v>5.9271538539952475</v>
      </c>
      <c r="AY154" s="282">
        <f t="shared" si="55"/>
        <v>6.0440869071547203</v>
      </c>
      <c r="AZ154" s="282">
        <f t="shared" si="55"/>
        <v>6.1615695456640482</v>
      </c>
      <c r="BA154" s="282">
        <f t="shared" si="55"/>
        <v>6.2796043525743759</v>
      </c>
      <c r="BB154" s="282">
        <f t="shared" si="55"/>
        <v>6.3981939230771747</v>
      </c>
      <c r="BC154" s="282">
        <f t="shared" si="55"/>
        <v>6.5173408645613442</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-17.751741312131205</v>
      </c>
      <c r="D156" s="282">
        <f t="shared" ref="D156:BC156" si="56">D154</f>
        <v>-43.829050926017175</v>
      </c>
      <c r="E156" s="282">
        <f t="shared" si="56"/>
        <v>-34.46147212288507</v>
      </c>
      <c r="F156" s="282">
        <f t="shared" si="56"/>
        <v>1.289049631344245</v>
      </c>
      <c r="G156" s="282">
        <f t="shared" si="56"/>
        <v>1.3841835946572674</v>
      </c>
      <c r="H156" s="282">
        <f t="shared" si="56"/>
        <v>1.4797646875978578</v>
      </c>
      <c r="I156" s="282">
        <f t="shared" si="56"/>
        <v>1.5757950116752704</v>
      </c>
      <c r="J156" s="282">
        <f t="shared" si="56"/>
        <v>1.6722766782758458</v>
      </c>
      <c r="K156" s="282">
        <f t="shared" si="56"/>
        <v>1.7692118087094426</v>
      </c>
      <c r="L156" s="282">
        <f t="shared" si="56"/>
        <v>1.8666025342560801</v>
      </c>
      <c r="M156" s="282">
        <f t="shared" si="56"/>
        <v>1.9644509962127865</v>
      </c>
      <c r="N156" s="282">
        <f t="shared" si="56"/>
        <v>2.0627593459406879</v>
      </c>
      <c r="O156" s="282">
        <f t="shared" si="56"/>
        <v>2.1615297449123116</v>
      </c>
      <c r="P156" s="282">
        <f t="shared" si="56"/>
        <v>2.2607643647590967</v>
      </c>
      <c r="Q156" s="282">
        <f t="shared" si="56"/>
        <v>2.3604653873191705</v>
      </c>
      <c r="R156" s="282">
        <f t="shared" si="56"/>
        <v>2.4606350046852774</v>
      </c>
      <c r="S156" s="282">
        <f t="shared" si="56"/>
        <v>2.561275419253001</v>
      </c>
      <c r="T156" s="282">
        <f t="shared" si="56"/>
        <v>2.6623888437691865</v>
      </c>
      <c r="U156" s="282">
        <f t="shared" si="56"/>
        <v>2.7639775013806069</v>
      </c>
      <c r="V156" s="282">
        <f t="shared" si="56"/>
        <v>2.8660436256827988</v>
      </c>
      <c r="W156" s="282">
        <f t="shared" si="56"/>
        <v>2.9685894607692092</v>
      </c>
      <c r="X156" s="282">
        <f t="shared" si="56"/>
        <v>3.0716172612805264</v>
      </c>
      <c r="Y156" s="282">
        <f t="shared" si="56"/>
        <v>3.175129292454248</v>
      </c>
      <c r="Z156" s="282">
        <f t="shared" si="56"/>
        <v>3.2791278301744788</v>
      </c>
      <c r="AA156" s="282">
        <f t="shared" si="56"/>
        <v>3.3836151610220031</v>
      </c>
      <c r="AB156" s="282">
        <f t="shared" si="56"/>
        <v>3.4885935823245093</v>
      </c>
      <c r="AC156" s="282">
        <f t="shared" si="56"/>
        <v>3.5940654022071388</v>
      </c>
      <c r="AD156" s="282">
        <f t="shared" si="56"/>
        <v>3.7000329396432088</v>
      </c>
      <c r="AE156" s="282">
        <f t="shared" si="56"/>
        <v>3.8064985245052347</v>
      </c>
      <c r="AF156" s="282">
        <f t="shared" si="56"/>
        <v>3.9134644976161126</v>
      </c>
      <c r="AG156" s="282">
        <f t="shared" si="56"/>
        <v>4.0209332108006057</v>
      </c>
      <c r="AH156" s="282">
        <f t="shared" si="56"/>
        <v>4.1289070269370702</v>
      </c>
      <c r="AI156" s="282">
        <f t="shared" si="56"/>
        <v>4.2373883200093809</v>
      </c>
      <c r="AJ156" s="282">
        <f t="shared" si="56"/>
        <v>4.346379475159126</v>
      </c>
      <c r="AK156" s="282">
        <f t="shared" si="56"/>
        <v>4.4558828887380741</v>
      </c>
      <c r="AL156" s="282">
        <f t="shared" si="56"/>
        <v>4.5659009683608449</v>
      </c>
      <c r="AM156" s="282">
        <f t="shared" si="56"/>
        <v>4.6764361329578374</v>
      </c>
      <c r="AN156" s="282">
        <f t="shared" si="56"/>
        <v>4.7874908128284419</v>
      </c>
      <c r="AO156" s="282">
        <f t="shared" si="56"/>
        <v>4.8990674496944449</v>
      </c>
      <c r="AP156" s="282">
        <f t="shared" si="56"/>
        <v>5.0111684967537089</v>
      </c>
      <c r="AQ156" s="282">
        <f t="shared" si="56"/>
        <v>5.12379641873415</v>
      </c>
      <c r="AR156" s="282">
        <f t="shared" si="56"/>
        <v>5.2369536919479058</v>
      </c>
      <c r="AS156" s="282">
        <f t="shared" si="56"/>
        <v>5.3506428043457586</v>
      </c>
      <c r="AT156" s="282">
        <f t="shared" si="56"/>
        <v>5.464866255571887</v>
      </c>
      <c r="AU156" s="282">
        <f t="shared" si="56"/>
        <v>5.5796265570187726</v>
      </c>
      <c r="AV156" s="282">
        <f t="shared" si="56"/>
        <v>5.6949262318824685</v>
      </c>
      <c r="AW156" s="282">
        <f t="shared" si="56"/>
        <v>5.810767815218024</v>
      </c>
      <c r="AX156" s="282">
        <f t="shared" si="56"/>
        <v>5.9271538539952475</v>
      </c>
      <c r="AY156" s="282">
        <f t="shared" si="56"/>
        <v>6.0440869071547203</v>
      </c>
      <c r="AZ156" s="282">
        <f t="shared" si="56"/>
        <v>6.1615695456640482</v>
      </c>
      <c r="BA156" s="282">
        <f t="shared" si="56"/>
        <v>6.2796043525743759</v>
      </c>
      <c r="BB156" s="282">
        <f t="shared" si="56"/>
        <v>6.3981939230771747</v>
      </c>
      <c r="BC156" s="282">
        <f t="shared" si="56"/>
        <v>6.5173408645613442</v>
      </c>
    </row>
    <row r="157" spans="2:58" s="192" customFormat="1" ht="16.899999999999999" customHeight="1" outlineLevel="1" x14ac:dyDescent="0.25">
      <c r="B157" s="192" t="s">
        <v>416</v>
      </c>
      <c r="C157" s="282">
        <f>C156</f>
        <v>-17.751741312131205</v>
      </c>
      <c r="D157" s="282">
        <f t="shared" ref="D157:BC157" si="57">C157+D156</f>
        <v>-61.580792238148376</v>
      </c>
      <c r="E157" s="282">
        <f t="shared" si="57"/>
        <v>-96.042264361033446</v>
      </c>
      <c r="F157" s="282">
        <f t="shared" si="57"/>
        <v>-94.753214729689205</v>
      </c>
      <c r="G157" s="282">
        <f t="shared" si="57"/>
        <v>-93.369031135031932</v>
      </c>
      <c r="H157" s="282">
        <f t="shared" si="57"/>
        <v>-91.889266447434068</v>
      </c>
      <c r="I157" s="282">
        <f t="shared" si="57"/>
        <v>-90.3134714357588</v>
      </c>
      <c r="J157" s="282">
        <f t="shared" si="57"/>
        <v>-88.64119475748295</v>
      </c>
      <c r="K157" s="282">
        <f t="shared" si="57"/>
        <v>-86.871982948773507</v>
      </c>
      <c r="L157" s="282">
        <f t="shared" si="57"/>
        <v>-85.005380414517433</v>
      </c>
      <c r="M157" s="282">
        <f t="shared" si="57"/>
        <v>-83.040929418304643</v>
      </c>
      <c r="N157" s="282">
        <f t="shared" si="57"/>
        <v>-80.978170072363952</v>
      </c>
      <c r="O157" s="282">
        <f t="shared" si="57"/>
        <v>-78.816640327451637</v>
      </c>
      <c r="P157" s="282">
        <f t="shared" si="57"/>
        <v>-76.555875962692539</v>
      </c>
      <c r="Q157" s="282">
        <f t="shared" si="57"/>
        <v>-74.195410575373373</v>
      </c>
      <c r="R157" s="282">
        <f t="shared" si="57"/>
        <v>-71.7347755706881</v>
      </c>
      <c r="S157" s="282">
        <f t="shared" si="57"/>
        <v>-69.173500151435093</v>
      </c>
      <c r="T157" s="282">
        <f t="shared" si="57"/>
        <v>-66.5111113076659</v>
      </c>
      <c r="U157" s="282">
        <f t="shared" si="57"/>
        <v>-63.747133806285291</v>
      </c>
      <c r="V157" s="282">
        <f t="shared" si="57"/>
        <v>-60.881090180602492</v>
      </c>
      <c r="W157" s="282">
        <f t="shared" si="57"/>
        <v>-57.912500719833282</v>
      </c>
      <c r="X157" s="282">
        <f t="shared" si="57"/>
        <v>-54.840883458552753</v>
      </c>
      <c r="Y157" s="282">
        <f t="shared" si="57"/>
        <v>-51.665754166098502</v>
      </c>
      <c r="Z157" s="282">
        <f t="shared" si="57"/>
        <v>-48.386626335924021</v>
      </c>
      <c r="AA157" s="282">
        <f t="shared" si="57"/>
        <v>-45.003011174902021</v>
      </c>
      <c r="AB157" s="282">
        <f t="shared" si="57"/>
        <v>-41.514417592577509</v>
      </c>
      <c r="AC157" s="282">
        <f t="shared" si="57"/>
        <v>-37.920352190370373</v>
      </c>
      <c r="AD157" s="282">
        <f t="shared" si="57"/>
        <v>-34.220319250727165</v>
      </c>
      <c r="AE157" s="282">
        <f t="shared" si="57"/>
        <v>-30.413820726221932</v>
      </c>
      <c r="AF157" s="282">
        <f t="shared" si="57"/>
        <v>-26.500356228605821</v>
      </c>
      <c r="AG157" s="282">
        <f t="shared" si="57"/>
        <v>-22.479423017805214</v>
      </c>
      <c r="AH157" s="282">
        <f t="shared" si="57"/>
        <v>-18.350515990868143</v>
      </c>
      <c r="AI157" s="282">
        <f t="shared" si="57"/>
        <v>-14.113127670858763</v>
      </c>
      <c r="AJ157" s="282">
        <f t="shared" si="57"/>
        <v>-9.7667481956996376</v>
      </c>
      <c r="AK157" s="282">
        <f t="shared" si="57"/>
        <v>-5.3108653069615634</v>
      </c>
      <c r="AL157" s="282">
        <f t="shared" si="57"/>
        <v>-0.74496433860071853</v>
      </c>
      <c r="AM157" s="282">
        <f t="shared" si="57"/>
        <v>3.9314717943571189</v>
      </c>
      <c r="AN157" s="282">
        <f t="shared" si="57"/>
        <v>8.7189626071855599</v>
      </c>
      <c r="AO157" s="282">
        <f t="shared" si="57"/>
        <v>13.618030056880006</v>
      </c>
      <c r="AP157" s="282">
        <f t="shared" si="57"/>
        <v>18.629198553633714</v>
      </c>
      <c r="AQ157" s="282">
        <f t="shared" si="57"/>
        <v>23.752994972367866</v>
      </c>
      <c r="AR157" s="282">
        <f t="shared" si="57"/>
        <v>28.989948664315772</v>
      </c>
      <c r="AS157" s="282">
        <f t="shared" si="57"/>
        <v>34.340591468661529</v>
      </c>
      <c r="AT157" s="282">
        <f t="shared" si="57"/>
        <v>39.805457724233413</v>
      </c>
      <c r="AU157" s="282">
        <f t="shared" si="57"/>
        <v>45.385084281252183</v>
      </c>
      <c r="AV157" s="282">
        <f t="shared" si="57"/>
        <v>51.080010513134653</v>
      </c>
      <c r="AW157" s="282">
        <f t="shared" si="57"/>
        <v>56.890778328352674</v>
      </c>
      <c r="AX157" s="282">
        <f t="shared" si="57"/>
        <v>62.817932182347924</v>
      </c>
      <c r="AY157" s="282">
        <f t="shared" si="57"/>
        <v>68.862019089502638</v>
      </c>
      <c r="AZ157" s="282">
        <f t="shared" si="57"/>
        <v>75.023588635166689</v>
      </c>
      <c r="BA157" s="282">
        <f t="shared" si="57"/>
        <v>81.30319298774107</v>
      </c>
      <c r="BB157" s="282">
        <f t="shared" si="57"/>
        <v>87.701386910818243</v>
      </c>
      <c r="BC157" s="282">
        <f t="shared" si="57"/>
        <v>94.218727775379591</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-16.176181257637332</v>
      </c>
      <c r="D159" s="285">
        <f t="shared" ref="D159:BC159" si="58">NPV($C$28,D156)</f>
        <v>-39.938993007123365</v>
      </c>
      <c r="E159" s="285">
        <f t="shared" si="58"/>
        <v>-31.402835905672564</v>
      </c>
      <c r="F159" s="285">
        <f t="shared" si="58"/>
        <v>1.1746397223840397</v>
      </c>
      <c r="G159" s="285">
        <f t="shared" si="58"/>
        <v>1.2613300479836591</v>
      </c>
      <c r="H159" s="285">
        <f t="shared" si="58"/>
        <v>1.3484278181135938</v>
      </c>
      <c r="I159" s="285">
        <f t="shared" si="58"/>
        <v>1.4359349477631407</v>
      </c>
      <c r="J159" s="285">
        <f t="shared" si="58"/>
        <v>1.5238533609220393</v>
      </c>
      <c r="K159" s="285">
        <f t="shared" si="58"/>
        <v>1.6121849906227836</v>
      </c>
      <c r="L159" s="285">
        <f t="shared" si="58"/>
        <v>1.700931778983124</v>
      </c>
      <c r="M159" s="285">
        <f t="shared" si="58"/>
        <v>1.7900956772487577</v>
      </c>
      <c r="N159" s="285">
        <f t="shared" si="58"/>
        <v>1.8796786458362384</v>
      </c>
      <c r="O159" s="285">
        <f t="shared" si="58"/>
        <v>1.9696826543760815</v>
      </c>
      <c r="P159" s="285">
        <f t="shared" si="58"/>
        <v>2.0601096817560567</v>
      </c>
      <c r="Q159" s="285">
        <f t="shared" si="58"/>
        <v>2.1509617161647263</v>
      </c>
      <c r="R159" s="285">
        <f t="shared" si="58"/>
        <v>2.2422407551351173</v>
      </c>
      <c r="S159" s="285">
        <f t="shared" si="58"/>
        <v>2.333948805588665</v>
      </c>
      <c r="T159" s="285">
        <f t="shared" si="58"/>
        <v>2.4260878838793389</v>
      </c>
      <c r="U159" s="285">
        <f t="shared" si="58"/>
        <v>2.518660015837987</v>
      </c>
      <c r="V159" s="285">
        <f t="shared" si="58"/>
        <v>2.6116672368168388</v>
      </c>
      <c r="W159" s="285">
        <f t="shared" si="58"/>
        <v>2.7051115917342896</v>
      </c>
      <c r="X159" s="285">
        <f t="shared" si="58"/>
        <v>2.7989951351198528</v>
      </c>
      <c r="Y159" s="285">
        <f t="shared" si="58"/>
        <v>2.8933199311593296</v>
      </c>
      <c r="Z159" s="285">
        <f t="shared" si="58"/>
        <v>2.988088053740185</v>
      </c>
      <c r="AA159" s="285">
        <f t="shared" si="58"/>
        <v>3.083301586497178</v>
      </c>
      <c r="AB159" s="285">
        <f t="shared" si="58"/>
        <v>3.178962622858128</v>
      </c>
      <c r="AC159" s="285">
        <f t="shared" si="58"/>
        <v>3.2750732660899753</v>
      </c>
      <c r="AD159" s="285">
        <f t="shared" si="58"/>
        <v>3.3716356293450054</v>
      </c>
      <c r="AE159" s="285">
        <f t="shared" si="58"/>
        <v>3.4686518357073401</v>
      </c>
      <c r="AF159" s="285">
        <f t="shared" si="58"/>
        <v>3.5661240182395781</v>
      </c>
      <c r="AG159" s="285">
        <f t="shared" si="58"/>
        <v>3.6640543200297122</v>
      </c>
      <c r="AH159" s="285">
        <f t="shared" si="58"/>
        <v>3.7624448942382638</v>
      </c>
      <c r="AI159" s="285">
        <f t="shared" si="58"/>
        <v>3.8612979041455997</v>
      </c>
      <c r="AJ159" s="285">
        <f t="shared" si="58"/>
        <v>3.9606155231994955</v>
      </c>
      <c r="AK159" s="285">
        <f t="shared" si="58"/>
        <v>4.0603999350629438</v>
      </c>
      <c r="AL159" s="285">
        <f t="shared" si="58"/>
        <v>4.1606533336621521</v>
      </c>
      <c r="AM159" s="285">
        <f t="shared" si="58"/>
        <v>4.2613779232347708</v>
      </c>
      <c r="AN159" s="285">
        <f t="shared" si="58"/>
        <v>4.3625759183783872</v>
      </c>
      <c r="AO159" s="285">
        <f t="shared" si="58"/>
        <v>4.464249544099185</v>
      </c>
      <c r="AP159" s="285">
        <f t="shared" si="58"/>
        <v>4.5664010358608609</v>
      </c>
      <c r="AQ159" s="285">
        <f t="shared" si="58"/>
        <v>4.6690326396338167</v>
      </c>
      <c r="AR159" s="285">
        <f t="shared" si="58"/>
        <v>4.7721466119445104</v>
      </c>
      <c r="AS159" s="285">
        <f t="shared" si="58"/>
        <v>4.8757452199250579</v>
      </c>
      <c r="AT159" s="285">
        <f t="shared" si="58"/>
        <v>4.9798307413631191</v>
      </c>
      <c r="AU159" s="285">
        <f t="shared" si="58"/>
        <v>5.084405464751935</v>
      </c>
      <c r="AV159" s="285">
        <f t="shared" si="58"/>
        <v>5.189471689340686</v>
      </c>
      <c r="AW159" s="285">
        <f t="shared" si="58"/>
        <v>5.2950317251850052</v>
      </c>
      <c r="AX159" s="285">
        <f t="shared" si="58"/>
        <v>5.4010878931977837</v>
      </c>
      <c r="AY159" s="285">
        <f t="shared" si="58"/>
        <v>5.507642525200219</v>
      </c>
      <c r="AZ159" s="285">
        <f t="shared" si="58"/>
        <v>5.6146979639730716</v>
      </c>
      <c r="BA159" s="285">
        <f t="shared" si="58"/>
        <v>5.7222565633081617</v>
      </c>
      <c r="BB159" s="285">
        <f t="shared" si="58"/>
        <v>5.8303206880601195</v>
      </c>
      <c r="BC159" s="285">
        <f t="shared" si="58"/>
        <v>5.9388927141984187</v>
      </c>
    </row>
    <row r="160" spans="2:58" s="192" customFormat="1" ht="16.899999999999999" customHeight="1" outlineLevel="1" x14ac:dyDescent="0.25">
      <c r="B160" s="286" t="s">
        <v>418</v>
      </c>
      <c r="C160" s="285">
        <f>C159</f>
        <v>-16.176181257637332</v>
      </c>
      <c r="D160" s="285">
        <f t="shared" ref="D160:BC160" si="59">C160+D159</f>
        <v>-56.115174264760697</v>
      </c>
      <c r="E160" s="285">
        <f t="shared" si="59"/>
        <v>-87.518010170433257</v>
      </c>
      <c r="F160" s="285">
        <f t="shared" si="59"/>
        <v>-86.343370448049214</v>
      </c>
      <c r="G160" s="285">
        <f t="shared" si="59"/>
        <v>-85.082040400065551</v>
      </c>
      <c r="H160" s="285">
        <f t="shared" si="59"/>
        <v>-83.733612581951959</v>
      </c>
      <c r="I160" s="285">
        <f t="shared" si="59"/>
        <v>-82.297677634188815</v>
      </c>
      <c r="J160" s="285">
        <f t="shared" si="59"/>
        <v>-80.773824273266783</v>
      </c>
      <c r="K160" s="285">
        <f t="shared" si="59"/>
        <v>-79.161639282644003</v>
      </c>
      <c r="L160" s="285">
        <f t="shared" si="59"/>
        <v>-77.460707503660885</v>
      </c>
      <c r="M160" s="285">
        <f t="shared" si="59"/>
        <v>-75.670611826412127</v>
      </c>
      <c r="N160" s="285">
        <f t="shared" si="59"/>
        <v>-73.790933180575891</v>
      </c>
      <c r="O160" s="285">
        <f t="shared" si="59"/>
        <v>-71.821250526199805</v>
      </c>
      <c r="P160" s="285">
        <f t="shared" si="59"/>
        <v>-69.761140844443744</v>
      </c>
      <c r="Q160" s="285">
        <f t="shared" si="59"/>
        <v>-67.610179128279015</v>
      </c>
      <c r="R160" s="285">
        <f t="shared" si="59"/>
        <v>-65.3679383731439</v>
      </c>
      <c r="S160" s="285">
        <f t="shared" si="59"/>
        <v>-63.033989567555238</v>
      </c>
      <c r="T160" s="285">
        <f t="shared" si="59"/>
        <v>-60.607901683675898</v>
      </c>
      <c r="U160" s="285">
        <f t="shared" si="59"/>
        <v>-58.089241667837911</v>
      </c>
      <c r="V160" s="285">
        <f t="shared" si="59"/>
        <v>-55.477574431021068</v>
      </c>
      <c r="W160" s="285">
        <f t="shared" si="59"/>
        <v>-52.772462839286781</v>
      </c>
      <c r="X160" s="285">
        <f t="shared" si="59"/>
        <v>-49.973467704166929</v>
      </c>
      <c r="Y160" s="285">
        <f t="shared" si="59"/>
        <v>-47.080147773007596</v>
      </c>
      <c r="Z160" s="285">
        <f t="shared" si="59"/>
        <v>-44.092059719267411</v>
      </c>
      <c r="AA160" s="285">
        <f t="shared" si="59"/>
        <v>-41.008758132770232</v>
      </c>
      <c r="AB160" s="285">
        <f t="shared" si="59"/>
        <v>-37.829795509912103</v>
      </c>
      <c r="AC160" s="285">
        <f t="shared" si="59"/>
        <v>-34.554722243822127</v>
      </c>
      <c r="AD160" s="285">
        <f t="shared" si="59"/>
        <v>-31.183086614477123</v>
      </c>
      <c r="AE160" s="285">
        <f t="shared" si="59"/>
        <v>-27.714434778769782</v>
      </c>
      <c r="AF160" s="285">
        <f t="shared" si="59"/>
        <v>-24.148310760530205</v>
      </c>
      <c r="AG160" s="285">
        <f t="shared" si="59"/>
        <v>-20.484256440500491</v>
      </c>
      <c r="AH160" s="285">
        <f t="shared" si="59"/>
        <v>-16.721811546262227</v>
      </c>
      <c r="AI160" s="285">
        <f t="shared" si="59"/>
        <v>-12.860513642116628</v>
      </c>
      <c r="AJ160" s="285">
        <f t="shared" si="59"/>
        <v>-8.8998981189171325</v>
      </c>
      <c r="AK160" s="285">
        <f t="shared" si="59"/>
        <v>-4.8394981838541886</v>
      </c>
      <c r="AL160" s="285">
        <f t="shared" si="59"/>
        <v>-0.67884485019203655</v>
      </c>
      <c r="AM160" s="285">
        <f t="shared" si="59"/>
        <v>3.5825330730427343</v>
      </c>
      <c r="AN160" s="285">
        <f t="shared" si="59"/>
        <v>7.9451089914211215</v>
      </c>
      <c r="AO160" s="285">
        <f t="shared" si="59"/>
        <v>12.409358535520306</v>
      </c>
      <c r="AP160" s="285">
        <f t="shared" si="59"/>
        <v>16.975759571381168</v>
      </c>
      <c r="AQ160" s="285">
        <f t="shared" si="59"/>
        <v>21.644792211014984</v>
      </c>
      <c r="AR160" s="285">
        <f t="shared" si="59"/>
        <v>26.416938822959494</v>
      </c>
      <c r="AS160" s="285">
        <f t="shared" si="59"/>
        <v>31.292684042884552</v>
      </c>
      <c r="AT160" s="285">
        <f t="shared" si="59"/>
        <v>36.272514784247669</v>
      </c>
      <c r="AU160" s="285">
        <f t="shared" si="59"/>
        <v>41.3569202489996</v>
      </c>
      <c r="AV160" s="285">
        <f t="shared" si="59"/>
        <v>46.546391938340285</v>
      </c>
      <c r="AW160" s="285">
        <f t="shared" si="59"/>
        <v>51.841423663525291</v>
      </c>
      <c r="AX160" s="285">
        <f t="shared" si="59"/>
        <v>57.242511556723073</v>
      </c>
      <c r="AY160" s="285">
        <f t="shared" si="59"/>
        <v>62.750154081923291</v>
      </c>
      <c r="AZ160" s="285">
        <f t="shared" si="59"/>
        <v>68.364852045896356</v>
      </c>
      <c r="BA160" s="285">
        <f t="shared" si="59"/>
        <v>74.08710860920452</v>
      </c>
      <c r="BB160" s="285">
        <f t="shared" si="59"/>
        <v>79.917429297264647</v>
      </c>
      <c r="BC160" s="285">
        <f t="shared" si="59"/>
        <v>85.856322011463064</v>
      </c>
    </row>
    <row r="161" spans="1:58" s="192" customFormat="1" ht="16.899999999999999" customHeight="1" outlineLevel="1" x14ac:dyDescent="0.25">
      <c r="B161" s="192" t="s">
        <v>367</v>
      </c>
      <c r="C161" s="282">
        <f t="shared" ref="C161:AH161" si="60">C156/(1+$C$28)^C32</f>
        <v>-17.751741312131205</v>
      </c>
      <c r="D161" s="282">
        <f t="shared" si="60"/>
        <v>-39.938993007123365</v>
      </c>
      <c r="E161" s="282">
        <f t="shared" si="60"/>
        <v>-28.615669678943473</v>
      </c>
      <c r="F161" s="282">
        <f t="shared" si="60"/>
        <v>0.97538207792306864</v>
      </c>
      <c r="G161" s="282">
        <f t="shared" si="60"/>
        <v>0.95440756758616641</v>
      </c>
      <c r="H161" s="282">
        <f t="shared" si="60"/>
        <v>0.9297536243882254</v>
      </c>
      <c r="I161" s="282">
        <f t="shared" si="60"/>
        <v>0.90221488136451322</v>
      </c>
      <c r="J161" s="282">
        <f t="shared" si="60"/>
        <v>0.87247590521279761</v>
      </c>
      <c r="K161" s="282">
        <f t="shared" si="60"/>
        <v>0.84112430516840486</v>
      </c>
      <c r="L161" s="282">
        <f t="shared" si="60"/>
        <v>0.80866239626767134</v>
      </c>
      <c r="M161" s="282">
        <f t="shared" si="60"/>
        <v>0.7755175691376115</v>
      </c>
      <c r="N161" s="282">
        <f t="shared" si="60"/>
        <v>0.7420515029334428</v>
      </c>
      <c r="O161" s="282">
        <f t="shared" si="60"/>
        <v>0.70856834407659053</v>
      </c>
      <c r="P161" s="282">
        <f t="shared" si="60"/>
        <v>0.6753219608723261</v>
      </c>
      <c r="Q161" s="282">
        <f t="shared" si="60"/>
        <v>0.64252237277123425</v>
      </c>
      <c r="R161" s="282">
        <f t="shared" si="60"/>
        <v>0.61034144285843606</v>
      </c>
      <c r="S161" s="282">
        <f t="shared" si="60"/>
        <v>0.57891791299738415</v>
      </c>
      <c r="T161" s="282">
        <f t="shared" si="60"/>
        <v>0.5483618528199099</v>
      </c>
      <c r="U161" s="282">
        <f t="shared" si="60"/>
        <v>0.51875858635023586</v>
      </c>
      <c r="V161" s="282">
        <f t="shared" si="60"/>
        <v>0.49017215339545822</v>
      </c>
      <c r="W161" s="282">
        <f t="shared" si="60"/>
        <v>0.46264835685448324</v>
      </c>
      <c r="X161" s="282">
        <f t="shared" si="60"/>
        <v>0.43621744172444432</v>
      </c>
      <c r="Y161" s="282">
        <f t="shared" si="60"/>
        <v>0.4108964467579872</v>
      </c>
      <c r="Z161" s="282">
        <f t="shared" si="60"/>
        <v>0.38669126539184023</v>
      </c>
      <c r="AA161" s="282">
        <f t="shared" si="60"/>
        <v>0.36359844867768465</v>
      </c>
      <c r="AB161" s="282">
        <f t="shared" si="60"/>
        <v>0.34160677945609969</v>
      </c>
      <c r="AC161" s="282">
        <f t="shared" si="60"/>
        <v>0.32069864388338964</v>
      </c>
      <c r="AD161" s="282">
        <f t="shared" si="60"/>
        <v>0.30085122361319361</v>
      </c>
      <c r="AE161" s="282">
        <f t="shared" si="60"/>
        <v>0.28203752941759808</v>
      </c>
      <c r="AF161" s="282">
        <f t="shared" si="60"/>
        <v>0.26422729477657647</v>
      </c>
      <c r="AG161" s="282">
        <f t="shared" si="60"/>
        <v>0.24738774594368335</v>
      </c>
      <c r="AH161" s="282">
        <f t="shared" si="60"/>
        <v>0.23148426318615636</v>
      </c>
      <c r="AI161" s="282">
        <f t="shared" ref="AI161:BC161" si="61">AI156/(1+$C$28)^AI32</f>
        <v>0.21648094627755762</v>
      </c>
      <c r="AJ161" s="282">
        <f t="shared" si="61"/>
        <v>0.20234109587150431</v>
      </c>
      <c r="AK161" s="282">
        <f t="shared" si="61"/>
        <v>0.18902762108850191</v>
      </c>
      <c r="AL161" s="282">
        <f t="shared" si="61"/>
        <v>0.17650338248876996</v>
      </c>
      <c r="AM161" s="282">
        <f t="shared" si="61"/>
        <v>0.16473147856816689</v>
      </c>
      <c r="AN161" s="282">
        <f t="shared" si="61"/>
        <v>0.15367548298918032</v>
      </c>
      <c r="AO161" s="282">
        <f t="shared" si="61"/>
        <v>0.14329963893306263</v>
      </c>
      <c r="AP161" s="282">
        <f t="shared" si="61"/>
        <v>0.13356901622230927</v>
      </c>
      <c r="AQ161" s="282">
        <f t="shared" si="61"/>
        <v>0.12444963620555577</v>
      </c>
      <c r="AR161" s="282">
        <f t="shared" si="61"/>
        <v>0.1159085688113254</v>
      </c>
      <c r="AS161" s="282">
        <f t="shared" si="61"/>
        <v>0.10791400565544589</v>
      </c>
      <c r="AT161" s="282">
        <f t="shared" si="61"/>
        <v>0.10043531262265451</v>
      </c>
      <c r="AU161" s="282">
        <f t="shared" si="61"/>
        <v>9.3443064929912847E-2</v>
      </c>
      <c r="AV161" s="282">
        <f t="shared" si="61"/>
        <v>8.6909067311863583E-2</v>
      </c>
      <c r="AW161" s="282">
        <f t="shared" si="61"/>
        <v>8.0806361642798905E-2</v>
      </c>
      <c r="AX161" s="282">
        <f t="shared" si="61"/>
        <v>7.5109224020149107E-2</v>
      </c>
      <c r="AY161" s="282">
        <f t="shared" si="61"/>
        <v>6.9793153077901321E-2</v>
      </c>
      <c r="AZ161" s="282">
        <f t="shared" si="61"/>
        <v>6.4834851071032457E-2</v>
      </c>
      <c r="BA161" s="282">
        <f t="shared" si="61"/>
        <v>6.0212199070835748E-2</v>
      </c>
      <c r="BB161" s="282">
        <f t="shared" si="61"/>
        <v>5.5904227433113601E-2</v>
      </c>
      <c r="BC161" s="282">
        <f t="shared" si="61"/>
        <v>5.1891082544077032E-2</v>
      </c>
    </row>
    <row r="162" spans="1:58" s="192" customFormat="1" ht="16.899999999999999" customHeight="1" outlineLevel="1" x14ac:dyDescent="0.25">
      <c r="B162" s="275" t="s">
        <v>368</v>
      </c>
      <c r="C162" s="282">
        <f>C161</f>
        <v>-17.751741312131205</v>
      </c>
      <c r="D162" s="282">
        <f t="shared" ref="D162:BC162" si="62">C162+D161</f>
        <v>-57.690734319254574</v>
      </c>
      <c r="E162" s="282">
        <f t="shared" si="62"/>
        <v>-86.30640399819805</v>
      </c>
      <c r="F162" s="282">
        <f t="shared" si="62"/>
        <v>-85.331021920274978</v>
      </c>
      <c r="G162" s="282">
        <f t="shared" si="62"/>
        <v>-84.376614352688804</v>
      </c>
      <c r="H162" s="282">
        <f t="shared" si="62"/>
        <v>-83.446860728300578</v>
      </c>
      <c r="I162" s="282">
        <f t="shared" si="62"/>
        <v>-82.544645846936064</v>
      </c>
      <c r="J162" s="282">
        <f t="shared" si="62"/>
        <v>-81.672169941723268</v>
      </c>
      <c r="K162" s="282">
        <f t="shared" si="62"/>
        <v>-80.831045636554862</v>
      </c>
      <c r="L162" s="282">
        <f t="shared" si="62"/>
        <v>-80.022383240287184</v>
      </c>
      <c r="M162" s="282">
        <f t="shared" si="62"/>
        <v>-79.246865671149578</v>
      </c>
      <c r="N162" s="282">
        <f t="shared" si="62"/>
        <v>-78.504814168216129</v>
      </c>
      <c r="O162" s="282">
        <f t="shared" si="62"/>
        <v>-77.796245824139532</v>
      </c>
      <c r="P162" s="282">
        <f t="shared" si="62"/>
        <v>-77.120923863267208</v>
      </c>
      <c r="Q162" s="282">
        <f t="shared" si="62"/>
        <v>-76.478401490495969</v>
      </c>
      <c r="R162" s="282">
        <f t="shared" si="62"/>
        <v>-75.868060047637528</v>
      </c>
      <c r="S162" s="282">
        <f t="shared" si="62"/>
        <v>-75.289142134640144</v>
      </c>
      <c r="T162" s="282">
        <f t="shared" si="62"/>
        <v>-74.740780281820236</v>
      </c>
      <c r="U162" s="282">
        <f t="shared" si="62"/>
        <v>-74.222021695470005</v>
      </c>
      <c r="V162" s="282">
        <f t="shared" si="62"/>
        <v>-73.731849542074542</v>
      </c>
      <c r="W162" s="282">
        <f t="shared" si="62"/>
        <v>-73.269201185220055</v>
      </c>
      <c r="X162" s="282">
        <f t="shared" si="62"/>
        <v>-72.832983743495618</v>
      </c>
      <c r="Y162" s="282">
        <f t="shared" si="62"/>
        <v>-72.422087296737629</v>
      </c>
      <c r="Z162" s="282">
        <f t="shared" si="62"/>
        <v>-72.035396031345783</v>
      </c>
      <c r="AA162" s="282">
        <f t="shared" si="62"/>
        <v>-71.671797582668106</v>
      </c>
      <c r="AB162" s="282">
        <f t="shared" si="62"/>
        <v>-71.330190803212005</v>
      </c>
      <c r="AC162" s="282">
        <f t="shared" si="62"/>
        <v>-71.009492159328616</v>
      </c>
      <c r="AD162" s="282">
        <f t="shared" si="62"/>
        <v>-70.708640935715422</v>
      </c>
      <c r="AE162" s="282">
        <f t="shared" si="62"/>
        <v>-70.426603406297829</v>
      </c>
      <c r="AF162" s="282">
        <f t="shared" si="62"/>
        <v>-70.162376111521255</v>
      </c>
      <c r="AG162" s="282">
        <f t="shared" si="62"/>
        <v>-69.914988365577571</v>
      </c>
      <c r="AH162" s="282">
        <f t="shared" si="62"/>
        <v>-69.68350410239141</v>
      </c>
      <c r="AI162" s="282">
        <f t="shared" si="62"/>
        <v>-69.467023156113854</v>
      </c>
      <c r="AJ162" s="282">
        <f t="shared" si="62"/>
        <v>-69.26468206024235</v>
      </c>
      <c r="AK162" s="282">
        <f t="shared" si="62"/>
        <v>-69.075654439153851</v>
      </c>
      <c r="AL162" s="282">
        <f t="shared" si="62"/>
        <v>-68.899151056665076</v>
      </c>
      <c r="AM162" s="282">
        <f t="shared" si="62"/>
        <v>-68.734419578096905</v>
      </c>
      <c r="AN162" s="282">
        <f t="shared" si="62"/>
        <v>-68.580744095107718</v>
      </c>
      <c r="AO162" s="282">
        <f t="shared" si="62"/>
        <v>-68.43744445617466</v>
      </c>
      <c r="AP162" s="282">
        <f t="shared" si="62"/>
        <v>-68.30387543995235</v>
      </c>
      <c r="AQ162" s="282">
        <f t="shared" si="62"/>
        <v>-68.179425803746796</v>
      </c>
      <c r="AR162" s="282">
        <f t="shared" si="62"/>
        <v>-68.063517234935475</v>
      </c>
      <c r="AS162" s="282">
        <f t="shared" si="62"/>
        <v>-67.95560322928003</v>
      </c>
      <c r="AT162" s="282">
        <f t="shared" si="62"/>
        <v>-67.855167916657379</v>
      </c>
      <c r="AU162" s="282">
        <f t="shared" si="62"/>
        <v>-67.761724851727465</v>
      </c>
      <c r="AV162" s="282">
        <f t="shared" si="62"/>
        <v>-67.6748157844156</v>
      </c>
      <c r="AW162" s="282">
        <f t="shared" si="62"/>
        <v>-67.5940094227728</v>
      </c>
      <c r="AX162" s="282">
        <f t="shared" si="62"/>
        <v>-67.518900198752647</v>
      </c>
      <c r="AY162" s="282">
        <f t="shared" si="62"/>
        <v>-67.449107045674751</v>
      </c>
      <c r="AZ162" s="282">
        <f t="shared" si="62"/>
        <v>-67.384272194603724</v>
      </c>
      <c r="BA162" s="282">
        <f t="shared" si="62"/>
        <v>-67.324059995532892</v>
      </c>
      <c r="BB162" s="282">
        <f t="shared" si="62"/>
        <v>-67.268155768099774</v>
      </c>
      <c r="BC162" s="282">
        <f t="shared" si="62"/>
        <v>-67.2162646855557</v>
      </c>
    </row>
    <row r="163" spans="1:58" s="192" customFormat="1" ht="16.899999999999999" customHeight="1" outlineLevel="1" x14ac:dyDescent="0.25">
      <c r="B163" s="275" t="s">
        <v>369</v>
      </c>
      <c r="C163" s="282">
        <f t="shared" ref="C163:AH163" si="63">C63/(1+$C$28)^C32</f>
        <v>46.822789687144734</v>
      </c>
      <c r="D163" s="282">
        <f t="shared" si="63"/>
        <v>66.559347747688648</v>
      </c>
      <c r="E163" s="282">
        <f t="shared" si="63"/>
        <v>52.991902309359801</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1</v>
      </c>
      <c r="AI164" s="287">
        <f t="shared" si="65"/>
        <v>1</v>
      </c>
      <c r="AJ164" s="287">
        <f t="shared" si="65"/>
        <v>1</v>
      </c>
      <c r="AK164" s="287">
        <f t="shared" si="65"/>
        <v>1</v>
      </c>
      <c r="AL164" s="287">
        <f t="shared" si="65"/>
        <v>1</v>
      </c>
      <c r="AM164" s="287">
        <f t="shared" si="65"/>
        <v>0.15930172409508137</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-2.7708422916173925E-3</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32.775952781001315</v>
      </c>
      <c r="D167" s="282">
        <f t="shared" ref="D167:BC167" si="66">D63*(1-$D$14)</f>
        <v>51.129559752819453</v>
      </c>
      <c r="E167" s="282">
        <f t="shared" si="66"/>
        <v>44.672212436862793</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32.775952781001315</v>
      </c>
      <c r="D168" s="282">
        <f t="shared" ref="D168:BC168" si="67">C173+D167</f>
        <v>83.905512533820769</v>
      </c>
      <c r="E168" s="282">
        <f t="shared" si="67"/>
        <v>128.57772497068356</v>
      </c>
      <c r="F168" s="282">
        <f t="shared" si="67"/>
        <v>128.57772497068356</v>
      </c>
      <c r="G168" s="282">
        <f t="shared" si="67"/>
        <v>122.14883872214938</v>
      </c>
      <c r="H168" s="282">
        <f t="shared" si="67"/>
        <v>115.71995247361519</v>
      </c>
      <c r="I168" s="282">
        <f t="shared" si="67"/>
        <v>109.29106622508101</v>
      </c>
      <c r="J168" s="282">
        <f t="shared" si="67"/>
        <v>102.86217997654683</v>
      </c>
      <c r="K168" s="282">
        <f t="shared" si="67"/>
        <v>96.433293728012643</v>
      </c>
      <c r="L168" s="282">
        <f t="shared" si="67"/>
        <v>90.004407479478459</v>
      </c>
      <c r="M168" s="282">
        <f t="shared" si="67"/>
        <v>83.575521230944275</v>
      </c>
      <c r="N168" s="282">
        <f t="shared" si="67"/>
        <v>77.146634982410092</v>
      </c>
      <c r="O168" s="282">
        <f t="shared" si="67"/>
        <v>70.717748733875908</v>
      </c>
      <c r="P168" s="282">
        <f t="shared" si="67"/>
        <v>64.288862485341724</v>
      </c>
      <c r="Q168" s="282">
        <f t="shared" si="67"/>
        <v>57.859976236807547</v>
      </c>
      <c r="R168" s="282">
        <f t="shared" si="67"/>
        <v>51.431089988273371</v>
      </c>
      <c r="S168" s="282">
        <f t="shared" si="67"/>
        <v>45.002203739739194</v>
      </c>
      <c r="T168" s="282">
        <f t="shared" si="67"/>
        <v>38.573317491205017</v>
      </c>
      <c r="U168" s="282">
        <f t="shared" si="67"/>
        <v>32.144431242670841</v>
      </c>
      <c r="V168" s="282">
        <f t="shared" si="67"/>
        <v>25.715544994136664</v>
      </c>
      <c r="W168" s="282">
        <f t="shared" si="67"/>
        <v>19.286658745602487</v>
      </c>
      <c r="X168" s="282">
        <f t="shared" si="67"/>
        <v>12.857772497068309</v>
      </c>
      <c r="Y168" s="282">
        <f t="shared" si="67"/>
        <v>6.4288862485341305</v>
      </c>
      <c r="Z168" s="282">
        <f t="shared" si="67"/>
        <v>-4.7961634663806763E-14</v>
      </c>
      <c r="AA168" s="282">
        <f t="shared" si="67"/>
        <v>-4.7961634663806763E-14</v>
      </c>
      <c r="AB168" s="282">
        <f t="shared" si="67"/>
        <v>-4.7961634663806763E-14</v>
      </c>
      <c r="AC168" s="282">
        <f t="shared" si="67"/>
        <v>-4.7961634663806763E-14</v>
      </c>
      <c r="AD168" s="282">
        <f t="shared" si="67"/>
        <v>-4.7961634663806763E-14</v>
      </c>
      <c r="AE168" s="282">
        <f t="shared" si="67"/>
        <v>-4.7961634663806763E-14</v>
      </c>
      <c r="AF168" s="282">
        <f t="shared" si="67"/>
        <v>-4.7961634663806763E-14</v>
      </c>
      <c r="AG168" s="282">
        <f t="shared" si="67"/>
        <v>-4.7961634663806763E-14</v>
      </c>
      <c r="AH168" s="282">
        <f t="shared" si="67"/>
        <v>-4.7961634663806763E-14</v>
      </c>
      <c r="AI168" s="282">
        <f t="shared" si="67"/>
        <v>-4.7961634663806763E-14</v>
      </c>
      <c r="AJ168" s="282">
        <f t="shared" si="67"/>
        <v>-4.7961634663806763E-14</v>
      </c>
      <c r="AK168" s="282">
        <f t="shared" si="67"/>
        <v>-4.7961634663806763E-14</v>
      </c>
      <c r="AL168" s="282">
        <f t="shared" si="67"/>
        <v>-4.7961634663806763E-14</v>
      </c>
      <c r="AM168" s="282">
        <f t="shared" si="67"/>
        <v>-4.7961634663806763E-14</v>
      </c>
      <c r="AN168" s="282">
        <f t="shared" si="67"/>
        <v>-4.7961634663806763E-14</v>
      </c>
      <c r="AO168" s="282">
        <f t="shared" si="67"/>
        <v>-4.7961634663806763E-14</v>
      </c>
      <c r="AP168" s="282">
        <f t="shared" si="67"/>
        <v>-4.7961634663806763E-14</v>
      </c>
      <c r="AQ168" s="282">
        <f t="shared" si="67"/>
        <v>-4.7961634663806763E-14</v>
      </c>
      <c r="AR168" s="282">
        <f t="shared" si="67"/>
        <v>-4.7961634663806763E-14</v>
      </c>
      <c r="AS168" s="282">
        <f t="shared" si="67"/>
        <v>-4.7961634663806763E-14</v>
      </c>
      <c r="AT168" s="282">
        <f t="shared" si="67"/>
        <v>-4.7961634663806763E-14</v>
      </c>
      <c r="AU168" s="282">
        <f t="shared" si="67"/>
        <v>-4.7961634663806763E-14</v>
      </c>
      <c r="AV168" s="282">
        <f t="shared" si="67"/>
        <v>-4.7961634663806763E-14</v>
      </c>
      <c r="AW168" s="282">
        <f t="shared" si="67"/>
        <v>-4.7961634663806763E-14</v>
      </c>
      <c r="AX168" s="282">
        <f t="shared" si="67"/>
        <v>-4.7961634663806763E-14</v>
      </c>
      <c r="AY168" s="282">
        <f t="shared" si="67"/>
        <v>-4.7961634663806763E-14</v>
      </c>
      <c r="AZ168" s="282">
        <f t="shared" si="67"/>
        <v>-4.7961634663806763E-14</v>
      </c>
      <c r="BA168" s="282">
        <f t="shared" si="67"/>
        <v>-4.7961634663806763E-14</v>
      </c>
      <c r="BB168" s="282">
        <f t="shared" si="67"/>
        <v>-4.7961634663806763E-14</v>
      </c>
      <c r="BC168" s="282">
        <f t="shared" si="67"/>
        <v>-4.7961634663806763E-14</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-6.4288862485341784</v>
      </c>
      <c r="G171" s="282">
        <f t="shared" si="70"/>
        <v>-6.4288862485341784</v>
      </c>
      <c r="H171" s="282">
        <f t="shared" si="70"/>
        <v>-6.4288862485341784</v>
      </c>
      <c r="I171" s="282">
        <f t="shared" si="70"/>
        <v>-6.4288862485341784</v>
      </c>
      <c r="J171" s="282">
        <f t="shared" si="70"/>
        <v>-6.4288862485341784</v>
      </c>
      <c r="K171" s="282">
        <f t="shared" si="70"/>
        <v>-6.4288862485341784</v>
      </c>
      <c r="L171" s="282">
        <f t="shared" si="70"/>
        <v>-6.4288862485341784</v>
      </c>
      <c r="M171" s="282">
        <f t="shared" si="70"/>
        <v>-6.4288862485341784</v>
      </c>
      <c r="N171" s="282">
        <f t="shared" si="70"/>
        <v>-6.4288862485341784</v>
      </c>
      <c r="O171" s="282">
        <f t="shared" si="70"/>
        <v>-6.4288862485341784</v>
      </c>
      <c r="P171" s="282">
        <f t="shared" si="70"/>
        <v>-6.4288862485341784</v>
      </c>
      <c r="Q171" s="282">
        <f t="shared" si="70"/>
        <v>-6.4288862485341784</v>
      </c>
      <c r="R171" s="282">
        <f t="shared" si="70"/>
        <v>-6.4288862485341784</v>
      </c>
      <c r="S171" s="282">
        <f t="shared" si="70"/>
        <v>-6.4288862485341784</v>
      </c>
      <c r="T171" s="282">
        <f t="shared" si="70"/>
        <v>-6.4288862485341784</v>
      </c>
      <c r="U171" s="282">
        <f t="shared" si="70"/>
        <v>-6.4288862485341784</v>
      </c>
      <c r="V171" s="282">
        <f t="shared" si="70"/>
        <v>-6.4288862485341784</v>
      </c>
      <c r="W171" s="282">
        <f t="shared" si="70"/>
        <v>-6.4288862485341784</v>
      </c>
      <c r="X171" s="282">
        <f t="shared" si="70"/>
        <v>-6.4288862485341784</v>
      </c>
      <c r="Y171" s="282">
        <f t="shared" si="70"/>
        <v>-6.4288862485341784</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-1.4257539459735571</v>
      </c>
      <c r="E172" s="282">
        <f t="shared" si="72"/>
        <v>-3.649889795221203</v>
      </c>
      <c r="F172" s="282">
        <f t="shared" si="72"/>
        <v>-6.4288862485341784</v>
      </c>
      <c r="G172" s="282">
        <f t="shared" si="72"/>
        <v>-6.1074419361074694</v>
      </c>
      <c r="H172" s="282">
        <f t="shared" si="72"/>
        <v>-5.7859976236807604</v>
      </c>
      <c r="I172" s="282">
        <f t="shared" si="72"/>
        <v>-5.4645533112540505</v>
      </c>
      <c r="J172" s="282">
        <f t="shared" si="72"/>
        <v>-5.1431089988273415</v>
      </c>
      <c r="K172" s="282">
        <f t="shared" si="72"/>
        <v>-4.8216646864006325</v>
      </c>
      <c r="L172" s="282">
        <f t="shared" si="72"/>
        <v>-4.5002203739739235</v>
      </c>
      <c r="M172" s="282">
        <f t="shared" si="72"/>
        <v>-4.1787760615472136</v>
      </c>
      <c r="N172" s="282">
        <f t="shared" si="72"/>
        <v>-3.8573317491205046</v>
      </c>
      <c r="O172" s="282">
        <f t="shared" si="72"/>
        <v>-3.5358874366937956</v>
      </c>
      <c r="P172" s="282">
        <f t="shared" si="72"/>
        <v>-3.2144431242670866</v>
      </c>
      <c r="Q172" s="282">
        <f t="shared" si="72"/>
        <v>-2.8929988118403775</v>
      </c>
      <c r="R172" s="282">
        <f t="shared" si="72"/>
        <v>-2.5715544994136685</v>
      </c>
      <c r="S172" s="282">
        <f t="shared" si="72"/>
        <v>-2.25011018698696</v>
      </c>
      <c r="T172" s="282">
        <f t="shared" si="72"/>
        <v>-1.928665874560251</v>
      </c>
      <c r="U172" s="282">
        <f t="shared" si="72"/>
        <v>-1.6072215621335422</v>
      </c>
      <c r="V172" s="282">
        <f t="shared" si="72"/>
        <v>-1.2857772497068334</v>
      </c>
      <c r="W172" s="282">
        <f t="shared" si="72"/>
        <v>-0.96433293728012437</v>
      </c>
      <c r="X172" s="282">
        <f t="shared" si="72"/>
        <v>-0.64288862485341547</v>
      </c>
      <c r="Y172" s="282">
        <f t="shared" si="72"/>
        <v>-0.32144431242670657</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32.775952781001315</v>
      </c>
      <c r="D173" s="282">
        <f t="shared" ref="D173:BC173" si="74">D168+D171</f>
        <v>83.905512533820769</v>
      </c>
      <c r="E173" s="282">
        <f t="shared" si="74"/>
        <v>128.57772497068356</v>
      </c>
      <c r="F173" s="282">
        <f t="shared" si="74"/>
        <v>122.14883872214938</v>
      </c>
      <c r="G173" s="282">
        <f t="shared" si="74"/>
        <v>115.71995247361519</v>
      </c>
      <c r="H173" s="282">
        <f t="shared" si="74"/>
        <v>109.29106622508101</v>
      </c>
      <c r="I173" s="282">
        <f t="shared" si="74"/>
        <v>102.86217997654683</v>
      </c>
      <c r="J173" s="282">
        <f t="shared" si="74"/>
        <v>96.433293728012643</v>
      </c>
      <c r="K173" s="282">
        <f t="shared" si="74"/>
        <v>90.004407479478459</v>
      </c>
      <c r="L173" s="282">
        <f t="shared" si="74"/>
        <v>83.575521230944275</v>
      </c>
      <c r="M173" s="282">
        <f t="shared" si="74"/>
        <v>77.146634982410092</v>
      </c>
      <c r="N173" s="282">
        <f t="shared" si="74"/>
        <v>70.717748733875908</v>
      </c>
      <c r="O173" s="282">
        <f t="shared" si="74"/>
        <v>64.288862485341724</v>
      </c>
      <c r="P173" s="282">
        <f t="shared" si="74"/>
        <v>57.859976236807547</v>
      </c>
      <c r="Q173" s="282">
        <f t="shared" si="74"/>
        <v>51.431089988273371</v>
      </c>
      <c r="R173" s="282">
        <f t="shared" si="74"/>
        <v>45.002203739739194</v>
      </c>
      <c r="S173" s="282">
        <f t="shared" si="74"/>
        <v>38.573317491205017</v>
      </c>
      <c r="T173" s="282">
        <f t="shared" si="74"/>
        <v>32.144431242670841</v>
      </c>
      <c r="U173" s="282">
        <f t="shared" si="74"/>
        <v>25.715544994136664</v>
      </c>
      <c r="V173" s="282">
        <f t="shared" si="74"/>
        <v>19.286658745602487</v>
      </c>
      <c r="W173" s="282">
        <f t="shared" si="74"/>
        <v>12.857772497068309</v>
      </c>
      <c r="X173" s="282">
        <f t="shared" si="74"/>
        <v>6.4288862485341305</v>
      </c>
      <c r="Y173" s="282">
        <f t="shared" si="74"/>
        <v>-4.7961634663806763E-14</v>
      </c>
      <c r="Z173" s="282">
        <f t="shared" si="74"/>
        <v>-4.7961634663806763E-14</v>
      </c>
      <c r="AA173" s="282">
        <f t="shared" si="74"/>
        <v>-4.7961634663806763E-14</v>
      </c>
      <c r="AB173" s="282">
        <f t="shared" si="74"/>
        <v>-4.7961634663806763E-14</v>
      </c>
      <c r="AC173" s="282">
        <f t="shared" si="74"/>
        <v>-4.7961634663806763E-14</v>
      </c>
      <c r="AD173" s="282">
        <f t="shared" si="74"/>
        <v>-4.7961634663806763E-14</v>
      </c>
      <c r="AE173" s="282">
        <f t="shared" si="74"/>
        <v>-4.7961634663806763E-14</v>
      </c>
      <c r="AF173" s="282">
        <f t="shared" si="74"/>
        <v>-4.7961634663806763E-14</v>
      </c>
      <c r="AG173" s="282">
        <f t="shared" si="74"/>
        <v>-4.7961634663806763E-14</v>
      </c>
      <c r="AH173" s="282">
        <f t="shared" si="74"/>
        <v>-4.7961634663806763E-14</v>
      </c>
      <c r="AI173" s="282">
        <f t="shared" si="74"/>
        <v>-4.7961634663806763E-14</v>
      </c>
      <c r="AJ173" s="282">
        <f t="shared" si="74"/>
        <v>-4.7961634663806763E-14</v>
      </c>
      <c r="AK173" s="282">
        <f t="shared" si="74"/>
        <v>-4.7961634663806763E-14</v>
      </c>
      <c r="AL173" s="282">
        <f t="shared" si="74"/>
        <v>-4.7961634663806763E-14</v>
      </c>
      <c r="AM173" s="282">
        <f t="shared" si="74"/>
        <v>-4.7961634663806763E-14</v>
      </c>
      <c r="AN173" s="282">
        <f t="shared" si="74"/>
        <v>-4.7961634663806763E-14</v>
      </c>
      <c r="AO173" s="282">
        <f t="shared" si="74"/>
        <v>-4.7961634663806763E-14</v>
      </c>
      <c r="AP173" s="282">
        <f t="shared" si="74"/>
        <v>-4.7961634663806763E-14</v>
      </c>
      <c r="AQ173" s="282">
        <f t="shared" si="74"/>
        <v>-4.7961634663806763E-14</v>
      </c>
      <c r="AR173" s="282">
        <f t="shared" si="74"/>
        <v>-4.7961634663806763E-14</v>
      </c>
      <c r="AS173" s="282">
        <f t="shared" si="74"/>
        <v>-4.7961634663806763E-14</v>
      </c>
      <c r="AT173" s="282">
        <f t="shared" si="74"/>
        <v>-4.7961634663806763E-14</v>
      </c>
      <c r="AU173" s="282">
        <f t="shared" si="74"/>
        <v>-4.7961634663806763E-14</v>
      </c>
      <c r="AV173" s="282">
        <f t="shared" si="74"/>
        <v>-4.7961634663806763E-14</v>
      </c>
      <c r="AW173" s="282">
        <f t="shared" si="74"/>
        <v>-4.7961634663806763E-14</v>
      </c>
      <c r="AX173" s="282">
        <f t="shared" si="74"/>
        <v>-4.7961634663806763E-14</v>
      </c>
      <c r="AY173" s="282">
        <f t="shared" si="74"/>
        <v>-4.7961634663806763E-14</v>
      </c>
      <c r="AZ173" s="282">
        <f t="shared" si="74"/>
        <v>-4.7961634663806763E-14</v>
      </c>
      <c r="BA173" s="282">
        <f t="shared" si="74"/>
        <v>-4.7961634663806763E-14</v>
      </c>
      <c r="BB173" s="282">
        <f t="shared" si="74"/>
        <v>-4.7961634663806763E-14</v>
      </c>
      <c r="BC173" s="282">
        <f t="shared" si="74"/>
        <v>-4.7961634663806763E-14</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16.899265764419884</v>
      </c>
      <c r="D175" s="282">
        <f t="shared" ref="D175:BC175" si="75">D156+D167+D171+D172-D148+D35*$H$29*(1-0.0925-$C$10)/1000000+D149</f>
        <v>7.758621931567582</v>
      </c>
      <c r="E175" s="282">
        <f t="shared" si="75"/>
        <v>8.4535717446338552</v>
      </c>
      <c r="F175" s="282">
        <f t="shared" si="75"/>
        <v>-9.6671058500851537</v>
      </c>
      <c r="G175" s="282">
        <f t="shared" si="75"/>
        <v>-9.2415899743719212</v>
      </c>
      <c r="H175" s="282">
        <f t="shared" si="75"/>
        <v>-8.8155849623112452</v>
      </c>
      <c r="I175" s="282">
        <f t="shared" si="75"/>
        <v>-8.3890885149622871</v>
      </c>
      <c r="J175" s="282">
        <f t="shared" si="75"/>
        <v>-7.9620983225791981</v>
      </c>
      <c r="K175" s="282">
        <f t="shared" si="75"/>
        <v>-7.534612064560303</v>
      </c>
      <c r="L175" s="282">
        <f t="shared" si="75"/>
        <v>-7.1066274093971282</v>
      </c>
      <c r="M175" s="282">
        <f t="shared" si="75"/>
        <v>-6.6781420146230968</v>
      </c>
      <c r="N175" s="282">
        <f t="shared" si="75"/>
        <v>-6.2491535267620311</v>
      </c>
      <c r="O175" s="282">
        <f t="shared" si="75"/>
        <v>-5.8196595812764214</v>
      </c>
      <c r="P175" s="282">
        <f t="shared" si="75"/>
        <v>-5.3896578025154458</v>
      </c>
      <c r="Q175" s="282">
        <f t="shared" si="75"/>
        <v>-4.9591458036626932</v>
      </c>
      <c r="R175" s="282">
        <f t="shared" si="75"/>
        <v>-4.5281211866837312</v>
      </c>
      <c r="S175" s="282">
        <f t="shared" si="75"/>
        <v>-4.0965815422733751</v>
      </c>
      <c r="T175" s="282">
        <f t="shared" si="75"/>
        <v>-3.6645244498027014</v>
      </c>
      <c r="U175" s="282">
        <f t="shared" si="75"/>
        <v>-3.2319474772658197</v>
      </c>
      <c r="V175" s="282">
        <f t="shared" si="75"/>
        <v>-2.798848181226425</v>
      </c>
      <c r="W175" s="282">
        <f t="shared" si="75"/>
        <v>-2.3652241067640465</v>
      </c>
      <c r="X175" s="282">
        <f t="shared" si="75"/>
        <v>-1.9310727874200948</v>
      </c>
      <c r="Y175" s="282">
        <f t="shared" si="75"/>
        <v>-1.4963917451436353</v>
      </c>
      <c r="Z175" s="282">
        <f t="shared" si="75"/>
        <v>5.3677077582972919</v>
      </c>
      <c r="AA175" s="282">
        <f t="shared" si="75"/>
        <v>5.4820114148069905</v>
      </c>
      <c r="AB175" s="282">
        <f t="shared" si="75"/>
        <v>5.5968522985022808</v>
      </c>
      <c r="AC175" s="282">
        <f t="shared" si="75"/>
        <v>5.7122329343509337</v>
      </c>
      <c r="AD175" s="282">
        <f t="shared" si="75"/>
        <v>5.8281558591880991</v>
      </c>
      <c r="AE175" s="282">
        <f t="shared" si="75"/>
        <v>5.9446236217719779</v>
      </c>
      <c r="AF175" s="282">
        <f t="shared" si="75"/>
        <v>6.0616387828400136</v>
      </c>
      <c r="AG175" s="282">
        <f t="shared" si="75"/>
        <v>6.1792039151650613</v>
      </c>
      <c r="AH175" s="282">
        <f t="shared" si="75"/>
        <v>6.2973216036120334</v>
      </c>
      <c r="AI175" s="282">
        <f t="shared" si="75"/>
        <v>6.4159944451947055</v>
      </c>
      <c r="AJ175" s="282">
        <f t="shared" si="75"/>
        <v>6.5352250491328281</v>
      </c>
      <c r="AK175" s="282">
        <f t="shared" si="75"/>
        <v>6.6550160369094566</v>
      </c>
      <c r="AL175" s="282">
        <f t="shared" si="75"/>
        <v>6.7753700423286265</v>
      </c>
      <c r="AM175" s="282">
        <f t="shared" si="75"/>
        <v>6.8962897115732815</v>
      </c>
      <c r="AN175" s="282">
        <f t="shared" si="75"/>
        <v>7.0177777032633681</v>
      </c>
      <c r="AO175" s="282">
        <f t="shared" si="75"/>
        <v>7.139836688514416</v>
      </c>
      <c r="AP175" s="282">
        <f t="shared" si="75"/>
        <v>7.262469350996132</v>
      </c>
      <c r="AQ175" s="282">
        <f t="shared" si="75"/>
        <v>7.3856783869915272</v>
      </c>
      <c r="AR175" s="282">
        <f t="shared" si="75"/>
        <v>7.5094665054560839</v>
      </c>
      <c r="AS175" s="282">
        <f t="shared" si="75"/>
        <v>7.6338364280774265</v>
      </c>
      <c r="AT175" s="282">
        <f t="shared" si="75"/>
        <v>7.7587908893350939</v>
      </c>
      <c r="AU175" s="282">
        <f t="shared" si="75"/>
        <v>7.8843326365606696</v>
      </c>
      <c r="AV175" s="282">
        <f t="shared" si="75"/>
        <v>8.0104644299981977</v>
      </c>
      <c r="AW175" s="282">
        <f t="shared" si="75"/>
        <v>8.1371890428648896</v>
      </c>
      <c r="AX175" s="282">
        <f t="shared" si="75"/>
        <v>8.2645092614120603</v>
      </c>
      <c r="AY175" s="282">
        <f t="shared" si="75"/>
        <v>8.3924278849864056</v>
      </c>
      <c r="AZ175" s="282">
        <f t="shared" si="75"/>
        <v>8.5209477260915385</v>
      </c>
      <c r="BA175" s="282">
        <f t="shared" si="75"/>
        <v>8.6500716104498707</v>
      </c>
      <c r="BB175" s="282">
        <f t="shared" si="75"/>
        <v>8.7798023770646871</v>
      </c>
      <c r="BC175" s="282">
        <f t="shared" si="75"/>
        <v>8.9101428782825902</v>
      </c>
    </row>
    <row r="176" spans="1:58" s="192" customFormat="1" ht="16.899999999999999" customHeight="1" outlineLevel="1" x14ac:dyDescent="0.25">
      <c r="B176" s="192" t="s">
        <v>422</v>
      </c>
      <c r="C176" s="282">
        <f>C175</f>
        <v>16.899265764419884</v>
      </c>
      <c r="D176" s="282">
        <f t="shared" ref="D176:BC176" si="76">C176+D175</f>
        <v>24.657887695987466</v>
      </c>
      <c r="E176" s="282">
        <f t="shared" si="76"/>
        <v>33.111459440621317</v>
      </c>
      <c r="F176" s="282">
        <f t="shared" si="76"/>
        <v>23.444353590536164</v>
      </c>
      <c r="G176" s="282">
        <f t="shared" si="76"/>
        <v>14.202763616164242</v>
      </c>
      <c r="H176" s="282">
        <f t="shared" si="76"/>
        <v>5.3871786538529971</v>
      </c>
      <c r="I176" s="282">
        <f t="shared" si="76"/>
        <v>-3.00190986110929</v>
      </c>
      <c r="J176" s="282">
        <f t="shared" si="76"/>
        <v>-10.964008183688488</v>
      </c>
      <c r="K176" s="282">
        <f t="shared" si="76"/>
        <v>-18.498620248248791</v>
      </c>
      <c r="L176" s="282">
        <f t="shared" si="76"/>
        <v>-25.605247657645918</v>
      </c>
      <c r="M176" s="282">
        <f t="shared" si="76"/>
        <v>-32.283389672269017</v>
      </c>
      <c r="N176" s="282">
        <f t="shared" si="76"/>
        <v>-38.532543199031046</v>
      </c>
      <c r="O176" s="282">
        <f t="shared" si="76"/>
        <v>-44.352202780307465</v>
      </c>
      <c r="P176" s="282">
        <f t="shared" si="76"/>
        <v>-49.741860582822909</v>
      </c>
      <c r="Q176" s="282">
        <f t="shared" si="76"/>
        <v>-54.701006386485602</v>
      </c>
      <c r="R176" s="282">
        <f t="shared" si="76"/>
        <v>-59.229127573169336</v>
      </c>
      <c r="S176" s="282">
        <f t="shared" si="76"/>
        <v>-63.325709115442713</v>
      </c>
      <c r="T176" s="282">
        <f t="shared" si="76"/>
        <v>-66.990233565245418</v>
      </c>
      <c r="U176" s="282">
        <f t="shared" si="76"/>
        <v>-70.222181042511238</v>
      </c>
      <c r="V176" s="282">
        <f t="shared" si="76"/>
        <v>-73.021029223737656</v>
      </c>
      <c r="W176" s="282">
        <f t="shared" si="76"/>
        <v>-75.386253330501702</v>
      </c>
      <c r="X176" s="282">
        <f t="shared" si="76"/>
        <v>-77.317326117921795</v>
      </c>
      <c r="Y176" s="282">
        <f t="shared" si="76"/>
        <v>-78.813717863065435</v>
      </c>
      <c r="Z176" s="282">
        <f t="shared" si="76"/>
        <v>-73.446010104768149</v>
      </c>
      <c r="AA176" s="282">
        <f t="shared" si="76"/>
        <v>-67.963998689961159</v>
      </c>
      <c r="AB176" s="282">
        <f t="shared" si="76"/>
        <v>-62.367146391458874</v>
      </c>
      <c r="AC176" s="282">
        <f t="shared" si="76"/>
        <v>-56.654913457107938</v>
      </c>
      <c r="AD176" s="282">
        <f t="shared" si="76"/>
        <v>-50.826757597919837</v>
      </c>
      <c r="AE176" s="282">
        <f t="shared" si="76"/>
        <v>-44.882133976147855</v>
      </c>
      <c r="AF176" s="282">
        <f t="shared" si="76"/>
        <v>-38.820495193307842</v>
      </c>
      <c r="AG176" s="282">
        <f t="shared" si="76"/>
        <v>-32.641291278142781</v>
      </c>
      <c r="AH176" s="282">
        <f t="shared" si="76"/>
        <v>-26.343969674530747</v>
      </c>
      <c r="AI176" s="282">
        <f t="shared" si="76"/>
        <v>-19.927975229336042</v>
      </c>
      <c r="AJ176" s="282">
        <f t="shared" si="76"/>
        <v>-13.392750180203214</v>
      </c>
      <c r="AK176" s="282">
        <f t="shared" si="76"/>
        <v>-6.737734143293757</v>
      </c>
      <c r="AL176" s="282">
        <f t="shared" si="76"/>
        <v>3.7635899034869524E-2</v>
      </c>
      <c r="AM176" s="282">
        <f t="shared" si="76"/>
        <v>6.933925610608151</v>
      </c>
      <c r="AN176" s="282">
        <f t="shared" si="76"/>
        <v>13.951703313871519</v>
      </c>
      <c r="AO176" s="282">
        <f t="shared" si="76"/>
        <v>21.091540002385933</v>
      </c>
      <c r="AP176" s="282">
        <f t="shared" si="76"/>
        <v>28.354009353382065</v>
      </c>
      <c r="AQ176" s="282">
        <f t="shared" si="76"/>
        <v>35.73968774037359</v>
      </c>
      <c r="AR176" s="282">
        <f t="shared" si="76"/>
        <v>43.249154245829672</v>
      </c>
      <c r="AS176" s="282">
        <f t="shared" si="76"/>
        <v>50.882990673907102</v>
      </c>
      <c r="AT176" s="282">
        <f t="shared" si="76"/>
        <v>58.641781563242198</v>
      </c>
      <c r="AU176" s="282">
        <f t="shared" si="76"/>
        <v>66.526114199802862</v>
      </c>
      <c r="AV176" s="282">
        <f t="shared" si="76"/>
        <v>74.536578629801056</v>
      </c>
      <c r="AW176" s="282">
        <f t="shared" si="76"/>
        <v>82.673767672665946</v>
      </c>
      <c r="AX176" s="282">
        <f t="shared" si="76"/>
        <v>90.938276934078004</v>
      </c>
      <c r="AY176" s="282">
        <f t="shared" si="76"/>
        <v>99.330704819064408</v>
      </c>
      <c r="AZ176" s="282">
        <f t="shared" si="76"/>
        <v>107.85165254515594</v>
      </c>
      <c r="BA176" s="282">
        <f t="shared" si="76"/>
        <v>116.50172415560581</v>
      </c>
      <c r="BB176" s="282">
        <f t="shared" si="76"/>
        <v>125.2815265326705</v>
      </c>
      <c r="BC176" s="282">
        <f t="shared" si="76"/>
        <v>134.1916694109531</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15.933684484650088</v>
      </c>
      <c r="D178" s="285">
        <f t="shared" ref="D178:BC178" si="77">NPV($D$28,D175)</f>
        <v>7.3153139087003414</v>
      </c>
      <c r="E178" s="285">
        <f t="shared" si="77"/>
        <v>7.9705560481179099</v>
      </c>
      <c r="F178" s="285">
        <f t="shared" si="77"/>
        <v>-9.1147518858053491</v>
      </c>
      <c r="G178" s="285">
        <f t="shared" si="77"/>
        <v>-8.7135489104015846</v>
      </c>
      <c r="H178" s="285">
        <f t="shared" si="77"/>
        <v>-8.3118847466634413</v>
      </c>
      <c r="I178" s="285">
        <f t="shared" si="77"/>
        <v>-7.9097572270057395</v>
      </c>
      <c r="J178" s="285">
        <f t="shared" si="77"/>
        <v>-7.5071641736556654</v>
      </c>
      <c r="K178" s="285">
        <f t="shared" si="77"/>
        <v>-7.104103398604849</v>
      </c>
      <c r="L178" s="285">
        <f t="shared" si="77"/>
        <v>-6.7005727035613125</v>
      </c>
      <c r="M178" s="285">
        <f t="shared" si="77"/>
        <v>-6.2965698799010905</v>
      </c>
      <c r="N178" s="285">
        <f t="shared" si="77"/>
        <v>-5.8920927086196784</v>
      </c>
      <c r="O178" s="285">
        <f t="shared" si="77"/>
        <v>-5.4871389602832563</v>
      </c>
      <c r="P178" s="285">
        <f t="shared" si="77"/>
        <v>-5.081706394979677</v>
      </c>
      <c r="Q178" s="285">
        <f t="shared" si="77"/>
        <v>-4.6757927622691806</v>
      </c>
      <c r="R178" s="285">
        <f t="shared" si="77"/>
        <v>-4.2693958011349533</v>
      </c>
      <c r="S178" s="285">
        <f t="shared" si="77"/>
        <v>-3.8625132399334103</v>
      </c>
      <c r="T178" s="285">
        <f t="shared" si="77"/>
        <v>-3.4551427963442407</v>
      </c>
      <c r="U178" s="285">
        <f t="shared" si="77"/>
        <v>-3.0472821773202146</v>
      </c>
      <c r="V178" s="285">
        <f t="shared" si="77"/>
        <v>-2.6389290790367954</v>
      </c>
      <c r="W178" s="285">
        <f t="shared" si="77"/>
        <v>-2.2300811868414545</v>
      </c>
      <c r="X178" s="285">
        <f t="shared" si="77"/>
        <v>-1.8207361752028048</v>
      </c>
      <c r="Y178" s="285">
        <f t="shared" si="77"/>
        <v>-1.4108917076594714</v>
      </c>
      <c r="Z178" s="285">
        <f t="shared" si="77"/>
        <v>5.0610105207404219</v>
      </c>
      <c r="AA178" s="285">
        <f t="shared" si="77"/>
        <v>5.1687831555789083</v>
      </c>
      <c r="AB178" s="285">
        <f t="shared" si="77"/>
        <v>5.2770623218011323</v>
      </c>
      <c r="AC178" s="285">
        <f t="shared" si="77"/>
        <v>5.3858504001045953</v>
      </c>
      <c r="AD178" s="285">
        <f t="shared" si="77"/>
        <v>5.4951497823761066</v>
      </c>
      <c r="AE178" s="285">
        <f t="shared" si="77"/>
        <v>5.6049628717442745</v>
      </c>
      <c r="AF178" s="285">
        <f t="shared" si="77"/>
        <v>5.7152920826324847</v>
      </c>
      <c r="AG178" s="285">
        <f t="shared" si="77"/>
        <v>5.8261398408118623</v>
      </c>
      <c r="AH178" s="285">
        <f t="shared" si="77"/>
        <v>5.9375085834546795</v>
      </c>
      <c r="AI178" s="285">
        <f t="shared" si="77"/>
        <v>6.0494007591879182</v>
      </c>
      <c r="AJ178" s="285">
        <f t="shared" si="77"/>
        <v>6.1618188281471129</v>
      </c>
      <c r="AK178" s="285">
        <f t="shared" si="77"/>
        <v>6.2747652620304137</v>
      </c>
      <c r="AL178" s="285">
        <f t="shared" si="77"/>
        <v>6.3882425441529573</v>
      </c>
      <c r="AM178" s="285">
        <f t="shared" si="77"/>
        <v>6.5022531695014916</v>
      </c>
      <c r="AN178" s="285">
        <f t="shared" si="77"/>
        <v>6.616799644789146</v>
      </c>
      <c r="AO178" s="285">
        <f t="shared" si="77"/>
        <v>6.7318844885106692</v>
      </c>
      <c r="AP178" s="285">
        <f t="shared" si="77"/>
        <v>6.8475102309976732</v>
      </c>
      <c r="AQ178" s="285">
        <f t="shared" si="77"/>
        <v>6.9636794144743801</v>
      </c>
      <c r="AR178" s="285">
        <f t="shared" si="77"/>
        <v>7.0803945931134109</v>
      </c>
      <c r="AS178" s="285">
        <f t="shared" si="77"/>
        <v>7.1976583330920487</v>
      </c>
      <c r="AT178" s="285">
        <f t="shared" si="77"/>
        <v>7.3154732126485893</v>
      </c>
      <c r="AU178" s="285">
        <f t="shared" si="77"/>
        <v>7.4338418221390441</v>
      </c>
      <c r="AV178" s="285">
        <f t="shared" si="77"/>
        <v>7.5527667640940956</v>
      </c>
      <c r="AW178" s="285">
        <f t="shared" si="77"/>
        <v>7.6722506532763433</v>
      </c>
      <c r="AX178" s="285">
        <f t="shared" si="77"/>
        <v>7.7922961167377522</v>
      </c>
      <c r="AY178" s="285">
        <f t="shared" si="77"/>
        <v>7.9129057938774334</v>
      </c>
      <c r="AZ178" s="285">
        <f t="shared" si="77"/>
        <v>8.0340823364996599</v>
      </c>
      <c r="BA178" s="285">
        <f t="shared" si="77"/>
        <v>8.1558284088722139</v>
      </c>
      <c r="BB178" s="285">
        <f t="shared" si="77"/>
        <v>8.2781466877849219</v>
      </c>
      <c r="BC178" s="285">
        <f t="shared" si="77"/>
        <v>8.4010398626085152</v>
      </c>
    </row>
    <row r="179" spans="2:55" s="192" customFormat="1" ht="16.899999999999999" customHeight="1" outlineLevel="1" x14ac:dyDescent="0.25">
      <c r="B179" s="286" t="s">
        <v>420</v>
      </c>
      <c r="C179" s="285">
        <f>C178</f>
        <v>15.933684484650088</v>
      </c>
      <c r="D179" s="285">
        <f t="shared" ref="D179" si="78">C179+D178</f>
        <v>23.24899839335043</v>
      </c>
      <c r="E179" s="285">
        <f t="shared" ref="E179" si="79">D179+E178</f>
        <v>31.21955444146834</v>
      </c>
      <c r="F179" s="285">
        <f t="shared" ref="F179" si="80">E179+F178</f>
        <v>22.104802555662992</v>
      </c>
      <c r="G179" s="285">
        <f t="shared" ref="G179" si="81">F179+G178</f>
        <v>13.391253645261408</v>
      </c>
      <c r="H179" s="285">
        <f t="shared" ref="H179" si="82">G179+H178</f>
        <v>5.0793688985979664</v>
      </c>
      <c r="I179" s="285">
        <f t="shared" ref="I179" si="83">H179+I178</f>
        <v>-2.8303883284077731</v>
      </c>
      <c r="J179" s="285">
        <f t="shared" ref="J179" si="84">I179+J178</f>
        <v>-10.337552502063438</v>
      </c>
      <c r="K179" s="285">
        <f t="shared" ref="K179" si="85">J179+K178</f>
        <v>-17.441655900668287</v>
      </c>
      <c r="L179" s="285">
        <f t="shared" ref="L179" si="86">K179+L178</f>
        <v>-24.142228604229601</v>
      </c>
      <c r="M179" s="285">
        <f t="shared" ref="M179" si="87">L179+M178</f>
        <v>-30.438798484130693</v>
      </c>
      <c r="N179" s="285">
        <f t="shared" ref="N179" si="88">M179+N178</f>
        <v>-36.330891192750371</v>
      </c>
      <c r="O179" s="285">
        <f t="shared" ref="O179" si="89">N179+O178</f>
        <v>-41.818030153033625</v>
      </c>
      <c r="P179" s="285">
        <f t="shared" ref="P179" si="90">O179+P178</f>
        <v>-46.899736548013301</v>
      </c>
      <c r="Q179" s="285">
        <f t="shared" ref="Q179" si="91">P179+Q178</f>
        <v>-51.575529310282484</v>
      </c>
      <c r="R179" s="285">
        <f t="shared" ref="R179" si="92">Q179+R178</f>
        <v>-55.844925111417439</v>
      </c>
      <c r="S179" s="285">
        <f t="shared" ref="S179" si="93">R179+S178</f>
        <v>-59.707438351350852</v>
      </c>
      <c r="T179" s="285">
        <f t="shared" ref="T179" si="94">S179+T178</f>
        <v>-63.162581147695093</v>
      </c>
      <c r="U179" s="285">
        <f t="shared" ref="U179" si="95">T179+U178</f>
        <v>-66.209863325015306</v>
      </c>
      <c r="V179" s="285">
        <f t="shared" ref="V179" si="96">U179+V178</f>
        <v>-68.848792404052105</v>
      </c>
      <c r="W179" s="285">
        <f t="shared" ref="W179" si="97">V179+W178</f>
        <v>-71.078873590893565</v>
      </c>
      <c r="X179" s="285">
        <f t="shared" ref="X179" si="98">W179+X178</f>
        <v>-72.899609766096376</v>
      </c>
      <c r="Y179" s="285">
        <f t="shared" ref="Y179" si="99">X179+Y178</f>
        <v>-74.310501473755849</v>
      </c>
      <c r="Z179" s="285">
        <f t="shared" ref="Z179" si="100">Y179+Z178</f>
        <v>-69.249490953015425</v>
      </c>
      <c r="AA179" s="285">
        <f t="shared" ref="AA179" si="101">Z179+AA178</f>
        <v>-64.080707797436517</v>
      </c>
      <c r="AB179" s="285">
        <f t="shared" ref="AB179" si="102">AA179+AB178</f>
        <v>-58.803645475635385</v>
      </c>
      <c r="AC179" s="285">
        <f t="shared" ref="AC179" si="103">AB179+AC178</f>
        <v>-53.41779507553079</v>
      </c>
      <c r="AD179" s="285">
        <f t="shared" ref="AD179" si="104">AC179+AD178</f>
        <v>-47.922645293154687</v>
      </c>
      <c r="AE179" s="285">
        <f t="shared" ref="AE179" si="105">AD179+AE178</f>
        <v>-42.31768242141041</v>
      </c>
      <c r="AF179" s="285">
        <f t="shared" ref="AF179" si="106">AE179+AF178</f>
        <v>-36.602390338777923</v>
      </c>
      <c r="AG179" s="285">
        <f t="shared" ref="AG179" si="107">AF179+AG178</f>
        <v>-30.77625049796606</v>
      </c>
      <c r="AH179" s="285">
        <f t="shared" ref="AH179" si="108">AG179+AH178</f>
        <v>-24.838741914511381</v>
      </c>
      <c r="AI179" s="285">
        <f t="shared" ref="AI179" si="109">AH179+AI178</f>
        <v>-18.789341155323463</v>
      </c>
      <c r="AJ179" s="285">
        <f t="shared" ref="AJ179" si="110">AI179+AJ178</f>
        <v>-12.627522327176351</v>
      </c>
      <c r="AK179" s="285">
        <f t="shared" ref="AK179" si="111">AJ179+AK178</f>
        <v>-6.3527570651459371</v>
      </c>
      <c r="AL179" s="285">
        <f t="shared" ref="AL179" si="112">AK179+AL178</f>
        <v>3.548547900702026E-2</v>
      </c>
      <c r="AM179" s="285">
        <f t="shared" ref="AM179" si="113">AL179+AM178</f>
        <v>6.5377386485085118</v>
      </c>
      <c r="AN179" s="285">
        <f t="shared" ref="AN179" si="114">AM179+AN178</f>
        <v>13.154538293297659</v>
      </c>
      <c r="AO179" s="285">
        <f t="shared" ref="AO179" si="115">AN179+AO178</f>
        <v>19.886422781808328</v>
      </c>
      <c r="AP179" s="285">
        <f t="shared" ref="AP179" si="116">AO179+AP178</f>
        <v>26.733933012806002</v>
      </c>
      <c r="AQ179" s="285">
        <f t="shared" ref="AQ179" si="117">AP179+AQ178</f>
        <v>33.697612427280383</v>
      </c>
      <c r="AR179" s="285">
        <f t="shared" ref="AR179" si="118">AQ179+AR178</f>
        <v>40.778007020393794</v>
      </c>
      <c r="AS179" s="285">
        <f t="shared" ref="AS179" si="119">AR179+AS178</f>
        <v>47.975665353485844</v>
      </c>
      <c r="AT179" s="285">
        <f t="shared" ref="AT179" si="120">AS179+AT178</f>
        <v>55.291138566134435</v>
      </c>
      <c r="AU179" s="285">
        <f t="shared" ref="AU179" si="121">AT179+AU178</f>
        <v>62.72498038827348</v>
      </c>
      <c r="AV179" s="285">
        <f t="shared" ref="AV179" si="122">AU179+AV178</f>
        <v>70.277747152367581</v>
      </c>
      <c r="AW179" s="285">
        <f t="shared" ref="AW179" si="123">AV179+AW178</f>
        <v>77.949997805643932</v>
      </c>
      <c r="AX179" s="285">
        <f t="shared" ref="AX179" si="124">AW179+AX178</f>
        <v>85.742293922381691</v>
      </c>
      <c r="AY179" s="285">
        <f t="shared" ref="AY179" si="125">AX179+AY178</f>
        <v>93.655199716259119</v>
      </c>
      <c r="AZ179" s="285">
        <f t="shared" ref="AZ179" si="126">AY179+AZ178</f>
        <v>101.68928205275878</v>
      </c>
      <c r="BA179" s="285">
        <f t="shared" ref="BA179" si="127">AZ179+BA178</f>
        <v>109.84511046163099</v>
      </c>
      <c r="BB179" s="285">
        <f t="shared" ref="BB179" si="128">BA179+BB178</f>
        <v>118.12325714941592</v>
      </c>
      <c r="BC179" s="285">
        <f t="shared" ref="BC179" si="129">BB179+BC178</f>
        <v>126.52429701202443</v>
      </c>
    </row>
    <row r="180" spans="2:55" s="192" customFormat="1" ht="16.899999999999999" customHeight="1" outlineLevel="1" x14ac:dyDescent="0.25">
      <c r="B180" s="192" t="s">
        <v>367</v>
      </c>
      <c r="C180" s="282">
        <f>C175/(1+$D$28)^C32</f>
        <v>16.899265764419884</v>
      </c>
      <c r="D180" s="282">
        <f t="shared" ref="D180:BC180" si="130">D175/(1+$D$28)^D32</f>
        <v>7.3153139087003414</v>
      </c>
      <c r="E180" s="282">
        <f t="shared" si="130"/>
        <v>7.5151386461605796</v>
      </c>
      <c r="F180" s="282">
        <f t="shared" si="130"/>
        <v>-8.1029210156833713</v>
      </c>
      <c r="G180" s="282">
        <f t="shared" si="130"/>
        <v>-7.3036542355286214</v>
      </c>
      <c r="H180" s="282">
        <f t="shared" si="130"/>
        <v>-6.5689056107815444</v>
      </c>
      <c r="I180" s="282">
        <f t="shared" si="130"/>
        <v>-5.8939309019801627</v>
      </c>
      <c r="J180" s="282">
        <f t="shared" si="130"/>
        <v>-5.2743163730400102</v>
      </c>
      <c r="K180" s="282">
        <f t="shared" si="130"/>
        <v>-4.7059565648384432</v>
      </c>
      <c r="L180" s="282">
        <f t="shared" si="130"/>
        <v>-4.1850335269174588</v>
      </c>
      <c r="M180" s="282">
        <f t="shared" si="130"/>
        <v>-3.7079974133891098</v>
      </c>
      <c r="N180" s="282">
        <f t="shared" si="130"/>
        <v>-3.2715483550919453</v>
      </c>
      <c r="O180" s="282">
        <f t="shared" si="130"/>
        <v>-2.872619525636309</v>
      </c>
      <c r="P180" s="282">
        <f t="shared" si="130"/>
        <v>-2.5083613242147393</v>
      </c>
      <c r="Q180" s="282">
        <f t="shared" si="130"/>
        <v>-2.1761266029626753</v>
      </c>
      <c r="R180" s="282">
        <f t="shared" si="130"/>
        <v>-1.8734568712549282</v>
      </c>
      <c r="S180" s="282">
        <f t="shared" si="130"/>
        <v>-1.5980694136337839</v>
      </c>
      <c r="T180" s="282">
        <f t="shared" si="130"/>
        <v>-1.3478452621037478</v>
      </c>
      <c r="U180" s="282">
        <f t="shared" si="130"/>
        <v>-1.1208179673123426</v>
      </c>
      <c r="V180" s="282">
        <f t="shared" si="130"/>
        <v>-0.9151631166821047</v>
      </c>
      <c r="W180" s="282">
        <f t="shared" si="130"/>
        <v>-0.72918855088083312</v>
      </c>
      <c r="X180" s="282">
        <f t="shared" si="130"/>
        <v>-0.5613252331293318</v>
      </c>
      <c r="Y180" s="282">
        <f t="shared" si="130"/>
        <v>-0.41011872876126088</v>
      </c>
      <c r="Z180" s="282">
        <f t="shared" si="130"/>
        <v>1.3870800929967677</v>
      </c>
      <c r="AA180" s="282">
        <f t="shared" si="130"/>
        <v>1.3356755887162501</v>
      </c>
      <c r="AB180" s="282">
        <f t="shared" si="130"/>
        <v>1.2857403587898639</v>
      </c>
      <c r="AC180" s="282">
        <f t="shared" si="130"/>
        <v>1.2372678170678355</v>
      </c>
      <c r="AD180" s="282">
        <f t="shared" si="130"/>
        <v>1.1902476761434495</v>
      </c>
      <c r="AE180" s="282">
        <f t="shared" si="130"/>
        <v>1.144666373746102</v>
      </c>
      <c r="AF180" s="282">
        <f t="shared" si="130"/>
        <v>1.1005074634441969</v>
      </c>
      <c r="AG180" s="282">
        <f t="shared" si="130"/>
        <v>1.0577519722940354</v>
      </c>
      <c r="AH180" s="282">
        <f t="shared" si="130"/>
        <v>1.0163787278889609</v>
      </c>
      <c r="AI180" s="282">
        <f t="shared" si="130"/>
        <v>0.97636465709282949</v>
      </c>
      <c r="AJ180" s="282">
        <f t="shared" si="130"/>
        <v>0.93768505858321771</v>
      </c>
      <c r="AK180" s="282">
        <f t="shared" si="130"/>
        <v>0.9003138511815526</v>
      </c>
      <c r="AL180" s="282">
        <f t="shared" si="130"/>
        <v>0.86422379980907005</v>
      </c>
      <c r="AM180" s="282">
        <f t="shared" si="130"/>
        <v>0.82938672077839992</v>
      </c>
      <c r="AN180" s="282">
        <f t="shared" si="130"/>
        <v>0.79577366801015315</v>
      </c>
      <c r="AO180" s="282">
        <f t="shared" si="130"/>
        <v>0.76335510165157849</v>
      </c>
      <c r="AP180" s="282">
        <f t="shared" si="130"/>
        <v>0.73210104046946345</v>
      </c>
      <c r="AQ180" s="282">
        <f t="shared" si="130"/>
        <v>0.70198119929183744</v>
      </c>
      <c r="AR180" s="282">
        <f t="shared" si="130"/>
        <v>0.67296511268178727</v>
      </c>
      <c r="AS180" s="282">
        <f t="shared" si="130"/>
        <v>0.64502224594183888</v>
      </c>
      <c r="AT180" s="282">
        <f t="shared" si="130"/>
        <v>0.61812209446808097</v>
      </c>
      <c r="AU180" s="282">
        <f t="shared" si="130"/>
        <v>0.59223427239946935</v>
      </c>
      <c r="AV180" s="282">
        <f t="shared" si="130"/>
        <v>0.56732859143895686</v>
      </c>
      <c r="AW180" s="282">
        <f t="shared" si="130"/>
        <v>0.54337513065904264</v>
      </c>
      <c r="AX180" s="282">
        <f t="shared" si="130"/>
        <v>0.52034429804467197</v>
      </c>
      <c r="AY180" s="282">
        <f t="shared" si="130"/>
        <v>0.49820688447087214</v>
      </c>
      <c r="AZ180" s="282">
        <f t="shared" si="130"/>
        <v>0.47693411076077941</v>
      </c>
      <c r="BA180" s="282">
        <f t="shared" si="130"/>
        <v>0.45649766842158246</v>
      </c>
      <c r="BB180" s="282">
        <f t="shared" si="130"/>
        <v>0.43686975461109834</v>
      </c>
      <c r="BC180" s="282">
        <f t="shared" si="130"/>
        <v>0.4180231018460423</v>
      </c>
    </row>
    <row r="181" spans="2:55" s="192" customFormat="1" ht="16.899999999999999" customHeight="1" outlineLevel="1" x14ac:dyDescent="0.25">
      <c r="B181" s="275" t="s">
        <v>368</v>
      </c>
      <c r="C181" s="282">
        <f>C180</f>
        <v>16.899265764419884</v>
      </c>
      <c r="D181" s="285">
        <f t="shared" ref="D181" si="131">C181+D180</f>
        <v>24.214579673120227</v>
      </c>
      <c r="E181" s="285">
        <f t="shared" ref="E181" si="132">D181+E180</f>
        <v>31.729718319280806</v>
      </c>
      <c r="F181" s="285">
        <f t="shared" ref="F181" si="133">E181+F180</f>
        <v>23.626797303597435</v>
      </c>
      <c r="G181" s="285">
        <f t="shared" ref="G181" si="134">F181+G180</f>
        <v>16.323143068068813</v>
      </c>
      <c r="H181" s="285">
        <f t="shared" ref="H181" si="135">G181+H180</f>
        <v>9.7542374572872674</v>
      </c>
      <c r="I181" s="285">
        <f t="shared" ref="I181" si="136">H181+I180</f>
        <v>3.8603065553071048</v>
      </c>
      <c r="J181" s="285">
        <f t="shared" ref="J181" si="137">I181+J180</f>
        <v>-1.4140098177329055</v>
      </c>
      <c r="K181" s="285">
        <f t="shared" ref="K181" si="138">J181+K180</f>
        <v>-6.1199663825713486</v>
      </c>
      <c r="L181" s="285">
        <f t="shared" ref="L181" si="139">K181+L180</f>
        <v>-10.304999909488807</v>
      </c>
      <c r="M181" s="285">
        <f t="shared" ref="M181" si="140">L181+M180</f>
        <v>-14.012997322877917</v>
      </c>
      <c r="N181" s="285">
        <f t="shared" ref="N181" si="141">M181+N180</f>
        <v>-17.284545677969863</v>
      </c>
      <c r="O181" s="285">
        <f t="shared" ref="O181" si="142">N181+O180</f>
        <v>-20.157165203606173</v>
      </c>
      <c r="P181" s="285">
        <f t="shared" ref="P181" si="143">O181+P180</f>
        <v>-22.665526527820912</v>
      </c>
      <c r="Q181" s="285">
        <f t="shared" ref="Q181" si="144">P181+Q180</f>
        <v>-24.841653130783587</v>
      </c>
      <c r="R181" s="285">
        <f t="shared" ref="R181" si="145">Q181+R180</f>
        <v>-26.715110002038514</v>
      </c>
      <c r="S181" s="285">
        <f t="shared" ref="S181" si="146">R181+S180</f>
        <v>-28.313179415672298</v>
      </c>
      <c r="T181" s="285">
        <f t="shared" ref="T181" si="147">S181+T180</f>
        <v>-29.661024677776044</v>
      </c>
      <c r="U181" s="285">
        <f t="shared" ref="U181" si="148">T181+U180</f>
        <v>-30.781842645088386</v>
      </c>
      <c r="V181" s="285">
        <f t="shared" ref="V181" si="149">U181+V180</f>
        <v>-31.697005761770491</v>
      </c>
      <c r="W181" s="285">
        <f t="shared" ref="W181" si="150">V181+W180</f>
        <v>-32.426194312651326</v>
      </c>
      <c r="X181" s="285">
        <f t="shared" ref="X181" si="151">W181+X180</f>
        <v>-32.987519545780657</v>
      </c>
      <c r="Y181" s="285">
        <f t="shared" ref="Y181" si="152">X181+Y180</f>
        <v>-33.397638274541919</v>
      </c>
      <c r="Z181" s="285">
        <f t="shared" ref="Z181" si="153">Y181+Z180</f>
        <v>-32.01055818154515</v>
      </c>
      <c r="AA181" s="285">
        <f t="shared" ref="AA181" si="154">Z181+AA180</f>
        <v>-30.674882592828901</v>
      </c>
      <c r="AB181" s="285">
        <f t="shared" ref="AB181" si="155">AA181+AB180</f>
        <v>-29.389142234039038</v>
      </c>
      <c r="AC181" s="285">
        <f t="shared" ref="AC181" si="156">AB181+AC180</f>
        <v>-28.151874416971204</v>
      </c>
      <c r="AD181" s="285">
        <f t="shared" ref="AD181" si="157">AC181+AD180</f>
        <v>-26.961626740827754</v>
      </c>
      <c r="AE181" s="285">
        <f t="shared" ref="AE181" si="158">AD181+AE180</f>
        <v>-25.816960367081652</v>
      </c>
      <c r="AF181" s="285">
        <f t="shared" ref="AF181" si="159">AE181+AF180</f>
        <v>-24.716452903637457</v>
      </c>
      <c r="AG181" s="285">
        <f t="shared" ref="AG181" si="160">AF181+AG180</f>
        <v>-23.658700931343422</v>
      </c>
      <c r="AH181" s="285">
        <f t="shared" ref="AH181" si="161">AG181+AH180</f>
        <v>-22.642322203454462</v>
      </c>
      <c r="AI181" s="285">
        <f t="shared" ref="AI181" si="162">AH181+AI180</f>
        <v>-21.665957546361632</v>
      </c>
      <c r="AJ181" s="285">
        <f t="shared" ref="AJ181" si="163">AI181+AJ180</f>
        <v>-20.728272487778415</v>
      </c>
      <c r="AK181" s="285">
        <f t="shared" ref="AK181" si="164">AJ181+AK180</f>
        <v>-19.827958636596861</v>
      </c>
      <c r="AL181" s="285">
        <f t="shared" ref="AL181" si="165">AK181+AL180</f>
        <v>-18.96373483678779</v>
      </c>
      <c r="AM181" s="285">
        <f t="shared" ref="AM181" si="166">AL181+AM180</f>
        <v>-18.134348116009392</v>
      </c>
      <c r="AN181" s="285">
        <f t="shared" ref="AN181" si="167">AM181+AN180</f>
        <v>-17.338574447999239</v>
      </c>
      <c r="AO181" s="285">
        <f t="shared" ref="AO181" si="168">AN181+AO180</f>
        <v>-16.575219346347659</v>
      </c>
      <c r="AP181" s="285">
        <f t="shared" ref="AP181" si="169">AO181+AP180</f>
        <v>-15.843118305878196</v>
      </c>
      <c r="AQ181" s="285">
        <f t="shared" ref="AQ181" si="170">AP181+AQ180</f>
        <v>-15.141137106586358</v>
      </c>
      <c r="AR181" s="285">
        <f t="shared" ref="AR181" si="171">AQ181+AR180</f>
        <v>-14.468171993904571</v>
      </c>
      <c r="AS181" s="285">
        <f t="shared" ref="AS181" si="172">AR181+AS180</f>
        <v>-13.823149747962733</v>
      </c>
      <c r="AT181" s="285">
        <f t="shared" ref="AT181" si="173">AS181+AT180</f>
        <v>-13.205027653494652</v>
      </c>
      <c r="AU181" s="285">
        <f t="shared" ref="AU181" si="174">AT181+AU180</f>
        <v>-12.612793381095182</v>
      </c>
      <c r="AV181" s="285">
        <f t="shared" ref="AV181" si="175">AU181+AV180</f>
        <v>-12.045464789656226</v>
      </c>
      <c r="AW181" s="285">
        <f t="shared" ref="AW181" si="176">AV181+AW180</f>
        <v>-11.502089658997184</v>
      </c>
      <c r="AX181" s="285">
        <f t="shared" ref="AX181" si="177">AW181+AX180</f>
        <v>-10.981745360952512</v>
      </c>
      <c r="AY181" s="285">
        <f t="shared" ref="AY181" si="178">AX181+AY180</f>
        <v>-10.483538476481641</v>
      </c>
      <c r="AZ181" s="285">
        <f t="shared" ref="AZ181" si="179">AY181+AZ180</f>
        <v>-10.006604365720861</v>
      </c>
      <c r="BA181" s="285">
        <f t="shared" ref="BA181" si="180">AZ181+BA180</f>
        <v>-9.5501066972992792</v>
      </c>
      <c r="BB181" s="285">
        <f t="shared" ref="BB181" si="181">BA181+BB180</f>
        <v>-9.1132369426881805</v>
      </c>
      <c r="BC181" s="285">
        <f t="shared" ref="BC181" si="182">BB181+BC180</f>
        <v>-8.695213840842138</v>
      </c>
    </row>
    <row r="182" spans="2:55" s="192" customFormat="1" ht="16.899999999999999" customHeight="1" outlineLevel="1" x14ac:dyDescent="0.25">
      <c r="B182" s="275" t="s">
        <v>369</v>
      </c>
      <c r="C182" s="282">
        <f t="shared" ref="C182:AH182" si="183">C167/(1+$C$28)^C32</f>
        <v>32.775952781001315</v>
      </c>
      <c r="D182" s="282">
        <f t="shared" si="183"/>
        <v>46.591543423382042</v>
      </c>
      <c r="E182" s="282">
        <f t="shared" si="183"/>
        <v>37.094331616551862</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2.5368311790016946</v>
      </c>
      <c r="H183" s="1490">
        <f t="shared" si="185"/>
        <v>0</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1</v>
      </c>
      <c r="AJ183" s="287">
        <f t="shared" si="186"/>
        <v>1</v>
      </c>
      <c r="AK183" s="287">
        <f t="shared" si="186"/>
        <v>1</v>
      </c>
      <c r="AL183" s="287">
        <f t="shared" si="186"/>
        <v>0.99444518914837976</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0.17265492770484414</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4" t="s">
        <v>999</v>
      </c>
      <c r="C2" s="2106" t="str">
        <f>'R&amp;C-Painel de Controle'!G2</f>
        <v>CIRSOP - Consórcio RSU Oeste Paulista</v>
      </c>
      <c r="D2" s="2107"/>
      <c r="E2" s="2107"/>
      <c r="F2" s="2107"/>
      <c r="G2" s="2107"/>
      <c r="H2" s="2108"/>
      <c r="I2" s="749"/>
    </row>
    <row r="3" spans="1:60" ht="4.9000000000000004" customHeight="1" thickTop="1" thickBot="1" x14ac:dyDescent="0.3"/>
    <row r="4" spans="1:60" ht="19.5" thickTop="1" x14ac:dyDescent="0.25">
      <c r="B4" s="1640" t="str">
        <f>B104</f>
        <v>Quant. RSU (Ano 1)</v>
      </c>
      <c r="C4" s="1641">
        <f>C104</f>
        <v>73.8</v>
      </c>
      <c r="D4" s="1642" t="str">
        <f>D104</f>
        <v>t/d</v>
      </c>
      <c r="E4" s="1643"/>
      <c r="F4" s="1643"/>
      <c r="G4" s="1643"/>
      <c r="H4" s="1644"/>
      <c r="I4" s="749"/>
    </row>
    <row r="5" spans="1:60" ht="19.899999999999999" customHeight="1" x14ac:dyDescent="0.25">
      <c r="B5" s="1645" t="s">
        <v>1024</v>
      </c>
      <c r="C5" s="1646">
        <f>'R&amp;C-Painel de Controle'!D33</f>
        <v>1396.7092707049733</v>
      </c>
      <c r="D5" s="1647" t="s">
        <v>293</v>
      </c>
      <c r="E5" s="1648"/>
      <c r="F5" s="1648"/>
      <c r="G5" s="1648"/>
      <c r="H5" s="1649"/>
      <c r="I5" s="749"/>
    </row>
    <row r="6" spans="1:60" ht="19.899999999999999" customHeight="1" x14ac:dyDescent="0.25">
      <c r="B6" s="1645" t="s">
        <v>1025</v>
      </c>
      <c r="C6" s="1646">
        <f>'R&amp;C-Painel de Controle'!H33</f>
        <v>1491.675405776728</v>
      </c>
      <c r="D6" s="1647" t="s">
        <v>293</v>
      </c>
      <c r="E6" s="1648"/>
      <c r="F6" s="1648"/>
      <c r="G6" s="1648"/>
      <c r="H6" s="1649"/>
      <c r="I6" s="749"/>
    </row>
    <row r="7" spans="1:60" ht="18.75" x14ac:dyDescent="0.25">
      <c r="B7" s="1645" t="s">
        <v>972</v>
      </c>
      <c r="C7" s="1646">
        <f>'R&amp;C-Painel de Controle'!D32</f>
        <v>35</v>
      </c>
      <c r="D7" s="1647" t="s">
        <v>260</v>
      </c>
      <c r="E7" s="1648"/>
      <c r="F7" s="1648"/>
      <c r="G7" s="1648"/>
      <c r="H7" s="1649"/>
      <c r="I7" s="749"/>
    </row>
    <row r="8" spans="1:60" ht="19.5" thickBot="1" x14ac:dyDescent="0.3">
      <c r="B8" s="1650" t="s">
        <v>930</v>
      </c>
      <c r="C8" s="1655">
        <f>'C-FCL Real'!C28</f>
        <v>9.74E-2</v>
      </c>
      <c r="D8" s="1651" t="s">
        <v>194</v>
      </c>
      <c r="E8" s="1652"/>
      <c r="F8" s="1652"/>
      <c r="G8" s="1652"/>
      <c r="H8" s="1653"/>
      <c r="I8" s="749"/>
    </row>
    <row r="9" spans="1:60" ht="4.9000000000000004" customHeight="1" thickTop="1" thickBot="1" x14ac:dyDescent="0.3"/>
    <row r="10" spans="1:60" s="885" customFormat="1" ht="19.899999999999999" customHeight="1" thickTop="1" x14ac:dyDescent="0.25">
      <c r="B10" s="2109" t="s">
        <v>998</v>
      </c>
      <c r="C10" s="2110"/>
      <c r="D10" s="2113" t="s">
        <v>994</v>
      </c>
      <c r="E10" s="2114"/>
      <c r="F10" s="2114"/>
      <c r="G10" s="2114"/>
      <c r="H10" s="2115"/>
      <c r="J10" s="1593" t="s">
        <v>995</v>
      </c>
      <c r="K10" s="1593" t="s">
        <v>993</v>
      </c>
      <c r="L10" s="1593" t="s">
        <v>996</v>
      </c>
      <c r="M10" s="1593" t="s">
        <v>994</v>
      </c>
    </row>
    <row r="11" spans="1:60" s="885" customFormat="1" ht="19.899999999999999" customHeight="1" thickBot="1" x14ac:dyDescent="0.3">
      <c r="B11" s="2111"/>
      <c r="C11" s="2112"/>
      <c r="D11" s="2116"/>
      <c r="E11" s="2117"/>
      <c r="F11" s="2117"/>
      <c r="G11" s="2117"/>
      <c r="H11" s="2118"/>
    </row>
    <row r="12" spans="1:60" ht="4.9000000000000004" customHeight="1" thickTop="1" thickBot="1" x14ac:dyDescent="0.3"/>
    <row r="13" spans="1:60" s="39" customFormat="1" ht="25.15" customHeight="1" collapsed="1" thickTop="1" thickBot="1" x14ac:dyDescent="0.3">
      <c r="B13" s="2123" t="s">
        <v>990</v>
      </c>
      <c r="C13" s="2124"/>
      <c r="D13" s="2124"/>
      <c r="E13" s="2124"/>
      <c r="F13" s="2124"/>
      <c r="G13" s="2124"/>
      <c r="H13" s="2125"/>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105" t="s">
        <v>991</v>
      </c>
      <c r="B15" s="1547" t="s">
        <v>911</v>
      </c>
      <c r="C15" s="1561"/>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105"/>
      <c r="B16" s="1548" t="str">
        <f>'C-FCL Real'!B35</f>
        <v>Dados Quantitativos RSU</v>
      </c>
      <c r="C16" s="1562">
        <f>SUMIF($D$15:$BG$15,1,D16:BG16)</f>
        <v>866526.61433096475</v>
      </c>
      <c r="D16" s="1557">
        <f>'C-FCL Real'!C35</f>
        <v>23025.599999999999</v>
      </c>
      <c r="E16" s="1544">
        <f>'C-FCL Real'!D35</f>
        <v>23133.820319999995</v>
      </c>
      <c r="F16" s="1544">
        <f>'C-FCL Real'!E35</f>
        <v>23242.549275503992</v>
      </c>
      <c r="G16" s="1544">
        <f>'C-FCL Real'!F35</f>
        <v>23351.789257098859</v>
      </c>
      <c r="H16" s="1544">
        <f>'C-FCL Real'!G35</f>
        <v>23461.542666607224</v>
      </c>
      <c r="I16" s="1544">
        <f>'C-FCL Real'!H35</f>
        <v>23571.811917140276</v>
      </c>
      <c r="J16" s="1544">
        <f>'C-FCL Real'!I35</f>
        <v>23682.599433150834</v>
      </c>
      <c r="K16" s="1544">
        <f>'C-FCL Real'!J35</f>
        <v>23793.907650486643</v>
      </c>
      <c r="L16" s="1544">
        <f>'C-FCL Real'!K35</f>
        <v>23905.739016443928</v>
      </c>
      <c r="M16" s="1544">
        <f>'C-FCL Real'!L35</f>
        <v>24018.095989821213</v>
      </c>
      <c r="N16" s="1544">
        <f>'C-FCL Real'!M35</f>
        <v>24130.981040973373</v>
      </c>
      <c r="O16" s="1544">
        <f>'C-FCL Real'!N35</f>
        <v>24244.396651865947</v>
      </c>
      <c r="P16" s="1544">
        <f>'C-FCL Real'!O35</f>
        <v>24358.345316129715</v>
      </c>
      <c r="Q16" s="1544">
        <f>'C-FCL Real'!P35</f>
        <v>24472.829539115522</v>
      </c>
      <c r="R16" s="1544">
        <f>'C-FCL Real'!Q35</f>
        <v>24587.851837949365</v>
      </c>
      <c r="S16" s="1544">
        <f>'C-FCL Real'!O35</f>
        <v>24358.345316129715</v>
      </c>
      <c r="T16" s="1544">
        <f>'C-FCL Real'!P35</f>
        <v>24472.829539115522</v>
      </c>
      <c r="U16" s="1544">
        <f>'C-FCL Real'!Q35</f>
        <v>24587.851837949365</v>
      </c>
      <c r="V16" s="1544">
        <f>'C-FCL Real'!R35</f>
        <v>24703.414741587727</v>
      </c>
      <c r="W16" s="1544">
        <f>'C-FCL Real'!S35</f>
        <v>24819.520790873186</v>
      </c>
      <c r="X16" s="1544">
        <f>'C-FCL Real'!T35</f>
        <v>24936.17253859029</v>
      </c>
      <c r="Y16" s="1544">
        <f>'C-FCL Real'!U35</f>
        <v>25053.372549521664</v>
      </c>
      <c r="Z16" s="1544">
        <f>'C-FCL Real'!V35</f>
        <v>25171.123400504413</v>
      </c>
      <c r="AA16" s="1544">
        <f>'C-FCL Real'!W35</f>
        <v>25289.427680486784</v>
      </c>
      <c r="AB16" s="1544">
        <f>'C-FCL Real'!X35</f>
        <v>25408.287990585071</v>
      </c>
      <c r="AC16" s="1544">
        <f>'C-FCL Real'!Y35</f>
        <v>25527.70694414082</v>
      </c>
      <c r="AD16" s="1544">
        <f>'C-FCL Real'!Z35</f>
        <v>25647.68716677828</v>
      </c>
      <c r="AE16" s="1544">
        <f>'C-FCL Real'!AA35</f>
        <v>25768.231296462134</v>
      </c>
      <c r="AF16" s="1544">
        <f>'C-FCL Real'!AB35</f>
        <v>25889.341983555503</v>
      </c>
      <c r="AG16" s="1544">
        <f>'C-FCL Real'!AC35</f>
        <v>26011.021890878212</v>
      </c>
      <c r="AH16" s="1544">
        <f>'C-FCL Real'!AD35</f>
        <v>26133.273693765339</v>
      </c>
      <c r="AI16" s="1544">
        <f>'C-FCL Real'!AE35</f>
        <v>26256.100080126034</v>
      </c>
      <c r="AJ16" s="1544">
        <f>'C-FCL Real'!AF35</f>
        <v>26379.503750502623</v>
      </c>
      <c r="AK16" s="1544">
        <f>'C-FCL Real'!AG35</f>
        <v>26503.487418129982</v>
      </c>
      <c r="AL16" s="1544">
        <f>'C-FCL Real'!AH35</f>
        <v>26628.053808995192</v>
      </c>
      <c r="AM16" s="1544">
        <f>'C-FCL Real'!AI35</f>
        <v>26753.205661897468</v>
      </c>
      <c r="AN16" s="1544">
        <f>'C-FCL Real'!AJ35</f>
        <v>26878.945728508384</v>
      </c>
      <c r="AO16" s="1544">
        <f>'C-FCL Real'!AK35</f>
        <v>27005.276773432372</v>
      </c>
      <c r="AP16" s="1544">
        <f>'C-FCL Real'!AL35</f>
        <v>27132.201574267503</v>
      </c>
      <c r="AQ16" s="1544">
        <f>'C-FCL Real'!AM35</f>
        <v>27259.722921666558</v>
      </c>
      <c r="AR16" s="1544">
        <f>'C-FCL Real'!AN35</f>
        <v>27387.843619398391</v>
      </c>
      <c r="AS16" s="1544">
        <f>'C-FCL Real'!AO35</f>
        <v>27516.566484409563</v>
      </c>
      <c r="AT16" s="1544">
        <f>'C-FCL Real'!AP35</f>
        <v>27645.894346886285</v>
      </c>
      <c r="AU16" s="1544">
        <f>'C-FCL Real'!AQ35</f>
        <v>27775.83005031665</v>
      </c>
      <c r="AV16" s="1544">
        <f>'C-FCL Real'!AR35</f>
        <v>27906.376451553137</v>
      </c>
      <c r="AW16" s="1544">
        <f>'C-FCL Real'!AS35</f>
        <v>28037.536420875433</v>
      </c>
      <c r="AX16" s="1544">
        <f>'C-FCL Real'!AT35</f>
        <v>28169.312842053547</v>
      </c>
      <c r="AY16" s="1544">
        <f>'C-FCL Real'!AU35</f>
        <v>28301.708612411196</v>
      </c>
      <c r="AZ16" s="1544">
        <f>'C-FCL Real'!AV35</f>
        <v>28434.726642889527</v>
      </c>
      <c r="BA16" s="1544">
        <f>'C-FCL Real'!AW35</f>
        <v>28568.369858111106</v>
      </c>
      <c r="BB16" s="1544">
        <f>'C-FCL Real'!AX35</f>
        <v>28702.641196444227</v>
      </c>
      <c r="BC16" s="1544">
        <f>'C-FCL Real'!AY35</f>
        <v>28837.543610067514</v>
      </c>
      <c r="BD16" s="1544">
        <f>'C-FCL Real'!AZ35</f>
        <v>28973.080065034828</v>
      </c>
      <c r="BE16" s="1544">
        <f>'C-FCL Real'!BA35</f>
        <v>29109.253541340491</v>
      </c>
      <c r="BF16" s="1544">
        <f>'C-FCL Real'!BB35</f>
        <v>29246.067032984789</v>
      </c>
      <c r="BG16" s="1544">
        <f>'C-FCL Real'!BC35</f>
        <v>29383.523548039815</v>
      </c>
      <c r="BH16" s="1544">
        <f>'C-FCL Real'!BD35</f>
        <v>0</v>
      </c>
    </row>
    <row r="17" spans="1:60" ht="15" hidden="1" customHeight="1" outlineLevel="1" x14ac:dyDescent="0.25">
      <c r="A17" s="35"/>
      <c r="B17" s="1548"/>
      <c r="C17" s="1563"/>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6">
        <f>C18*1000000/$C$16</f>
        <v>211.97555990320365</v>
      </c>
      <c r="B18" s="1549" t="str">
        <f>'C-FCL Real'!B63</f>
        <v>Dados de Capex</v>
      </c>
      <c r="C18" s="1564">
        <f>SUMIF($D$15:$BG$15,1,D18:BG18)</f>
        <v>183.68246424383366</v>
      </c>
      <c r="D18" s="1559">
        <f>'C-FCL Real'!C63</f>
        <v>46.822789687144734</v>
      </c>
      <c r="E18" s="48">
        <f>'C-FCL Real'!D63</f>
        <v>73.042228218313511</v>
      </c>
      <c r="F18" s="48">
        <f>'C-FCL Real'!E63</f>
        <v>63.817446338375426</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6">
        <f>C19*1000000/$C$16</f>
        <v>193.1616182824892</v>
      </c>
      <c r="B19" s="1598" t="s">
        <v>914</v>
      </c>
      <c r="C19" s="1563">
        <f>SUMIF($D$15:$BG$15,1,D19:BG19)</f>
        <v>167.37968310901556</v>
      </c>
      <c r="D19" s="1559">
        <f t="shared" ref="D19:AJ19" si="0">NPV($C$8,D18:D18)</f>
        <v>42.667021767035479</v>
      </c>
      <c r="E19" s="48">
        <f t="shared" si="0"/>
        <v>66.559347747688648</v>
      </c>
      <c r="F19" s="48">
        <f t="shared" si="0"/>
        <v>58.15331359429144</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6"/>
      <c r="B20" s="749"/>
      <c r="C20" s="1834">
        <f>C18*1000000/(C16/C43)</f>
        <v>7419.1445966121273</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6">
        <f>C21*1000000/$C$16</f>
        <v>1064.4830747017327</v>
      </c>
      <c r="B21" s="1549" t="str">
        <f>'C-FCL Real'!B119</f>
        <v>Dados de Opex + Gestão do Contrato</v>
      </c>
      <c r="C21" s="1564">
        <f>SUMIF($D$15:$BG$15,1,D21:BG21)</f>
        <v>922.40291473390789</v>
      </c>
      <c r="D21" s="1559">
        <f>'C-FCL Real'!C119</f>
        <v>1.1691467915409994</v>
      </c>
      <c r="E21" s="48">
        <f>'C-FCL Real'!D119</f>
        <v>1.1691467915409994</v>
      </c>
      <c r="F21" s="48">
        <f>'C-FCL Real'!E119</f>
        <v>1.1691467915409994</v>
      </c>
      <c r="G21" s="48">
        <f>'C-FCL Real'!F119</f>
        <v>28.715483573727671</v>
      </c>
      <c r="H21" s="48">
        <f>'C-FCL Real'!G119</f>
        <v>28.715483573727671</v>
      </c>
      <c r="I21" s="48">
        <f>'C-FCL Real'!H119</f>
        <v>28.715483573727671</v>
      </c>
      <c r="J21" s="48">
        <f>'C-FCL Real'!I119</f>
        <v>28.715483573727671</v>
      </c>
      <c r="K21" s="48">
        <f>'C-FCL Real'!J119</f>
        <v>28.715483573727671</v>
      </c>
      <c r="L21" s="48">
        <f>'C-FCL Real'!K119</f>
        <v>28.715483573727671</v>
      </c>
      <c r="M21" s="48">
        <f>'C-FCL Real'!L119</f>
        <v>28.715483573727671</v>
      </c>
      <c r="N21" s="48">
        <f>'C-FCL Real'!M119</f>
        <v>28.715483573727671</v>
      </c>
      <c r="O21" s="48">
        <f>'C-FCL Real'!N119</f>
        <v>28.715483573727671</v>
      </c>
      <c r="P21" s="48">
        <f>'C-FCL Real'!O119</f>
        <v>28.715483573727671</v>
      </c>
      <c r="Q21" s="48">
        <f>'C-FCL Real'!P119</f>
        <v>28.715483573727671</v>
      </c>
      <c r="R21" s="48">
        <f>'C-FCL Real'!Q119</f>
        <v>28.715483573727671</v>
      </c>
      <c r="S21" s="48">
        <f>'C-FCL Real'!O119</f>
        <v>28.715483573727671</v>
      </c>
      <c r="T21" s="48">
        <f>'C-FCL Real'!P119</f>
        <v>28.715483573727671</v>
      </c>
      <c r="U21" s="48">
        <f>'C-FCL Real'!Q119</f>
        <v>28.715483573727671</v>
      </c>
      <c r="V21" s="48">
        <f>'C-FCL Real'!R119</f>
        <v>28.715483573727671</v>
      </c>
      <c r="W21" s="48">
        <f>'C-FCL Real'!S119</f>
        <v>28.715483573727671</v>
      </c>
      <c r="X21" s="48">
        <f>'C-FCL Real'!T119</f>
        <v>28.715483573727671</v>
      </c>
      <c r="Y21" s="48">
        <f>'C-FCL Real'!U119</f>
        <v>28.715483573727671</v>
      </c>
      <c r="Z21" s="48">
        <f>'C-FCL Real'!V119</f>
        <v>28.715483573727671</v>
      </c>
      <c r="AA21" s="48">
        <f>'C-FCL Real'!W119</f>
        <v>28.715483573727671</v>
      </c>
      <c r="AB21" s="48">
        <f>'C-FCL Real'!X119</f>
        <v>28.715483573727671</v>
      </c>
      <c r="AC21" s="48">
        <f>'C-FCL Real'!Y119</f>
        <v>28.715483573727671</v>
      </c>
      <c r="AD21" s="48">
        <f>'C-FCL Real'!Z119</f>
        <v>28.715483573727671</v>
      </c>
      <c r="AE21" s="48">
        <f>'C-FCL Real'!AA119</f>
        <v>28.715483573727671</v>
      </c>
      <c r="AF21" s="48">
        <f>'C-FCL Real'!AB119</f>
        <v>28.715483573727671</v>
      </c>
      <c r="AG21" s="48">
        <f>'C-FCL Real'!AC119</f>
        <v>28.715483573727671</v>
      </c>
      <c r="AH21" s="48">
        <f>'C-FCL Real'!AD119</f>
        <v>28.715483573727671</v>
      </c>
      <c r="AI21" s="48">
        <f>'C-FCL Real'!AE119</f>
        <v>28.715483573727671</v>
      </c>
      <c r="AJ21" s="48">
        <f>'C-FCL Real'!AF119</f>
        <v>28.715483573727671</v>
      </c>
      <c r="AK21" s="48">
        <f>'C-FCL Real'!AG119</f>
        <v>28.715483573727671</v>
      </c>
      <c r="AL21" s="48">
        <f>'C-FCL Real'!AH119</f>
        <v>28.715483573727671</v>
      </c>
      <c r="AM21" s="48">
        <f>'C-FCL Real'!AI119</f>
        <v>28.715483573727671</v>
      </c>
      <c r="AN21" s="48">
        <f>'C-FCL Real'!AJ119</f>
        <v>28.715483573727671</v>
      </c>
      <c r="AO21" s="48">
        <f>'C-FCL Real'!AK119</f>
        <v>28.715483573727671</v>
      </c>
      <c r="AP21" s="48">
        <f>'C-FCL Real'!AL119</f>
        <v>28.715483573727671</v>
      </c>
      <c r="AQ21" s="48">
        <f>'C-FCL Real'!AM119</f>
        <v>28.715483573727671</v>
      </c>
      <c r="AR21" s="48">
        <f>'C-FCL Real'!AN119</f>
        <v>28.715483573727671</v>
      </c>
      <c r="AS21" s="48">
        <f>'C-FCL Real'!AO119</f>
        <v>28.715483573727671</v>
      </c>
      <c r="AT21" s="48">
        <f>'C-FCL Real'!AP119</f>
        <v>28.715483573727671</v>
      </c>
      <c r="AU21" s="48">
        <f>'C-FCL Real'!AQ119</f>
        <v>28.715483573727671</v>
      </c>
      <c r="AV21" s="48">
        <f>'C-FCL Real'!AR119</f>
        <v>28.715483573727671</v>
      </c>
      <c r="AW21" s="48">
        <f>'C-FCL Real'!AS119</f>
        <v>28.715483573727671</v>
      </c>
      <c r="AX21" s="48">
        <f>'C-FCL Real'!AT119</f>
        <v>28.715483573727671</v>
      </c>
      <c r="AY21" s="48">
        <f>'C-FCL Real'!AU119</f>
        <v>28.715483573727671</v>
      </c>
      <c r="AZ21" s="48">
        <f>'C-FCL Real'!AV119</f>
        <v>28.715483573727671</v>
      </c>
      <c r="BA21" s="48">
        <f>'C-FCL Real'!AW119</f>
        <v>28.715483573727671</v>
      </c>
      <c r="BB21" s="48">
        <f>'C-FCL Real'!AX119</f>
        <v>28.715483573727671</v>
      </c>
      <c r="BC21" s="48">
        <f>'C-FCL Real'!AY119</f>
        <v>28.715483573727671</v>
      </c>
      <c r="BD21" s="48">
        <f>'C-FCL Real'!AZ119</f>
        <v>28.715483573727671</v>
      </c>
      <c r="BE21" s="48">
        <f>'C-FCL Real'!BA119</f>
        <v>28.715483573727671</v>
      </c>
      <c r="BF21" s="48">
        <f>'C-FCL Real'!BB119</f>
        <v>28.715483573727671</v>
      </c>
      <c r="BG21" s="48">
        <f>'C-FCL Real'!BC119</f>
        <v>28.715483573727671</v>
      </c>
      <c r="BH21" s="48">
        <f>'C-FCL Real'!BD119</f>
        <v>0</v>
      </c>
    </row>
    <row r="22" spans="1:60" ht="15" hidden="1" customHeight="1" outlineLevel="1" x14ac:dyDescent="0.25">
      <c r="A22" s="1576">
        <f>C22*1000000/$C$16</f>
        <v>909.6098631547228</v>
      </c>
      <c r="B22" s="1598" t="s">
        <v>915</v>
      </c>
      <c r="C22" s="1563">
        <f>SUMIF($D$15:$BG$15,1,D22:BG22)</f>
        <v>788.20115508151412</v>
      </c>
      <c r="D22" s="1559">
        <f t="shared" ref="D22:AJ22" si="1">NPV($C$8,D21:D21)</f>
        <v>1.0653788878631305</v>
      </c>
      <c r="E22" s="48">
        <f t="shared" si="1"/>
        <v>1.0653788878631305</v>
      </c>
      <c r="F22" s="48">
        <f t="shared" si="1"/>
        <v>1.0653788878631305</v>
      </c>
      <c r="G22" s="48">
        <f t="shared" si="1"/>
        <v>26.166833947264145</v>
      </c>
      <c r="H22" s="48">
        <f t="shared" si="1"/>
        <v>26.166833947264145</v>
      </c>
      <c r="I22" s="48">
        <f t="shared" si="1"/>
        <v>26.166833947264145</v>
      </c>
      <c r="J22" s="48">
        <f t="shared" si="1"/>
        <v>26.166833947264145</v>
      </c>
      <c r="K22" s="48">
        <f t="shared" si="1"/>
        <v>26.166833947264145</v>
      </c>
      <c r="L22" s="48">
        <f t="shared" si="1"/>
        <v>26.166833947264145</v>
      </c>
      <c r="M22" s="48">
        <f t="shared" si="1"/>
        <v>26.166833947264145</v>
      </c>
      <c r="N22" s="48">
        <f t="shared" si="1"/>
        <v>26.166833947264145</v>
      </c>
      <c r="O22" s="48">
        <f t="shared" si="1"/>
        <v>26.166833947264145</v>
      </c>
      <c r="P22" s="48">
        <f t="shared" si="1"/>
        <v>26.166833947264145</v>
      </c>
      <c r="Q22" s="48">
        <f t="shared" si="1"/>
        <v>26.166833947264145</v>
      </c>
      <c r="R22" s="48">
        <f t="shared" si="1"/>
        <v>26.166833947264145</v>
      </c>
      <c r="S22" s="48">
        <f t="shared" si="1"/>
        <v>26.166833947264145</v>
      </c>
      <c r="T22" s="48">
        <f t="shared" si="1"/>
        <v>26.166833947264145</v>
      </c>
      <c r="U22" s="48">
        <f t="shared" si="1"/>
        <v>26.166833947264145</v>
      </c>
      <c r="V22" s="48">
        <f t="shared" si="1"/>
        <v>26.166833947264145</v>
      </c>
      <c r="W22" s="48">
        <f t="shared" si="1"/>
        <v>26.166833947264145</v>
      </c>
      <c r="X22" s="48">
        <f t="shared" si="1"/>
        <v>26.166833947264145</v>
      </c>
      <c r="Y22" s="48">
        <f t="shared" si="1"/>
        <v>26.166833947264145</v>
      </c>
      <c r="Z22" s="48">
        <f t="shared" si="1"/>
        <v>26.166833947264145</v>
      </c>
      <c r="AA22" s="48">
        <f t="shared" si="1"/>
        <v>26.166833947264145</v>
      </c>
      <c r="AB22" s="48">
        <f t="shared" si="1"/>
        <v>26.166833947264145</v>
      </c>
      <c r="AC22" s="48">
        <f t="shared" si="1"/>
        <v>26.166833947264145</v>
      </c>
      <c r="AD22" s="48">
        <f t="shared" si="1"/>
        <v>26.166833947264145</v>
      </c>
      <c r="AE22" s="48">
        <f t="shared" si="1"/>
        <v>26.166833947264145</v>
      </c>
      <c r="AF22" s="48">
        <f t="shared" si="1"/>
        <v>26.166833947264145</v>
      </c>
      <c r="AG22" s="48">
        <f t="shared" si="1"/>
        <v>26.166833947264145</v>
      </c>
      <c r="AH22" s="48">
        <f t="shared" si="1"/>
        <v>26.166833947264145</v>
      </c>
      <c r="AI22" s="48">
        <f t="shared" si="1"/>
        <v>26.166833947264145</v>
      </c>
      <c r="AJ22" s="48">
        <f t="shared" si="1"/>
        <v>26.166833947264145</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6"/>
      <c r="B23" s="1548"/>
      <c r="C23" s="1835">
        <f>C21*1000000/C16</f>
        <v>1064.4830747017327</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6">
        <f>C24*1000000/$C$16</f>
        <v>0</v>
      </c>
      <c r="B24" s="1549" t="s">
        <v>950</v>
      </c>
      <c r="C24" s="1564">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6">
        <f>C25*1000000/$C$16</f>
        <v>0</v>
      </c>
      <c r="B25" s="1598" t="s">
        <v>949</v>
      </c>
      <c r="C25" s="1563">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6"/>
      <c r="B26" s="1548"/>
      <c r="C26" s="1563"/>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6">
        <f>C27*1000000/$C$16</f>
        <v>1197.6781996295149</v>
      </c>
      <c r="B27" s="1549" t="str">
        <f>'C-FCL Real'!B148</f>
        <v>Dados de Receitas Diretas</v>
      </c>
      <c r="C27" s="1564">
        <f>SUMIF($D$15:$BG$15,1,D27:BG27)</f>
        <v>1037.8200353829689</v>
      </c>
      <c r="D27" s="1559">
        <f>'C-FCL Real'!C148-D30</f>
        <v>27.577259153389349</v>
      </c>
      <c r="E27" s="48">
        <f>'C-FCL Real'!D148-E30</f>
        <v>27.706872271410276</v>
      </c>
      <c r="F27" s="48">
        <f>'C-FCL Real'!E148-F30</f>
        <v>27.837094571085895</v>
      </c>
      <c r="G27" s="48">
        <f>'C-FCL Real'!F148-G30</f>
        <v>27.967928915569999</v>
      </c>
      <c r="H27" s="48">
        <f>'C-FCL Real'!G148-H30</f>
        <v>28.099378181473181</v>
      </c>
      <c r="I27" s="48">
        <f>'C-FCL Real'!H148-I30</f>
        <v>28.231445258926101</v>
      </c>
      <c r="J27" s="48">
        <f>'C-FCL Real'!I148-J30</f>
        <v>28.364133051643051</v>
      </c>
      <c r="K27" s="48">
        <f>'C-FCL Real'!J148-K30</f>
        <v>28.497444476985773</v>
      </c>
      <c r="L27" s="48">
        <f>'C-FCL Real'!K148-L30</f>
        <v>28.631382466027603</v>
      </c>
      <c r="M27" s="48">
        <f>'C-FCL Real'!L148-M30</f>
        <v>28.765949963617931</v>
      </c>
      <c r="N27" s="48">
        <f>'C-FCL Real'!M148-N30</f>
        <v>28.901149928446937</v>
      </c>
      <c r="O27" s="48">
        <f>'C-FCL Real'!N148-O30</f>
        <v>29.036985333110636</v>
      </c>
      <c r="P27" s="48">
        <f>'C-FCL Real'!O148-P30</f>
        <v>29.173459164176254</v>
      </c>
      <c r="Q27" s="48">
        <f>'C-FCL Real'!P148-Q30</f>
        <v>29.310574422247875</v>
      </c>
      <c r="R27" s="48">
        <f>'C-FCL Real'!Q148-R30</f>
        <v>29.448334122032442</v>
      </c>
      <c r="S27" s="48">
        <f>'C-FCL Real'!O148-S30</f>
        <v>29.173459164176254</v>
      </c>
      <c r="T27" s="48">
        <f>'C-FCL Real'!P148-T30</f>
        <v>29.310574422247875</v>
      </c>
      <c r="U27" s="48">
        <f>'C-FCL Real'!Q148-U30</f>
        <v>29.448334122032442</v>
      </c>
      <c r="V27" s="48">
        <f>'C-FCL Real'!R148-V30</f>
        <v>29.586741292406</v>
      </c>
      <c r="W27" s="48">
        <f>'C-FCL Real'!S148-W30</f>
        <v>29.725798976480309</v>
      </c>
      <c r="X27" s="48">
        <f>'C-FCL Real'!T148-X30</f>
        <v>29.865510231669756</v>
      </c>
      <c r="Y27" s="48">
        <f>'C-FCL Real'!U148-Y30</f>
        <v>30.005878129758607</v>
      </c>
      <c r="Z27" s="48">
        <f>'C-FCL Real'!V148-Z30</f>
        <v>30.146905756968472</v>
      </c>
      <c r="AA27" s="48">
        <f>'C-FCL Real'!W148-AA30</f>
        <v>30.288596214026221</v>
      </c>
      <c r="AB27" s="48">
        <f>'C-FCL Real'!X148-AB30</f>
        <v>30.430952616232144</v>
      </c>
      <c r="AC27" s="48">
        <f>'C-FCL Real'!Y148-AC30</f>
        <v>30.573978093528435</v>
      </c>
      <c r="AD27" s="48">
        <f>'C-FCL Real'!Z148-AD30</f>
        <v>30.717675790568006</v>
      </c>
      <c r="AE27" s="48">
        <f>'C-FCL Real'!AA148-AE30</f>
        <v>30.862048866783677</v>
      </c>
      <c r="AF27" s="48">
        <f>'C-FCL Real'!AB148-AF30</f>
        <v>31.007100496457561</v>
      </c>
      <c r="AG27" s="48">
        <f>'C-FCL Real'!AC148-AG30</f>
        <v>31.152833868790914</v>
      </c>
      <c r="AH27" s="48">
        <f>'C-FCL Real'!AD148-AH30</f>
        <v>31.299252187974218</v>
      </c>
      <c r="AI27" s="48">
        <f>'C-FCL Real'!AE148-AI30</f>
        <v>31.446358673257699</v>
      </c>
      <c r="AJ27" s="48">
        <f>'C-FCL Real'!AF148-AJ30</f>
        <v>31.594156559022011</v>
      </c>
      <c r="AK27" s="48">
        <f>'C-FCL Real'!AG148-AK30</f>
        <v>31.742649094849405</v>
      </c>
      <c r="AL27" s="48">
        <f>'C-FCL Real'!AH148-AL30</f>
        <v>31.891839545595197</v>
      </c>
      <c r="AM27" s="48">
        <f>'C-FCL Real'!AI148-AM30</f>
        <v>32.041731191459498</v>
      </c>
      <c r="AN27" s="48">
        <f>'C-FCL Real'!AJ148-AN30</f>
        <v>32.192327328059356</v>
      </c>
      <c r="AO27" s="48">
        <f>'C-FCL Real'!AK148-AO30</f>
        <v>32.343631266501227</v>
      </c>
      <c r="AP27" s="48">
        <f>'C-FCL Real'!AL148-AP30</f>
        <v>32.495646333453784</v>
      </c>
      <c r="AQ27" s="48">
        <f>'C-FCL Real'!AM148-AQ30</f>
        <v>32.648375871221006</v>
      </c>
      <c r="AR27" s="48">
        <f>'C-FCL Real'!AN148-AR30</f>
        <v>32.801823237815746</v>
      </c>
      <c r="AS27" s="48">
        <f>'C-FCL Real'!AO148-AS30</f>
        <v>32.955991807033485</v>
      </c>
      <c r="AT27" s="48">
        <f>'C-FCL Real'!AP148-AT30</f>
        <v>33.110884968526541</v>
      </c>
      <c r="AU27" s="48">
        <f>'C-FCL Real'!AQ148-AU30</f>
        <v>33.266506127878607</v>
      </c>
      <c r="AV27" s="48">
        <f>'C-FCL Real'!AR148-AV30</f>
        <v>33.422858706679641</v>
      </c>
      <c r="AW27" s="48">
        <f>'C-FCL Real'!AS148-AW30</f>
        <v>33.579946142601031</v>
      </c>
      <c r="AX27" s="48">
        <f>'C-FCL Real'!AT148-AX30</f>
        <v>33.737771889471254</v>
      </c>
      <c r="AY27" s="48">
        <f>'C-FCL Real'!AU148-AY30</f>
        <v>33.896339417351761</v>
      </c>
      <c r="AZ27" s="48">
        <f>'C-FCL Real'!AV148-AZ30</f>
        <v>34.055652212613317</v>
      </c>
      <c r="BA27" s="48">
        <f>'C-FCL Real'!AW148-BA30</f>
        <v>34.215713778012606</v>
      </c>
      <c r="BB27" s="48">
        <f>'C-FCL Real'!AX148-BB30</f>
        <v>34.37652763276926</v>
      </c>
      <c r="BC27" s="48">
        <f>'C-FCL Real'!AY148-BC30</f>
        <v>34.538097312643266</v>
      </c>
      <c r="BD27" s="48">
        <f>'C-FCL Real'!AZ148-BD30</f>
        <v>34.700426370012686</v>
      </c>
      <c r="BE27" s="48">
        <f>'C-FCL Real'!BA148-BE30</f>
        <v>34.863518373951749</v>
      </c>
      <c r="BF27" s="48">
        <f>'C-FCL Real'!BB148-BF30</f>
        <v>35.027376910309314</v>
      </c>
      <c r="BG27" s="48">
        <f>'C-FCL Real'!BC148-BG30</f>
        <v>35.192005581787775</v>
      </c>
      <c r="BH27" s="48">
        <f>'C-FCL Real'!BD148-BH30</f>
        <v>0</v>
      </c>
    </row>
    <row r="28" spans="1:60" ht="15" hidden="1" customHeight="1" outlineLevel="1" x14ac:dyDescent="0.25">
      <c r="A28" s="1576">
        <f>C28*1000000/$C$16</f>
        <v>1024.4595611827144</v>
      </c>
      <c r="B28" s="1598" t="s">
        <v>916</v>
      </c>
      <c r="C28" s="1563">
        <f>SUMIF($D$15:$BG$15,1,D28:BG28)</f>
        <v>887.72147507064335</v>
      </c>
      <c r="D28" s="1559">
        <f t="shared" ref="D28:AJ28" si="3">NPV($C$8,D27:D27)</f>
        <v>25.129632908136823</v>
      </c>
      <c r="E28" s="48">
        <f t="shared" si="3"/>
        <v>25.247742182805066</v>
      </c>
      <c r="F28" s="48">
        <f t="shared" si="3"/>
        <v>25.366406571064239</v>
      </c>
      <c r="G28" s="48">
        <f t="shared" si="3"/>
        <v>25.485628681948242</v>
      </c>
      <c r="H28" s="48">
        <f t="shared" si="3"/>
        <v>25.6054111367534</v>
      </c>
      <c r="I28" s="48">
        <f t="shared" si="3"/>
        <v>25.725756569096138</v>
      </c>
      <c r="J28" s="48">
        <f t="shared" si="3"/>
        <v>25.846667624970888</v>
      </c>
      <c r="K28" s="48">
        <f t="shared" si="3"/>
        <v>25.968146962808252</v>
      </c>
      <c r="L28" s="48">
        <f t="shared" si="3"/>
        <v>26.090197253533447</v>
      </c>
      <c r="M28" s="48">
        <f t="shared" si="3"/>
        <v>26.212821180625053</v>
      </c>
      <c r="N28" s="48">
        <f t="shared" si="3"/>
        <v>26.336021440173994</v>
      </c>
      <c r="O28" s="48">
        <f t="shared" si="3"/>
        <v>26.459800740942807</v>
      </c>
      <c r="P28" s="48">
        <f t="shared" si="3"/>
        <v>26.584161804425239</v>
      </c>
      <c r="Q28" s="48">
        <f t="shared" si="3"/>
        <v>26.709107364906028</v>
      </c>
      <c r="R28" s="48">
        <f t="shared" si="3"/>
        <v>26.834640169521091</v>
      </c>
      <c r="S28" s="48">
        <f t="shared" si="3"/>
        <v>26.584161804425239</v>
      </c>
      <c r="T28" s="48">
        <f t="shared" si="3"/>
        <v>26.709107364906028</v>
      </c>
      <c r="U28" s="48">
        <f t="shared" si="3"/>
        <v>26.834640169521091</v>
      </c>
      <c r="V28" s="48">
        <f t="shared" si="3"/>
        <v>26.960762978317845</v>
      </c>
      <c r="W28" s="48">
        <f t="shared" si="3"/>
        <v>27.087478564315937</v>
      </c>
      <c r="X28" s="48">
        <f t="shared" si="3"/>
        <v>27.214789713568212</v>
      </c>
      <c r="Y28" s="48">
        <f t="shared" si="3"/>
        <v>27.342699225221988</v>
      </c>
      <c r="Z28" s="48">
        <f t="shared" si="3"/>
        <v>27.47120991158053</v>
      </c>
      <c r="AA28" s="48">
        <f t="shared" si="3"/>
        <v>27.600324598164956</v>
      </c>
      <c r="AB28" s="48">
        <f t="shared" si="3"/>
        <v>27.730046123776333</v>
      </c>
      <c r="AC28" s="48">
        <f t="shared" si="3"/>
        <v>27.860377340558081</v>
      </c>
      <c r="AD28" s="48">
        <f t="shared" si="3"/>
        <v>27.991321114058692</v>
      </c>
      <c r="AE28" s="48">
        <f t="shared" si="3"/>
        <v>28.122880323294769</v>
      </c>
      <c r="AF28" s="48">
        <f t="shared" si="3"/>
        <v>28.255057860814254</v>
      </c>
      <c r="AG28" s="48">
        <f t="shared" si="3"/>
        <v>28.387856632760084</v>
      </c>
      <c r="AH28" s="48">
        <f t="shared" si="3"/>
        <v>28.521279558934044</v>
      </c>
      <c r="AI28" s="48">
        <f t="shared" si="3"/>
        <v>28.655329572861035</v>
      </c>
      <c r="AJ28" s="48">
        <f t="shared" si="3"/>
        <v>28.790009621853482</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6"/>
      <c r="B29" s="749"/>
      <c r="C29" s="1563"/>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6">
        <f>C30*1000000/$C$16</f>
        <v>115.65110195457139</v>
      </c>
      <c r="B30" s="1549" t="str">
        <f>'C-FCL Real'!B149</f>
        <v>Receita do Ente Público pela disposição do RPU</v>
      </c>
      <c r="C30" s="1564">
        <f>SUMIF($D$15:$BG$15,1,D30:BG30)</f>
        <v>100.21475782033997</v>
      </c>
      <c r="D30" s="1559">
        <f>'C-FCL Real'!C149</f>
        <v>2.6629360131651798</v>
      </c>
      <c r="E30" s="48">
        <f>'C-FCL Real'!D149</f>
        <v>2.6754518124270561</v>
      </c>
      <c r="F30" s="48">
        <f>'C-FCL Real'!E149</f>
        <v>2.6880264359454631</v>
      </c>
      <c r="G30" s="48">
        <f>'C-FCL Real'!F149</f>
        <v>2.7006601601944067</v>
      </c>
      <c r="H30" s="48">
        <f>'C-FCL Real'!G149</f>
        <v>2.71335326294732</v>
      </c>
      <c r="I30" s="48">
        <f>'C-FCL Real'!H149</f>
        <v>2.7261060232831724</v>
      </c>
      <c r="J30" s="48">
        <f>'C-FCL Real'!I149</f>
        <v>2.738918721592603</v>
      </c>
      <c r="K30" s="48">
        <f>'C-FCL Real'!J149</f>
        <v>2.7517916395840878</v>
      </c>
      <c r="L30" s="48">
        <f>'C-FCL Real'!K149</f>
        <v>2.7647250602901328</v>
      </c>
      <c r="M30" s="48">
        <f>'C-FCL Real'!L149</f>
        <v>2.7777192680734961</v>
      </c>
      <c r="N30" s="48">
        <f>'C-FCL Real'!M149</f>
        <v>2.7907745486334412</v>
      </c>
      <c r="O30" s="48">
        <f>'C-FCL Real'!N149</f>
        <v>2.8038911890120182</v>
      </c>
      <c r="P30" s="48">
        <f>'C-FCL Real'!O149</f>
        <v>2.8170694776003744</v>
      </c>
      <c r="Q30" s="48">
        <f>'C-FCL Real'!P149</f>
        <v>2.8303097041450958</v>
      </c>
      <c r="R30" s="48">
        <f>'C-FCL Real'!Q149</f>
        <v>2.8436121597545774</v>
      </c>
      <c r="S30" s="48">
        <f>'C-FCL Real'!O149</f>
        <v>2.8170694776003744</v>
      </c>
      <c r="T30" s="48">
        <f>'C-FCL Real'!P149</f>
        <v>2.8303097041450958</v>
      </c>
      <c r="U30" s="48">
        <f>'C-FCL Real'!Q149</f>
        <v>2.8436121597545774</v>
      </c>
      <c r="V30" s="48">
        <f>'C-FCL Real'!R149</f>
        <v>2.8569771369054235</v>
      </c>
      <c r="W30" s="48">
        <f>'C-FCL Real'!S149</f>
        <v>2.8704049294488789</v>
      </c>
      <c r="X30" s="48">
        <f>'C-FCL Real'!T149</f>
        <v>2.8838958326172883</v>
      </c>
      <c r="Y30" s="48">
        <f>'C-FCL Real'!U149</f>
        <v>2.8974501430305892</v>
      </c>
      <c r="Z30" s="48">
        <f>'C-FCL Real'!V149</f>
        <v>2.9110681587028329</v>
      </c>
      <c r="AA30" s="48">
        <f>'C-FCL Real'!W149</f>
        <v>2.9247501790487358</v>
      </c>
      <c r="AB30" s="48">
        <f>'C-FCL Real'!X149</f>
        <v>2.9384965048902645</v>
      </c>
      <c r="AC30" s="48">
        <f>'C-FCL Real'!Y149</f>
        <v>2.9523074384632486</v>
      </c>
      <c r="AD30" s="48">
        <f>'C-FCL Real'!Z149</f>
        <v>2.9661832834240256</v>
      </c>
      <c r="AE30" s="48">
        <f>'C-FCL Real'!AA149</f>
        <v>2.9801243448561183</v>
      </c>
      <c r="AF30" s="48">
        <f>'C-FCL Real'!AB149</f>
        <v>2.9941309292769418</v>
      </c>
      <c r="AG30" s="48">
        <f>'C-FCL Real'!AC149</f>
        <v>3.0082033446445431</v>
      </c>
      <c r="AH30" s="48">
        <f>'C-FCL Real'!AD149</f>
        <v>3.0223419003643723</v>
      </c>
      <c r="AI30" s="48">
        <f>'C-FCL Real'!AE149</f>
        <v>3.0365469072960845</v>
      </c>
      <c r="AJ30" s="48">
        <f>'C-FCL Real'!AF149</f>
        <v>3.0508186777603759</v>
      </c>
      <c r="AK30" s="48">
        <f>'C-FCL Real'!AG149</f>
        <v>3.0651575255458492</v>
      </c>
      <c r="AL30" s="48">
        <f>'C-FCL Real'!AH149</f>
        <v>3.0795637659159145</v>
      </c>
      <c r="AM30" s="48">
        <f>'C-FCL Real'!AI149</f>
        <v>3.0940377156157193</v>
      </c>
      <c r="AN30" s="48">
        <f>'C-FCL Real'!AJ149</f>
        <v>3.108579692879113</v>
      </c>
      <c r="AO30" s="48">
        <f>'C-FCL Real'!AK149</f>
        <v>3.1231900174356446</v>
      </c>
      <c r="AP30" s="48">
        <f>'C-FCL Real'!AL149</f>
        <v>3.1378690105175919</v>
      </c>
      <c r="AQ30" s="48">
        <f>'C-FCL Real'!AM149</f>
        <v>3.1526169948670244</v>
      </c>
      <c r="AR30" s="48">
        <f>'C-FCL Real'!AN149</f>
        <v>3.1674342947428991</v>
      </c>
      <c r="AS30" s="48">
        <f>'C-FCL Real'!AO149</f>
        <v>3.1823212359281903</v>
      </c>
      <c r="AT30" s="48">
        <f>'C-FCL Real'!AP149</f>
        <v>3.1972781457370525</v>
      </c>
      <c r="AU30" s="48">
        <f>'C-FCL Real'!AQ149</f>
        <v>3.2123053530220163</v>
      </c>
      <c r="AV30" s="48">
        <f>'C-FCL Real'!AR149</f>
        <v>3.2274031881812193</v>
      </c>
      <c r="AW30" s="48">
        <f>'C-FCL Real'!AS149</f>
        <v>3.242571983165671</v>
      </c>
      <c r="AX30" s="48">
        <f>'C-FCL Real'!AT149</f>
        <v>3.2578120714865495</v>
      </c>
      <c r="AY30" s="48">
        <f>'C-FCL Real'!AU149</f>
        <v>3.2731237882225361</v>
      </c>
      <c r="AZ30" s="48">
        <f>'C-FCL Real'!AV149</f>
        <v>3.2885074700271817</v>
      </c>
      <c r="BA30" s="48">
        <f>'C-FCL Real'!AW149</f>
        <v>3.3039634551363091</v>
      </c>
      <c r="BB30" s="48">
        <f>'C-FCL Real'!AX149</f>
        <v>3.3194920833754495</v>
      </c>
      <c r="BC30" s="48">
        <f>'C-FCL Real'!AY149</f>
        <v>3.3350936961673141</v>
      </c>
      <c r="BD30" s="48">
        <f>'C-FCL Real'!AZ149</f>
        <v>3.3507686365393003</v>
      </c>
      <c r="BE30" s="48">
        <f>'C-FCL Real'!BA149</f>
        <v>3.3665172491310349</v>
      </c>
      <c r="BF30" s="48">
        <f>'C-FCL Real'!BB149</f>
        <v>3.3823398802019504</v>
      </c>
      <c r="BG30" s="48">
        <f>'C-FCL Real'!BC149</f>
        <v>3.3982368776388991</v>
      </c>
      <c r="BH30" s="48">
        <f>'C-FCL Real'!BD149</f>
        <v>0</v>
      </c>
    </row>
    <row r="31" spans="1:60" ht="15" hidden="1" customHeight="1" outlineLevel="1" x14ac:dyDescent="0.25">
      <c r="A31" s="1576">
        <f>C31*1000000/$C$16</f>
        <v>98.924633674828272</v>
      </c>
      <c r="B31" s="1598" t="s">
        <v>917</v>
      </c>
      <c r="C31" s="1563">
        <f>SUMIF($D$15:$BG$15,1,D31:BG31)</f>
        <v>85.720827892179898</v>
      </c>
      <c r="D31" s="1559">
        <f t="shared" ref="D31:AJ31" si="4">NPV($C$8,D30:D30)</f>
        <v>2.4265864891244577</v>
      </c>
      <c r="E31" s="48">
        <f t="shared" si="4"/>
        <v>2.4379914456233425</v>
      </c>
      <c r="F31" s="48">
        <f t="shared" si="4"/>
        <v>2.4494500054177721</v>
      </c>
      <c r="G31" s="48">
        <f t="shared" si="4"/>
        <v>2.4609624204432357</v>
      </c>
      <c r="H31" s="48">
        <f t="shared" si="4"/>
        <v>2.4725289438193188</v>
      </c>
      <c r="I31" s="48">
        <f t="shared" si="4"/>
        <v>2.4841498298552693</v>
      </c>
      <c r="J31" s="48">
        <f t="shared" si="4"/>
        <v>2.4958253340555889</v>
      </c>
      <c r="K31" s="48">
        <f t="shared" si="4"/>
        <v>2.5075557131256496</v>
      </c>
      <c r="L31" s="48">
        <f t="shared" si="4"/>
        <v>2.5193412249773401</v>
      </c>
      <c r="M31" s="48">
        <f t="shared" si="4"/>
        <v>2.5311821287347334</v>
      </c>
      <c r="N31" s="48">
        <f t="shared" si="4"/>
        <v>2.5430786847397862</v>
      </c>
      <c r="O31" s="48">
        <f t="shared" si="4"/>
        <v>2.5550311545580628</v>
      </c>
      <c r="P31" s="48">
        <f t="shared" si="4"/>
        <v>2.5670398009844857</v>
      </c>
      <c r="Q31" s="48">
        <f t="shared" si="4"/>
        <v>2.5791048880491125</v>
      </c>
      <c r="R31" s="48">
        <f t="shared" si="4"/>
        <v>2.5912266810229427</v>
      </c>
      <c r="S31" s="48">
        <f t="shared" si="4"/>
        <v>2.5670398009844857</v>
      </c>
      <c r="T31" s="48">
        <f t="shared" si="4"/>
        <v>2.5791048880491125</v>
      </c>
      <c r="U31" s="48">
        <f t="shared" si="4"/>
        <v>2.5912266810229427</v>
      </c>
      <c r="V31" s="48">
        <f t="shared" si="4"/>
        <v>2.6034054464237504</v>
      </c>
      <c r="W31" s="48">
        <f t="shared" si="4"/>
        <v>2.6156414520219418</v>
      </c>
      <c r="X31" s="48">
        <f t="shared" si="4"/>
        <v>2.6279349668464449</v>
      </c>
      <c r="Y31" s="48">
        <f t="shared" si="4"/>
        <v>2.6402862611906226</v>
      </c>
      <c r="Z31" s="48">
        <f t="shared" si="4"/>
        <v>2.6526956066182183</v>
      </c>
      <c r="AA31" s="48">
        <f t="shared" si="4"/>
        <v>2.665163275969324</v>
      </c>
      <c r="AB31" s="48">
        <f t="shared" si="4"/>
        <v>2.6776895433663794</v>
      </c>
      <c r="AC31" s="48">
        <f t="shared" si="4"/>
        <v>2.690274684220201</v>
      </c>
      <c r="AD31" s="48">
        <f t="shared" si="4"/>
        <v>2.7029189752360359</v>
      </c>
      <c r="AE31" s="48">
        <f t="shared" si="4"/>
        <v>2.7156226944196451</v>
      </c>
      <c r="AF31" s="48">
        <f t="shared" si="4"/>
        <v>2.728386121083417</v>
      </c>
      <c r="AG31" s="48">
        <f t="shared" si="4"/>
        <v>2.741209535852509</v>
      </c>
      <c r="AH31" s="48">
        <f t="shared" si="4"/>
        <v>2.7540932206710158</v>
      </c>
      <c r="AI31" s="48">
        <f t="shared" si="4"/>
        <v>2.767037458808169</v>
      </c>
      <c r="AJ31" s="48">
        <f t="shared" si="4"/>
        <v>2.7800425348645672</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6"/>
      <c r="B32" s="749"/>
      <c r="C32" s="1563"/>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6">
        <f>C33*1000000/$C$16</f>
        <v>36.870666979148815</v>
      </c>
      <c r="B33" s="1549" t="s">
        <v>910</v>
      </c>
      <c r="C33" s="1564">
        <f>SUMIF($D$15:$BG$15,1,D33:BG33)</f>
        <v>31.949414225566322</v>
      </c>
      <c r="D33" s="1559">
        <f>'C-FCL Real'!C153</f>
        <v>-17.751741312131205</v>
      </c>
      <c r="E33" s="48">
        <f>'C-FCL Real'!D153</f>
        <v>-43.829050926017175</v>
      </c>
      <c r="F33" s="48">
        <f>'C-FCL Real'!E153</f>
        <v>-34.46147212288507</v>
      </c>
      <c r="G33" s="48">
        <f>'C-FCL Real'!F153</f>
        <v>1.9531055020367347</v>
      </c>
      <c r="H33" s="48">
        <f>'C-FCL Real'!G153</f>
        <v>2.0972478706928293</v>
      </c>
      <c r="I33" s="48">
        <f>'C-FCL Real'!H153</f>
        <v>2.2420677084816028</v>
      </c>
      <c r="J33" s="48">
        <f>'C-FCL Real'!I153</f>
        <v>2.3875681995079852</v>
      </c>
      <c r="K33" s="48">
        <f>'C-FCL Real'!J153</f>
        <v>2.5337525428421905</v>
      </c>
      <c r="L33" s="48">
        <f>'C-FCL Real'!K153</f>
        <v>2.6806239525900644</v>
      </c>
      <c r="M33" s="48">
        <f>'C-FCL Real'!L153</f>
        <v>2.8281856579637576</v>
      </c>
      <c r="N33" s="48">
        <f>'C-FCL Real'!M153</f>
        <v>2.9764409033527066</v>
      </c>
      <c r="O33" s="48">
        <f>'C-FCL Real'!N153</f>
        <v>3.1253929483949818</v>
      </c>
      <c r="P33" s="48">
        <f>'C-FCL Real'!O153</f>
        <v>3.2750450680489571</v>
      </c>
      <c r="Q33" s="48">
        <f>'C-FCL Real'!P153</f>
        <v>3.4254005526652982</v>
      </c>
      <c r="R33" s="48">
        <f>'C-FCL Real'!Q153</f>
        <v>3.5764627080593492</v>
      </c>
      <c r="S33" s="48">
        <f>'C-FCL Real'!O153</f>
        <v>3.2750450680489571</v>
      </c>
      <c r="T33" s="48">
        <f>'C-FCL Real'!P153</f>
        <v>3.4254005526652982</v>
      </c>
      <c r="U33" s="48">
        <f>'C-FCL Real'!Q153</f>
        <v>3.5764627080593492</v>
      </c>
      <c r="V33" s="48">
        <f>'C-FCL Real'!R153</f>
        <v>3.7282348555837537</v>
      </c>
      <c r="W33" s="48">
        <f>'C-FCL Real'!S153</f>
        <v>3.8807203322015162</v>
      </c>
      <c r="X33" s="48">
        <f>'C-FCL Real'!T153</f>
        <v>4.0339224905593731</v>
      </c>
      <c r="Y33" s="48">
        <f>'C-FCL Real'!U153</f>
        <v>4.1878446990615252</v>
      </c>
      <c r="Z33" s="48">
        <f>'C-FCL Real'!V153</f>
        <v>4.342490341943634</v>
      </c>
      <c r="AA33" s="48">
        <f>'C-FCL Real'!W153</f>
        <v>4.4978628193472865</v>
      </c>
      <c r="AB33" s="48">
        <f>'C-FCL Real'!X153</f>
        <v>4.653965547394737</v>
      </c>
      <c r="AC33" s="48">
        <f>'C-FCL Real'!Y153</f>
        <v>4.8108019582640118</v>
      </c>
      <c r="AD33" s="48">
        <f>'C-FCL Real'!Z153</f>
        <v>4.9683755002643615</v>
      </c>
      <c r="AE33" s="48">
        <f>'C-FCL Real'!AA153</f>
        <v>5.1266896379121256</v>
      </c>
      <c r="AF33" s="48">
        <f>'C-FCL Real'!AB153</f>
        <v>5.2857478520068319</v>
      </c>
      <c r="AG33" s="48">
        <f>'C-FCL Real'!AC153</f>
        <v>5.4455536397077857</v>
      </c>
      <c r="AH33" s="48">
        <f>'C-FCL Real'!AD153</f>
        <v>5.606110514610922</v>
      </c>
      <c r="AI33" s="48">
        <f>'C-FCL Real'!AE153</f>
        <v>5.7674220068261128</v>
      </c>
      <c r="AJ33" s="48">
        <f>'C-FCL Real'!AF153</f>
        <v>5.9294916630547156</v>
      </c>
      <c r="AK33" s="48">
        <f>'C-FCL Real'!AG153</f>
        <v>6.092323046667584</v>
      </c>
      <c r="AL33" s="48">
        <f>'C-FCL Real'!AH153</f>
        <v>6.2559197377834401</v>
      </c>
      <c r="AM33" s="48">
        <f>'C-FCL Real'!AI153</f>
        <v>6.4202853333475467</v>
      </c>
      <c r="AN33" s="48">
        <f>'C-FCL Real'!AJ153</f>
        <v>6.5854234472107969</v>
      </c>
      <c r="AO33" s="48">
        <f>'C-FCL Real'!AK153</f>
        <v>6.7513377102092029</v>
      </c>
      <c r="AP33" s="48">
        <f>'C-FCL Real'!AL153</f>
        <v>6.9180317702437044</v>
      </c>
      <c r="AQ33" s="48">
        <f>'C-FCL Real'!AM153</f>
        <v>7.08550929236036</v>
      </c>
      <c r="AR33" s="48">
        <f>'C-FCL Real'!AN153</f>
        <v>7.2537739588309726</v>
      </c>
      <c r="AS33" s="48">
        <f>'C-FCL Real'!AO153</f>
        <v>7.4228294692340064</v>
      </c>
      <c r="AT33" s="48">
        <f>'C-FCL Real'!AP153</f>
        <v>7.5926795405359222</v>
      </c>
      <c r="AU33" s="48">
        <f>'C-FCL Real'!AQ153</f>
        <v>7.763327907172954</v>
      </c>
      <c r="AV33" s="48">
        <f>'C-FCL Real'!AR153</f>
        <v>7.9347783211331908</v>
      </c>
      <c r="AW33" s="48">
        <f>'C-FCL Real'!AS153</f>
        <v>8.1070345520390283</v>
      </c>
      <c r="AX33" s="48">
        <f>'C-FCL Real'!AT153</f>
        <v>8.2801003872301315</v>
      </c>
      <c r="AY33" s="48">
        <f>'C-FCL Real'!AU153</f>
        <v>8.4539796318466252</v>
      </c>
      <c r="AZ33" s="48">
        <f>'C-FCL Real'!AV153</f>
        <v>8.6286761089128312</v>
      </c>
      <c r="BA33" s="48">
        <f>'C-FCL Real'!AW153</f>
        <v>8.804193659421248</v>
      </c>
      <c r="BB33" s="48">
        <f>'C-FCL Real'!AX153</f>
        <v>8.9805361424170407</v>
      </c>
      <c r="BC33" s="48">
        <f>'C-FCL Real'!AY153</f>
        <v>9.1577074350829086</v>
      </c>
      <c r="BD33" s="48">
        <f>'C-FCL Real'!AZ153</f>
        <v>9.3357114328243149</v>
      </c>
      <c r="BE33" s="48">
        <f>'C-FCL Real'!BA153</f>
        <v>9.5145520493551139</v>
      </c>
      <c r="BF33" s="48">
        <f>'C-FCL Real'!BB153</f>
        <v>9.6942332167835978</v>
      </c>
      <c r="BG33" s="48">
        <f>'C-FCL Real'!BC153</f>
        <v>9.8747588856990056</v>
      </c>
      <c r="BH33" s="48">
        <f>'C-FCL Real'!BD153</f>
        <v>0</v>
      </c>
    </row>
    <row r="34" spans="1:60" ht="15" hidden="1" customHeight="1" outlineLevel="1" x14ac:dyDescent="0.25">
      <c r="A34" s="1576">
        <f>C34*1000000/$C$16</f>
        <v>20.61271342033103</v>
      </c>
      <c r="B34" s="1598" t="s">
        <v>918</v>
      </c>
      <c r="C34" s="1563">
        <f>SUMIF($D$15:$BG$15,1,D34:BG34)</f>
        <v>17.861464772293889</v>
      </c>
      <c r="D34" s="1559">
        <f t="shared" ref="D34:AJ34" si="5">NPV($C$8,D33:D33)</f>
        <v>-16.176181257637332</v>
      </c>
      <c r="E34" s="48">
        <f t="shared" si="5"/>
        <v>-39.938993007123365</v>
      </c>
      <c r="F34" s="48">
        <f t="shared" si="5"/>
        <v>-31.402835905672564</v>
      </c>
      <c r="G34" s="48">
        <f t="shared" si="5"/>
        <v>1.7797571551273326</v>
      </c>
      <c r="H34" s="48">
        <f t="shared" si="5"/>
        <v>1.9111061333085742</v>
      </c>
      <c r="I34" s="48">
        <f t="shared" si="5"/>
        <v>2.0430724516872636</v>
      </c>
      <c r="J34" s="48">
        <f t="shared" si="5"/>
        <v>2.1756590117623338</v>
      </c>
      <c r="K34" s="48">
        <f t="shared" si="5"/>
        <v>2.3088687286697565</v>
      </c>
      <c r="L34" s="48">
        <f t="shared" si="5"/>
        <v>2.4427045312466418</v>
      </c>
      <c r="M34" s="48">
        <f t="shared" si="5"/>
        <v>2.5771693620956424</v>
      </c>
      <c r="N34" s="48">
        <f t="shared" si="5"/>
        <v>2.7122661776496324</v>
      </c>
      <c r="O34" s="48">
        <f t="shared" si="5"/>
        <v>2.847997948236725</v>
      </c>
      <c r="P34" s="48">
        <f t="shared" si="5"/>
        <v>2.9843676581455778</v>
      </c>
      <c r="Q34" s="48">
        <f t="shared" si="5"/>
        <v>3.1213783056909956</v>
      </c>
      <c r="R34" s="48">
        <f t="shared" si="5"/>
        <v>3.2590329032798881</v>
      </c>
      <c r="S34" s="48">
        <f t="shared" si="5"/>
        <v>2.9843676581455778</v>
      </c>
      <c r="T34" s="48">
        <f t="shared" si="5"/>
        <v>3.1213783056909956</v>
      </c>
      <c r="U34" s="48">
        <f t="shared" si="5"/>
        <v>3.2590329032798881</v>
      </c>
      <c r="V34" s="48">
        <f t="shared" si="5"/>
        <v>3.3973344774774503</v>
      </c>
      <c r="W34" s="48">
        <f t="shared" si="5"/>
        <v>3.5362860690737348</v>
      </c>
      <c r="X34" s="48">
        <f t="shared" si="5"/>
        <v>3.6758907331505135</v>
      </c>
      <c r="Y34" s="48">
        <f t="shared" si="5"/>
        <v>3.8161515391484651</v>
      </c>
      <c r="Z34" s="48">
        <f t="shared" si="5"/>
        <v>3.957071570934604</v>
      </c>
      <c r="AA34" s="48">
        <f t="shared" si="5"/>
        <v>4.0986539268701359</v>
      </c>
      <c r="AB34" s="48">
        <f t="shared" si="5"/>
        <v>4.2409017198785648</v>
      </c>
      <c r="AC34" s="48">
        <f t="shared" si="5"/>
        <v>4.3838180775141353</v>
      </c>
      <c r="AD34" s="48">
        <f t="shared" si="5"/>
        <v>4.5274061420305829</v>
      </c>
      <c r="AE34" s="48">
        <f t="shared" si="5"/>
        <v>4.6716690704502692</v>
      </c>
      <c r="AF34" s="48">
        <f t="shared" si="5"/>
        <v>4.816610034633527</v>
      </c>
      <c r="AG34" s="48">
        <f t="shared" si="5"/>
        <v>4.9622322213484473</v>
      </c>
      <c r="AH34" s="48">
        <f t="shared" si="5"/>
        <v>5.1085388323409173</v>
      </c>
      <c r="AI34" s="48">
        <f t="shared" si="5"/>
        <v>5.2555330844050605</v>
      </c>
      <c r="AJ34" s="48">
        <f t="shared" si="5"/>
        <v>5.4032182094539056</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6"/>
      <c r="B35" s="749"/>
      <c r="C35" s="1565"/>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6">
        <f>C36*1000000/$C$16</f>
        <v>50.220235593159522</v>
      </c>
      <c r="B36" s="1550" t="s">
        <v>920</v>
      </c>
      <c r="C36" s="1564">
        <f>SUMIF($D$15:$BG$15,1,D36:BG36)</f>
        <v>43.517170719443932</v>
      </c>
      <c r="D36" s="1559">
        <f>IF(D33&gt;0,D33*0.34,0)</f>
        <v>0</v>
      </c>
      <c r="E36" s="48">
        <f t="shared" ref="E36:BG36" si="6">IF(E33&gt;0,E33*0.34,0)</f>
        <v>0</v>
      </c>
      <c r="F36" s="48">
        <f t="shared" si="6"/>
        <v>0</v>
      </c>
      <c r="G36" s="48">
        <f t="shared" si="6"/>
        <v>0.66405587069248984</v>
      </c>
      <c r="H36" s="48">
        <f t="shared" si="6"/>
        <v>0.71306427603556199</v>
      </c>
      <c r="I36" s="48">
        <f t="shared" si="6"/>
        <v>0.76230302088374502</v>
      </c>
      <c r="J36" s="48">
        <f t="shared" si="6"/>
        <v>0.81177318783271502</v>
      </c>
      <c r="K36" s="48">
        <f t="shared" si="6"/>
        <v>0.86147586456634484</v>
      </c>
      <c r="L36" s="48">
        <f t="shared" si="6"/>
        <v>0.91141214388062197</v>
      </c>
      <c r="M36" s="48">
        <f t="shared" si="6"/>
        <v>0.96158312370767762</v>
      </c>
      <c r="N36" s="48">
        <f t="shared" si="6"/>
        <v>1.0119899071399203</v>
      </c>
      <c r="O36" s="48">
        <f t="shared" si="6"/>
        <v>1.0626336024542939</v>
      </c>
      <c r="P36" s="48">
        <f>IF(P33&gt;0,P33*0.34,0)</f>
        <v>1.1135153231366455</v>
      </c>
      <c r="Q36" s="48">
        <f>IF(Q33&gt;0,Q33*0.34,0)</f>
        <v>1.1646361879062015</v>
      </c>
      <c r="R36" s="48">
        <f>IF(R33&gt;0,R33*0.34,0)</f>
        <v>1.2159973207401789</v>
      </c>
      <c r="S36" s="48">
        <f t="shared" si="6"/>
        <v>1.1135153231366455</v>
      </c>
      <c r="T36" s="48">
        <f t="shared" si="6"/>
        <v>1.1646361879062015</v>
      </c>
      <c r="U36" s="48">
        <f t="shared" si="6"/>
        <v>1.2159973207401789</v>
      </c>
      <c r="V36" s="48">
        <f t="shared" si="6"/>
        <v>1.2675998508984763</v>
      </c>
      <c r="W36" s="48">
        <f t="shared" si="6"/>
        <v>1.3194449129485155</v>
      </c>
      <c r="X36" s="48">
        <f t="shared" si="6"/>
        <v>1.3715336467901869</v>
      </c>
      <c r="Y36" s="48">
        <f t="shared" si="6"/>
        <v>1.4238671976809187</v>
      </c>
      <c r="Z36" s="48">
        <f t="shared" si="6"/>
        <v>1.4764467162608357</v>
      </c>
      <c r="AA36" s="48">
        <f t="shared" si="6"/>
        <v>1.5292733585780776</v>
      </c>
      <c r="AB36" s="48">
        <f t="shared" si="6"/>
        <v>1.5823482861142106</v>
      </c>
      <c r="AC36" s="48">
        <f t="shared" si="6"/>
        <v>1.6356726658097642</v>
      </c>
      <c r="AD36" s="48">
        <f t="shared" si="6"/>
        <v>1.6892476700898831</v>
      </c>
      <c r="AE36" s="48">
        <f t="shared" si="6"/>
        <v>1.7430744768901227</v>
      </c>
      <c r="AF36" s="48">
        <f t="shared" si="6"/>
        <v>1.7971542696823231</v>
      </c>
      <c r="AG36" s="48">
        <f t="shared" si="6"/>
        <v>1.8514882375006472</v>
      </c>
      <c r="AH36" s="48">
        <f t="shared" si="6"/>
        <v>1.9060775749677137</v>
      </c>
      <c r="AI36" s="48">
        <f t="shared" si="6"/>
        <v>1.9609234823208785</v>
      </c>
      <c r="AJ36" s="48">
        <f t="shared" si="6"/>
        <v>2.0160271654386035</v>
      </c>
      <c r="AK36" s="48">
        <f t="shared" si="6"/>
        <v>2.0713898358669787</v>
      </c>
      <c r="AL36" s="48">
        <f t="shared" si="6"/>
        <v>2.1270127108463699</v>
      </c>
      <c r="AM36" s="48">
        <f t="shared" si="6"/>
        <v>2.1828970133381662</v>
      </c>
      <c r="AN36" s="48">
        <f t="shared" si="6"/>
        <v>2.2390439720516713</v>
      </c>
      <c r="AO36" s="48">
        <f t="shared" si="6"/>
        <v>2.2954548214711292</v>
      </c>
      <c r="AP36" s="48">
        <f t="shared" si="6"/>
        <v>2.3521308018828595</v>
      </c>
      <c r="AQ36" s="48">
        <f t="shared" si="6"/>
        <v>2.4090731594025225</v>
      </c>
      <c r="AR36" s="48">
        <f t="shared" si="6"/>
        <v>2.4662831460025307</v>
      </c>
      <c r="AS36" s="48">
        <f t="shared" si="6"/>
        <v>2.5237620195395625</v>
      </c>
      <c r="AT36" s="48">
        <f t="shared" si="6"/>
        <v>2.5815110437822137</v>
      </c>
      <c r="AU36" s="48">
        <f t="shared" si="6"/>
        <v>2.6395314884388044</v>
      </c>
      <c r="AV36" s="48">
        <f t="shared" si="6"/>
        <v>2.697824629185285</v>
      </c>
      <c r="AW36" s="48">
        <f t="shared" si="6"/>
        <v>2.7563917476932698</v>
      </c>
      <c r="AX36" s="48">
        <f t="shared" si="6"/>
        <v>2.815234131658245</v>
      </c>
      <c r="AY36" s="48">
        <f t="shared" si="6"/>
        <v>2.874353074827853</v>
      </c>
      <c r="AZ36" s="48">
        <f t="shared" si="6"/>
        <v>2.9337498770303627</v>
      </c>
      <c r="BA36" s="48">
        <f t="shared" si="6"/>
        <v>2.9934258442032244</v>
      </c>
      <c r="BB36" s="48">
        <f t="shared" si="6"/>
        <v>3.053382288421794</v>
      </c>
      <c r="BC36" s="48">
        <f t="shared" si="6"/>
        <v>3.1136205279281892</v>
      </c>
      <c r="BD36" s="48">
        <f t="shared" si="6"/>
        <v>3.1741418871602671</v>
      </c>
      <c r="BE36" s="48">
        <f t="shared" si="6"/>
        <v>3.2349476967807389</v>
      </c>
      <c r="BF36" s="48">
        <f t="shared" si="6"/>
        <v>3.2960392937064236</v>
      </c>
      <c r="BG36" s="48">
        <f t="shared" si="6"/>
        <v>3.3574180211376623</v>
      </c>
      <c r="BH36" s="48">
        <f>BH33*0.34</f>
        <v>0</v>
      </c>
    </row>
    <row r="37" spans="1:60" ht="15" hidden="1" customHeight="1" outlineLevel="1" x14ac:dyDescent="0.25">
      <c r="A37" s="1576">
        <f>C37*1000000/$C$16</f>
        <v>41.347860398021815</v>
      </c>
      <c r="B37" s="1598" t="s">
        <v>919</v>
      </c>
      <c r="C37" s="1563">
        <f>SUMIF($D$15:$BG$15,1,D37:BG37)</f>
        <v>35.829021480527224</v>
      </c>
      <c r="D37" s="1559">
        <f t="shared" ref="D37:AJ37" si="7">NPV($C$8,D36:D36)</f>
        <v>0</v>
      </c>
      <c r="E37" s="48">
        <f t="shared" si="7"/>
        <v>0</v>
      </c>
      <c r="F37" s="48">
        <f t="shared" si="7"/>
        <v>0</v>
      </c>
      <c r="G37" s="48">
        <f t="shared" si="7"/>
        <v>0.6051174327432931</v>
      </c>
      <c r="H37" s="48">
        <f t="shared" si="7"/>
        <v>0.64977608532491526</v>
      </c>
      <c r="I37" s="48">
        <f t="shared" si="7"/>
        <v>0.69464463357366968</v>
      </c>
      <c r="J37" s="48">
        <f t="shared" si="7"/>
        <v>0.73972406399919366</v>
      </c>
      <c r="K37" s="48">
        <f t="shared" si="7"/>
        <v>0.78501536774771719</v>
      </c>
      <c r="L37" s="48">
        <f t="shared" si="7"/>
        <v>0.83051954062385824</v>
      </c>
      <c r="M37" s="48">
        <f t="shared" si="7"/>
        <v>0.87623758311251843</v>
      </c>
      <c r="N37" s="48">
        <f t="shared" si="7"/>
        <v>0.92217050040087511</v>
      </c>
      <c r="O37" s="48">
        <f t="shared" si="7"/>
        <v>0.96831930240048658</v>
      </c>
      <c r="P37" s="48">
        <f t="shared" si="7"/>
        <v>1.0146850037694966</v>
      </c>
      <c r="Q37" s="48">
        <f t="shared" si="7"/>
        <v>1.0612686239349385</v>
      </c>
      <c r="R37" s="48">
        <f t="shared" si="7"/>
        <v>1.1080711871151621</v>
      </c>
      <c r="S37" s="48">
        <f t="shared" si="7"/>
        <v>1.0146850037694966</v>
      </c>
      <c r="T37" s="48">
        <f t="shared" si="7"/>
        <v>1.0612686239349385</v>
      </c>
      <c r="U37" s="48">
        <f t="shared" si="7"/>
        <v>1.1080711871151621</v>
      </c>
      <c r="V37" s="48">
        <f t="shared" si="7"/>
        <v>1.1550937223423332</v>
      </c>
      <c r="W37" s="48">
        <f t="shared" si="7"/>
        <v>1.2023372634850698</v>
      </c>
      <c r="X37" s="48">
        <f t="shared" si="7"/>
        <v>1.2498028492711746</v>
      </c>
      <c r="Y37" s="48">
        <f t="shared" si="7"/>
        <v>1.2974915233104782</v>
      </c>
      <c r="Z37" s="48">
        <f t="shared" si="7"/>
        <v>1.3454043341177655</v>
      </c>
      <c r="AA37" s="48">
        <f t="shared" si="7"/>
        <v>1.3935423351358462</v>
      </c>
      <c r="AB37" s="48">
        <f t="shared" si="7"/>
        <v>1.4419065847587123</v>
      </c>
      <c r="AC37" s="48">
        <f t="shared" si="7"/>
        <v>1.4904981463548062</v>
      </c>
      <c r="AD37" s="48">
        <f t="shared" si="7"/>
        <v>1.5393180882903983</v>
      </c>
      <c r="AE37" s="48">
        <f t="shared" si="7"/>
        <v>1.5883674839530917</v>
      </c>
      <c r="AF37" s="48">
        <f t="shared" si="7"/>
        <v>1.6376474117753992</v>
      </c>
      <c r="AG37" s="48">
        <f t="shared" si="7"/>
        <v>1.687158955258472</v>
      </c>
      <c r="AH37" s="48">
        <f t="shared" si="7"/>
        <v>1.7369032029959119</v>
      </c>
      <c r="AI37" s="48">
        <f t="shared" si="7"/>
        <v>1.7868812486977206</v>
      </c>
      <c r="AJ37" s="48">
        <f t="shared" si="7"/>
        <v>1.8370941912143282</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6"/>
      <c r="B38" s="749"/>
      <c r="C38" s="1563"/>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6">
        <f>C39*1000000/$C$16</f>
        <v>-13.34956861401067</v>
      </c>
      <c r="B39" s="1549" t="s">
        <v>908</v>
      </c>
      <c r="C39" s="1564">
        <f>SUMIF($D$15:$BG$15,1,D39:BG39)</f>
        <v>-11.567756493877575</v>
      </c>
      <c r="D39" s="1559">
        <f>'C-FCL Real'!C156</f>
        <v>-17.751741312131205</v>
      </c>
      <c r="E39" s="48">
        <f>'C-FCL Real'!D156</f>
        <v>-43.829050926017175</v>
      </c>
      <c r="F39" s="48">
        <f>'C-FCL Real'!E156</f>
        <v>-34.46147212288507</v>
      </c>
      <c r="G39" s="48">
        <f>'C-FCL Real'!F156</f>
        <v>1.289049631344245</v>
      </c>
      <c r="H39" s="48">
        <f>'C-FCL Real'!G156</f>
        <v>1.3841835946572674</v>
      </c>
      <c r="I39" s="48">
        <f>'C-FCL Real'!H156</f>
        <v>1.4797646875978578</v>
      </c>
      <c r="J39" s="48">
        <f>'C-FCL Real'!I156</f>
        <v>1.5757950116752704</v>
      </c>
      <c r="K39" s="48">
        <f>'C-FCL Real'!J156</f>
        <v>1.6722766782758458</v>
      </c>
      <c r="L39" s="48">
        <f>'C-FCL Real'!K156</f>
        <v>1.7692118087094426</v>
      </c>
      <c r="M39" s="48">
        <f>'C-FCL Real'!L156</f>
        <v>1.8666025342560801</v>
      </c>
      <c r="N39" s="48">
        <f>'C-FCL Real'!M156</f>
        <v>1.9644509962127865</v>
      </c>
      <c r="O39" s="48">
        <f>'C-FCL Real'!N156</f>
        <v>2.0627593459406879</v>
      </c>
      <c r="P39" s="48">
        <f>'C-FCL Real'!O156</f>
        <v>2.1615297449123116</v>
      </c>
      <c r="Q39" s="48">
        <f>'C-FCL Real'!P156</f>
        <v>2.2607643647590967</v>
      </c>
      <c r="R39" s="48">
        <f>'C-FCL Real'!Q156</f>
        <v>2.3604653873191705</v>
      </c>
      <c r="S39" s="48">
        <f>'C-FCL Real'!O156</f>
        <v>2.1615297449123116</v>
      </c>
      <c r="T39" s="48">
        <f>'C-FCL Real'!P156</f>
        <v>2.2607643647590967</v>
      </c>
      <c r="U39" s="48">
        <f>'C-FCL Real'!Q156</f>
        <v>2.3604653873191705</v>
      </c>
      <c r="V39" s="48">
        <f>'C-FCL Real'!R156</f>
        <v>2.4606350046852774</v>
      </c>
      <c r="W39" s="48">
        <f>'C-FCL Real'!S156</f>
        <v>2.561275419253001</v>
      </c>
      <c r="X39" s="48">
        <f>'C-FCL Real'!T156</f>
        <v>2.6623888437691865</v>
      </c>
      <c r="Y39" s="48">
        <f>'C-FCL Real'!U156</f>
        <v>2.7639775013806069</v>
      </c>
      <c r="Z39" s="48">
        <f>'C-FCL Real'!V156</f>
        <v>2.8660436256827988</v>
      </c>
      <c r="AA39" s="48">
        <f>'C-FCL Real'!W156</f>
        <v>2.9685894607692092</v>
      </c>
      <c r="AB39" s="48">
        <f>'C-FCL Real'!X156</f>
        <v>3.0716172612805264</v>
      </c>
      <c r="AC39" s="48">
        <f>'C-FCL Real'!Y156</f>
        <v>3.175129292454248</v>
      </c>
      <c r="AD39" s="48">
        <f>'C-FCL Real'!Z156</f>
        <v>3.2791278301744788</v>
      </c>
      <c r="AE39" s="48">
        <f>'C-FCL Real'!AA156</f>
        <v>3.3836151610220031</v>
      </c>
      <c r="AF39" s="48">
        <f>'C-FCL Real'!AB156</f>
        <v>3.4885935823245093</v>
      </c>
      <c r="AG39" s="48">
        <f>'C-FCL Real'!AC156</f>
        <v>3.5940654022071388</v>
      </c>
      <c r="AH39" s="48">
        <f>'C-FCL Real'!AD156</f>
        <v>3.7000329396432088</v>
      </c>
      <c r="AI39" s="48">
        <f>'C-FCL Real'!AE156</f>
        <v>3.8064985245052347</v>
      </c>
      <c r="AJ39" s="48">
        <f>'C-FCL Real'!AF156</f>
        <v>3.9134644976161126</v>
      </c>
      <c r="AK39" s="48">
        <f>'C-FCL Real'!AG156</f>
        <v>4.0209332108006057</v>
      </c>
      <c r="AL39" s="48">
        <f>'C-FCL Real'!AH156</f>
        <v>4.1289070269370702</v>
      </c>
      <c r="AM39" s="48">
        <f>'C-FCL Real'!AI156</f>
        <v>4.2373883200093809</v>
      </c>
      <c r="AN39" s="48">
        <f>'C-FCL Real'!AJ156</f>
        <v>4.346379475159126</v>
      </c>
      <c r="AO39" s="48">
        <f>'C-FCL Real'!AK156</f>
        <v>4.4558828887380741</v>
      </c>
      <c r="AP39" s="48">
        <f>'C-FCL Real'!AL156</f>
        <v>4.5659009683608449</v>
      </c>
      <c r="AQ39" s="48">
        <f>'C-FCL Real'!AM156</f>
        <v>4.6764361329578374</v>
      </c>
      <c r="AR39" s="48">
        <f>'C-FCL Real'!AN156</f>
        <v>4.7874908128284419</v>
      </c>
      <c r="AS39" s="48">
        <f>'C-FCL Real'!AO156</f>
        <v>4.8990674496944449</v>
      </c>
      <c r="AT39" s="48">
        <f>'C-FCL Real'!AP156</f>
        <v>5.0111684967537089</v>
      </c>
      <c r="AU39" s="48">
        <f>'C-FCL Real'!AQ156</f>
        <v>5.12379641873415</v>
      </c>
      <c r="AV39" s="48">
        <f>'C-FCL Real'!AR156</f>
        <v>5.2369536919479058</v>
      </c>
      <c r="AW39" s="48">
        <f>'C-FCL Real'!AS156</f>
        <v>5.3506428043457586</v>
      </c>
      <c r="AX39" s="48">
        <f>'C-FCL Real'!AT156</f>
        <v>5.464866255571887</v>
      </c>
      <c r="AY39" s="48">
        <f>'C-FCL Real'!AU156</f>
        <v>5.5796265570187726</v>
      </c>
      <c r="AZ39" s="48">
        <f>'C-FCL Real'!AV156</f>
        <v>5.6949262318824685</v>
      </c>
      <c r="BA39" s="48">
        <f>'C-FCL Real'!AW156</f>
        <v>5.810767815218024</v>
      </c>
      <c r="BB39" s="48">
        <f>'C-FCL Real'!AX156</f>
        <v>5.9271538539952475</v>
      </c>
      <c r="BC39" s="48">
        <f>'C-FCL Real'!AY156</f>
        <v>6.0440869071547203</v>
      </c>
      <c r="BD39" s="48">
        <f>'C-FCL Real'!AZ156</f>
        <v>6.1615695456640482</v>
      </c>
      <c r="BE39" s="48">
        <f>'C-FCL Real'!BA156</f>
        <v>6.2796043525743759</v>
      </c>
      <c r="BF39" s="48">
        <f>'C-FCL Real'!BB156</f>
        <v>6.3981939230771747</v>
      </c>
      <c r="BG39" s="48">
        <f>'C-FCL Real'!BC156</f>
        <v>6.5173408645613442</v>
      </c>
      <c r="BH39" s="48">
        <f>'C-FCL Real'!BD156</f>
        <v>0</v>
      </c>
    </row>
    <row r="40" spans="1:60" ht="15" hidden="1" customHeight="1" outlineLevel="1" x14ac:dyDescent="0.25">
      <c r="A40" s="1576">
        <f>C40*1000000/$C$16</f>
        <v>-16.506708682279985</v>
      </c>
      <c r="B40" s="1598" t="s">
        <v>921</v>
      </c>
      <c r="C40" s="1563">
        <f>SUMIF($D$15:$BG$15,1,D40:BG40)</f>
        <v>-14.303502388203615</v>
      </c>
      <c r="D40" s="1559">
        <f t="shared" ref="D40:AK40" si="8">NPV($C$8,D39:D39)</f>
        <v>-16.176181257637332</v>
      </c>
      <c r="E40" s="48">
        <f t="shared" si="8"/>
        <v>-39.938993007123365</v>
      </c>
      <c r="F40" s="48">
        <f t="shared" si="8"/>
        <v>-31.402835905672564</v>
      </c>
      <c r="G40" s="48">
        <f t="shared" si="8"/>
        <v>1.1746397223840397</v>
      </c>
      <c r="H40" s="48">
        <f t="shared" si="8"/>
        <v>1.2613300479836591</v>
      </c>
      <c r="I40" s="48">
        <f t="shared" si="8"/>
        <v>1.3484278181135938</v>
      </c>
      <c r="J40" s="48">
        <f t="shared" si="8"/>
        <v>1.4359349477631407</v>
      </c>
      <c r="K40" s="48">
        <f t="shared" si="8"/>
        <v>1.5238533609220393</v>
      </c>
      <c r="L40" s="48">
        <f t="shared" si="8"/>
        <v>1.6121849906227836</v>
      </c>
      <c r="M40" s="48">
        <f t="shared" si="8"/>
        <v>1.700931778983124</v>
      </c>
      <c r="N40" s="48">
        <f t="shared" si="8"/>
        <v>1.7900956772487577</v>
      </c>
      <c r="O40" s="48">
        <f t="shared" si="8"/>
        <v>1.8796786458362384</v>
      </c>
      <c r="P40" s="48">
        <f t="shared" si="8"/>
        <v>1.9696826543760815</v>
      </c>
      <c r="Q40" s="48">
        <f t="shared" si="8"/>
        <v>2.0601096817560567</v>
      </c>
      <c r="R40" s="48">
        <f t="shared" si="8"/>
        <v>2.1509617161647263</v>
      </c>
      <c r="S40" s="48">
        <f t="shared" si="8"/>
        <v>1.9696826543760815</v>
      </c>
      <c r="T40" s="48">
        <f t="shared" si="8"/>
        <v>2.0601096817560567</v>
      </c>
      <c r="U40" s="48">
        <f t="shared" si="8"/>
        <v>2.1509617161647263</v>
      </c>
      <c r="V40" s="48">
        <f t="shared" si="8"/>
        <v>2.2422407551351173</v>
      </c>
      <c r="W40" s="48">
        <f t="shared" si="8"/>
        <v>2.333948805588665</v>
      </c>
      <c r="X40" s="48">
        <f t="shared" si="8"/>
        <v>2.4260878838793389</v>
      </c>
      <c r="Y40" s="48">
        <f t="shared" si="8"/>
        <v>2.518660015837987</v>
      </c>
      <c r="Z40" s="48">
        <f t="shared" si="8"/>
        <v>2.6116672368168388</v>
      </c>
      <c r="AA40" s="48">
        <f t="shared" si="8"/>
        <v>2.7051115917342896</v>
      </c>
      <c r="AB40" s="48">
        <f t="shared" si="8"/>
        <v>2.7989951351198528</v>
      </c>
      <c r="AC40" s="48">
        <f t="shared" si="8"/>
        <v>2.8933199311593296</v>
      </c>
      <c r="AD40" s="48">
        <f t="shared" si="8"/>
        <v>2.988088053740185</v>
      </c>
      <c r="AE40" s="48">
        <f t="shared" si="8"/>
        <v>3.083301586497178</v>
      </c>
      <c r="AF40" s="48">
        <f t="shared" si="8"/>
        <v>3.178962622858128</v>
      </c>
      <c r="AG40" s="48">
        <f t="shared" si="8"/>
        <v>3.2750732660899753</v>
      </c>
      <c r="AH40" s="48">
        <f t="shared" si="8"/>
        <v>3.3716356293450054</v>
      </c>
      <c r="AI40" s="48">
        <f t="shared" si="8"/>
        <v>3.4686518357073401</v>
      </c>
      <c r="AJ40" s="48">
        <f t="shared" si="8"/>
        <v>3.5661240182395781</v>
      </c>
      <c r="AK40" s="48">
        <f t="shared" si="8"/>
        <v>3.6640543200297122</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3"/>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6">
        <f>A24+A27+A30</f>
        <v>1313.3293015840864</v>
      </c>
      <c r="B42" s="1548" t="s">
        <v>909</v>
      </c>
      <c r="C42" s="1563"/>
      <c r="D42" s="1559">
        <f>'C-FCL Real'!C157</f>
        <v>-17.751741312131205</v>
      </c>
      <c r="E42" s="48">
        <f>'C-FCL Real'!D157</f>
        <v>-61.580792238148376</v>
      </c>
      <c r="F42" s="48">
        <f>'C-FCL Real'!E157</f>
        <v>-96.042264361033446</v>
      </c>
      <c r="G42" s="48">
        <f>'C-FCL Real'!F157</f>
        <v>-94.753214729689205</v>
      </c>
      <c r="H42" s="48">
        <f>'C-FCL Real'!G157</f>
        <v>-93.369031135031932</v>
      </c>
      <c r="I42" s="48">
        <f>'C-FCL Real'!H157</f>
        <v>-91.889266447434068</v>
      </c>
      <c r="J42" s="48">
        <f>'C-FCL Real'!I157</f>
        <v>-90.3134714357588</v>
      </c>
      <c r="K42" s="48">
        <f>'C-FCL Real'!J157</f>
        <v>-88.64119475748295</v>
      </c>
      <c r="L42" s="48">
        <f>'C-FCL Real'!K157</f>
        <v>-86.871982948773507</v>
      </c>
      <c r="M42" s="48">
        <f>'C-FCL Real'!L157</f>
        <v>-85.005380414517433</v>
      </c>
      <c r="N42" s="48">
        <f>'C-FCL Real'!M157</f>
        <v>-83.040929418304643</v>
      </c>
      <c r="O42" s="48">
        <f>'C-FCL Real'!N157</f>
        <v>-80.978170072363952</v>
      </c>
      <c r="P42" s="48">
        <f>'C-FCL Real'!O157</f>
        <v>-78.816640327451637</v>
      </c>
      <c r="Q42" s="48">
        <f>'C-FCL Real'!P157</f>
        <v>-76.555875962692539</v>
      </c>
      <c r="R42" s="48">
        <f>'C-FCL Real'!Q157</f>
        <v>-74.195410575373373</v>
      </c>
      <c r="S42" s="48">
        <f>'C-FCL Real'!O157</f>
        <v>-78.816640327451637</v>
      </c>
      <c r="T42" s="48">
        <f>'C-FCL Real'!P157</f>
        <v>-76.555875962692539</v>
      </c>
      <c r="U42" s="48">
        <f>'C-FCL Real'!Q157</f>
        <v>-74.195410575373373</v>
      </c>
      <c r="V42" s="48">
        <f>'C-FCL Real'!R157</f>
        <v>-71.7347755706881</v>
      </c>
      <c r="W42" s="48">
        <f>'C-FCL Real'!S157</f>
        <v>-69.173500151435093</v>
      </c>
      <c r="X42" s="48">
        <f>'C-FCL Real'!T157</f>
        <v>-66.5111113076659</v>
      </c>
      <c r="Y42" s="48">
        <f>'C-FCL Real'!U157</f>
        <v>-63.747133806285291</v>
      </c>
      <c r="Z42" s="48">
        <f>'C-FCL Real'!V157</f>
        <v>-60.881090180602492</v>
      </c>
      <c r="AA42" s="48">
        <f>'C-FCL Real'!W157</f>
        <v>-57.912500719833282</v>
      </c>
      <c r="AB42" s="48">
        <f>'C-FCL Real'!X157</f>
        <v>-54.840883458552753</v>
      </c>
      <c r="AC42" s="48">
        <f>'C-FCL Real'!Y157</f>
        <v>-51.665754166098502</v>
      </c>
      <c r="AD42" s="48">
        <f>'C-FCL Real'!Z157</f>
        <v>-48.386626335924021</v>
      </c>
      <c r="AE42" s="48">
        <f>'C-FCL Real'!AA157</f>
        <v>-45.003011174902021</v>
      </c>
      <c r="AF42" s="48">
        <f>'C-FCL Real'!AB157</f>
        <v>-41.514417592577509</v>
      </c>
      <c r="AG42" s="48">
        <f>'C-FCL Real'!AC157</f>
        <v>-37.920352190370373</v>
      </c>
      <c r="AH42" s="48">
        <f>'C-FCL Real'!AD157</f>
        <v>-34.220319250727165</v>
      </c>
      <c r="AI42" s="48">
        <f>'C-FCL Real'!AE157</f>
        <v>-30.413820726221932</v>
      </c>
      <c r="AJ42" s="48">
        <f>'C-FCL Real'!AF157</f>
        <v>-26.500356228605821</v>
      </c>
      <c r="AK42" s="48">
        <f>'C-FCL Real'!AG157</f>
        <v>-22.479423017805214</v>
      </c>
      <c r="AL42" s="48">
        <f>'C-FCL Real'!AH157</f>
        <v>-18.350515990868143</v>
      </c>
      <c r="AM42" s="48">
        <f>'C-FCL Real'!AI157</f>
        <v>-14.113127670858763</v>
      </c>
      <c r="AN42" s="48">
        <f>'C-FCL Real'!AJ157</f>
        <v>-9.7667481956996376</v>
      </c>
      <c r="AO42" s="48">
        <f>'C-FCL Real'!AK157</f>
        <v>-5.3108653069615634</v>
      </c>
      <c r="AP42" s="48">
        <f>'C-FCL Real'!AL157</f>
        <v>-0.74496433860071853</v>
      </c>
      <c r="AQ42" s="48">
        <f>'C-FCL Real'!AM157</f>
        <v>3.9314717943571189</v>
      </c>
      <c r="AR42" s="48">
        <f>'C-FCL Real'!AN157</f>
        <v>8.7189626071855599</v>
      </c>
      <c r="AS42" s="48">
        <f>'C-FCL Real'!AO157</f>
        <v>13.618030056880006</v>
      </c>
      <c r="AT42" s="48">
        <f>'C-FCL Real'!AP157</f>
        <v>18.629198553633714</v>
      </c>
      <c r="AU42" s="48">
        <f>'C-FCL Real'!AQ157</f>
        <v>23.752994972367866</v>
      </c>
      <c r="AV42" s="48">
        <f>'C-FCL Real'!AR157</f>
        <v>28.989948664315772</v>
      </c>
      <c r="AW42" s="48">
        <f>'C-FCL Real'!AS157</f>
        <v>34.340591468661529</v>
      </c>
      <c r="AX42" s="48">
        <f>'C-FCL Real'!AT157</f>
        <v>39.805457724233413</v>
      </c>
      <c r="AY42" s="48">
        <f>'C-FCL Real'!AU157</f>
        <v>45.385084281252183</v>
      </c>
      <c r="AZ42" s="48">
        <f>'C-FCL Real'!AV157</f>
        <v>51.080010513134653</v>
      </c>
      <c r="BA42" s="48">
        <f>'C-FCL Real'!AW157</f>
        <v>56.890778328352674</v>
      </c>
      <c r="BB42" s="48">
        <f>'C-FCL Real'!AX157</f>
        <v>62.817932182347924</v>
      </c>
      <c r="BC42" s="48">
        <f>'C-FCL Real'!AY157</f>
        <v>68.862019089502638</v>
      </c>
      <c r="BD42" s="48">
        <f>'C-FCL Real'!AZ157</f>
        <v>75.023588635166689</v>
      </c>
      <c r="BE42" s="48">
        <f>'C-FCL Real'!BA157</f>
        <v>81.30319298774107</v>
      </c>
      <c r="BF42" s="48">
        <f>'C-FCL Real'!BB157</f>
        <v>87.701386910818243</v>
      </c>
      <c r="BG42" s="48">
        <f>'C-FCL Real'!BC157</f>
        <v>94.218727775379591</v>
      </c>
      <c r="BH42" s="48">
        <f>'C-FCL Real'!BD157</f>
        <v>0</v>
      </c>
    </row>
    <row r="43" spans="1:60" ht="15" hidden="1" customHeight="1" outlineLevel="1" x14ac:dyDescent="0.25">
      <c r="A43" s="1576">
        <f>A18+A21+A36</f>
        <v>1326.6788701980959</v>
      </c>
      <c r="B43" s="1548" t="s">
        <v>948</v>
      </c>
      <c r="C43" s="1565">
        <f>'R&amp;C-Painel de Controle'!D32</f>
        <v>35</v>
      </c>
      <c r="D43" s="1551" t="s">
        <v>260</v>
      </c>
    </row>
    <row r="44" spans="1:60" ht="15" hidden="1" customHeight="1" outlineLevel="1" x14ac:dyDescent="0.25">
      <c r="A44" s="1576">
        <f>A42-A43</f>
        <v>-13.349568614009513</v>
      </c>
      <c r="B44" s="1548" t="s">
        <v>930</v>
      </c>
      <c r="C44" s="33"/>
      <c r="D44" s="749"/>
      <c r="F44" s="1498"/>
      <c r="G44" s="1498"/>
    </row>
    <row r="45" spans="1:60" ht="15" hidden="1" customHeight="1" outlineLevel="1" x14ac:dyDescent="0.25">
      <c r="A45" s="1576"/>
      <c r="B45" s="1838" t="s">
        <v>1030</v>
      </c>
      <c r="C45" s="1839">
        <v>160</v>
      </c>
      <c r="D45" s="1840" t="s">
        <v>293</v>
      </c>
      <c r="E45" s="1841"/>
      <c r="F45" s="1842"/>
      <c r="G45" s="1842"/>
      <c r="H45" s="1841"/>
    </row>
    <row r="46" spans="1:60" ht="15" hidden="1" customHeight="1" outlineLevel="1" x14ac:dyDescent="0.25">
      <c r="B46" s="1501" t="s">
        <v>927</v>
      </c>
      <c r="C46" s="1564">
        <f>F46*$C$16/1000000</f>
        <v>1037.8200353829689</v>
      </c>
      <c r="D46" s="1518" t="s">
        <v>967</v>
      </c>
      <c r="E46" s="1518"/>
      <c r="F46" s="1534">
        <f>A27</f>
        <v>1197.6781996295149</v>
      </c>
      <c r="G46" s="1518" t="s">
        <v>293</v>
      </c>
      <c r="H46" s="1518"/>
    </row>
    <row r="47" spans="1:60" ht="15" hidden="1" customHeight="1" outlineLevel="1" x14ac:dyDescent="0.25">
      <c r="B47" s="1620" t="s">
        <v>928</v>
      </c>
      <c r="C47" s="1621">
        <f>F47*$C$16/1000000</f>
        <v>0</v>
      </c>
      <c r="D47" s="1622" t="s">
        <v>967</v>
      </c>
      <c r="E47" s="1622"/>
      <c r="F47" s="1623">
        <f>A24</f>
        <v>0</v>
      </c>
      <c r="G47" s="1622" t="s">
        <v>293</v>
      </c>
      <c r="H47" s="1622"/>
    </row>
    <row r="48" spans="1:60" ht="15" hidden="1" customHeight="1" outlineLevel="1" thickBot="1" x14ac:dyDescent="0.3">
      <c r="B48" s="1501" t="s">
        <v>929</v>
      </c>
      <c r="C48" s="1564">
        <f>F48*$C$16/1000000</f>
        <v>100.21475782033997</v>
      </c>
      <c r="D48" s="1518" t="s">
        <v>967</v>
      </c>
      <c r="E48" s="1518"/>
      <c r="F48" s="1534">
        <f>A30</f>
        <v>115.65110195457139</v>
      </c>
      <c r="G48" s="1518" t="s">
        <v>293</v>
      </c>
      <c r="H48" s="1518"/>
    </row>
    <row r="49" spans="1:8" s="39" customFormat="1" ht="15" hidden="1" customHeight="1" outlineLevel="1" thickTop="1" x14ac:dyDescent="0.25">
      <c r="B49" s="1519" t="s">
        <v>931</v>
      </c>
      <c r="C49" s="1536">
        <f>C46+C47+C48</f>
        <v>1138.0347932033087</v>
      </c>
      <c r="D49" s="1520" t="s">
        <v>967</v>
      </c>
      <c r="E49" s="1520"/>
      <c r="F49" s="1521">
        <f>F46+F47+F48</f>
        <v>1313.3293015840864</v>
      </c>
      <c r="G49" s="1520" t="s">
        <v>293</v>
      </c>
      <c r="H49" s="1520"/>
    </row>
    <row r="50" spans="1:8" ht="15" hidden="1" customHeight="1" outlineLevel="1" x14ac:dyDescent="0.25">
      <c r="B50" s="1620" t="s">
        <v>933</v>
      </c>
      <c r="C50" s="1621">
        <f>F50*$C$16/1000000</f>
        <v>1106.0853789777416</v>
      </c>
      <c r="D50" s="1622" t="s">
        <v>967</v>
      </c>
      <c r="E50" s="1622"/>
      <c r="F50" s="1623">
        <f>A18+A21</f>
        <v>1276.4586346049364</v>
      </c>
      <c r="G50" s="1622" t="s">
        <v>293</v>
      </c>
      <c r="H50" s="1622"/>
    </row>
    <row r="51" spans="1:8" ht="15" hidden="1" customHeight="1" outlineLevel="1" x14ac:dyDescent="0.25">
      <c r="B51" s="1501" t="s">
        <v>934</v>
      </c>
      <c r="C51" s="1575">
        <f>F51*$C$16/1000000</f>
        <v>43.517170719443932</v>
      </c>
      <c r="D51" s="1518" t="s">
        <v>967</v>
      </c>
      <c r="E51" s="1518"/>
      <c r="F51" s="1535">
        <f>A36</f>
        <v>50.220235593159522</v>
      </c>
      <c r="G51" s="1518" t="s">
        <v>293</v>
      </c>
      <c r="H51" s="1518"/>
    </row>
    <row r="52" spans="1:8" s="1499" customFormat="1" ht="15" hidden="1" customHeight="1" outlineLevel="1" thickBot="1" x14ac:dyDescent="0.3">
      <c r="B52" s="1554"/>
      <c r="C52" s="1574"/>
      <c r="D52" s="1529"/>
      <c r="E52" s="1529"/>
      <c r="F52" s="1529"/>
      <c r="G52" s="1529"/>
      <c r="H52" s="1529"/>
    </row>
    <row r="53" spans="1:8" s="42" customFormat="1" ht="15" hidden="1" customHeight="1" outlineLevel="1" thickTop="1" x14ac:dyDescent="0.25">
      <c r="B53" s="1594" t="s">
        <v>932</v>
      </c>
      <c r="C53" s="1595">
        <f>C49-C50-C51</f>
        <v>-11.567756493876807</v>
      </c>
      <c r="D53" s="1596" t="s">
        <v>967</v>
      </c>
      <c r="E53" s="1596"/>
      <c r="F53" s="1597">
        <f>F49-F50-F51</f>
        <v>-13.349568614009549</v>
      </c>
      <c r="G53" s="1596" t="s">
        <v>293</v>
      </c>
      <c r="H53" s="1596"/>
    </row>
    <row r="54" spans="1:8" ht="15" customHeight="1" thickTop="1" thickBot="1" x14ac:dyDescent="0.3">
      <c r="A54" s="1576"/>
      <c r="B54" s="1548"/>
      <c r="C54" s="1592"/>
      <c r="D54" s="749"/>
      <c r="F54" s="1498"/>
      <c r="G54" s="1498"/>
    </row>
    <row r="55" spans="1:8" s="1528" customFormat="1" ht="25.15" customHeight="1" collapsed="1" thickTop="1" thickBot="1" x14ac:dyDescent="0.3">
      <c r="B55" s="2126" t="s">
        <v>988</v>
      </c>
      <c r="C55" s="2127"/>
      <c r="D55" s="2127"/>
      <c r="E55" s="2127"/>
      <c r="F55" s="2127"/>
      <c r="G55" s="2127"/>
      <c r="H55" s="2128"/>
    </row>
    <row r="56" spans="1:8" s="1499" customFormat="1" ht="15" hidden="1" customHeight="1" outlineLevel="1" thickTop="1" x14ac:dyDescent="0.25">
      <c r="B56" s="1552"/>
      <c r="C56" s="1566"/>
      <c r="D56" s="1508"/>
      <c r="E56" s="1508"/>
      <c r="F56" s="1509"/>
      <c r="G56" s="1508"/>
      <c r="H56" s="1510"/>
    </row>
    <row r="57" spans="1:8" s="42" customFormat="1" ht="15" hidden="1" customHeight="1" outlineLevel="1" x14ac:dyDescent="0.25">
      <c r="B57" s="1511" t="s">
        <v>923</v>
      </c>
      <c r="C57" s="1523">
        <f>C58*C59</f>
        <v>3291785.2349473191</v>
      </c>
      <c r="D57" s="1512" t="s">
        <v>922</v>
      </c>
      <c r="E57" s="1512"/>
      <c r="F57" s="1513">
        <f>C57/'R&amp;C-Painel de Controle'!$D$8</f>
        <v>142.96197427851257</v>
      </c>
      <c r="G57" s="1512" t="s">
        <v>293</v>
      </c>
      <c r="H57" s="1514">
        <f>F57/$F$99</f>
        <v>0.16448545843604576</v>
      </c>
    </row>
    <row r="58" spans="1:8" s="1499" customFormat="1" ht="15" hidden="1" customHeight="1" outlineLevel="1" x14ac:dyDescent="0.25">
      <c r="B58" s="1507" t="s">
        <v>940</v>
      </c>
      <c r="C58" s="1567">
        <f>('R&amp;C-Painel de Controle'!D8-'R&amp;C-Painel de Controle'!D9)</f>
        <v>18466.387289999999</v>
      </c>
      <c r="D58" s="1508" t="s">
        <v>249</v>
      </c>
      <c r="E58" s="1508"/>
      <c r="F58" s="1509"/>
      <c r="G58" s="1508"/>
      <c r="H58" s="1510"/>
    </row>
    <row r="59" spans="1:8" s="1499" customFormat="1" ht="15" hidden="1" customHeight="1" outlineLevel="1" x14ac:dyDescent="0.25">
      <c r="B59" s="1524" t="s">
        <v>941</v>
      </c>
      <c r="C59" s="1568">
        <f>IF('R-Definição'!E121="Novo",(('R&amp;C-Painel de Controle'!L73*'C-Dados RT Simplif.'!C105+'R&amp;C-Painel de Controle'!P73*'C-Dados RT Simplif.'!C105*'C-Dados RT Simplif.'!C7)/('C-Dados RT Simplif.'!C7*'C-Dados RT Simplif.'!C105)),('R&amp;C-Painel de Controle'!D88+'R&amp;C-Painel de Controle'!D89))</f>
        <v>178.25821495306241</v>
      </c>
      <c r="D59" s="1525" t="s">
        <v>293</v>
      </c>
      <c r="E59" s="1525"/>
      <c r="F59" s="1526"/>
      <c r="G59" s="1525"/>
      <c r="H59" s="1527"/>
    </row>
    <row r="60" spans="1:8" s="1499" customFormat="1" ht="15" hidden="1" customHeight="1" outlineLevel="1" x14ac:dyDescent="0.25">
      <c r="B60" s="1553"/>
      <c r="C60" s="1569"/>
      <c r="D60" s="1503"/>
      <c r="E60" s="1503"/>
      <c r="F60" s="1504"/>
      <c r="G60" s="1503"/>
      <c r="H60" s="1505"/>
    </row>
    <row r="61" spans="1:8" s="42" customFormat="1" ht="15" hidden="1" customHeight="1" outlineLevel="1" x14ac:dyDescent="0.25">
      <c r="B61" s="1501" t="s">
        <v>942</v>
      </c>
      <c r="C61" s="1599">
        <f>IF(C68="Sim",(C62*C71+C63*C72+C64*C73+C65*C74+C66*C76+C67*C75)*C69*((1-C93)+(1-C70)*(1-C89)),0)</f>
        <v>787866.44193981669</v>
      </c>
      <c r="D61" s="1600" t="s">
        <v>922</v>
      </c>
      <c r="E61" s="1600"/>
      <c r="F61" s="1601">
        <f>C61/'R&amp;C-Painel de Controle'!$D$8</f>
        <v>34.216977709150541</v>
      </c>
      <c r="G61" s="1600" t="s">
        <v>293</v>
      </c>
      <c r="H61" s="1602">
        <f>F61/$F$99</f>
        <v>3.9368477479339858E-2</v>
      </c>
    </row>
    <row r="62" spans="1:8" s="1499" customFormat="1" ht="15" hidden="1" customHeight="1" outlineLevel="1" x14ac:dyDescent="0.25">
      <c r="B62" s="1502" t="str">
        <f>'R&amp;C-Painel de Controle'!J36</f>
        <v>Mat. Recicl.: Papel/Papelão — Triagem Mecanizada</v>
      </c>
      <c r="C62" s="1570">
        <f>'R&amp;C-Painel de Controle'!L36</f>
        <v>102.19696166965241</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7">
        <f>'R&amp;C-Painel de Controle'!L37</f>
        <v>69.431523577092108</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7">
        <f>'R&amp;C-Painel de Controle'!L38</f>
        <v>35.885956006137491</v>
      </c>
      <c r="D64" s="1508" t="s">
        <v>249</v>
      </c>
      <c r="E64" s="1508"/>
      <c r="F64" s="1509"/>
      <c r="G64" s="1508"/>
      <c r="H64" s="1510"/>
    </row>
    <row r="65" spans="2:8" s="1499" customFormat="1" ht="15" hidden="1" customHeight="1" outlineLevel="1" x14ac:dyDescent="0.25">
      <c r="B65" s="1507" t="str">
        <f>'R&amp;C-Painel de Controle'!J39</f>
        <v>Mat. Recicl.: Vidros — Triagem Mecânica</v>
      </c>
      <c r="C65" s="1567">
        <f>'R&amp;C-Painel de Controle'!L39</f>
        <v>18.723107481463035</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7">
        <f>'R&amp;C-Painel de Controle'!L40+'R&amp;C-Painel de Controle'!L42</f>
        <v>121.26411270482701</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7">
        <f>'R&amp;C-Painel de Controle'!L41+'R&amp;C-Painel de Controle'!L43</f>
        <v>464.84576536850358</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7"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1">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1">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7">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7">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7">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7">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7">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7">
        <f>'R&amp;C-Painel de Controle'!D106</f>
        <v>900</v>
      </c>
      <c r="D76" s="1508" t="s">
        <v>293</v>
      </c>
      <c r="E76" s="1508"/>
      <c r="F76" s="1509"/>
      <c r="G76" s="1508"/>
      <c r="H76" s="1510"/>
    </row>
    <row r="77" spans="2:8" s="1499" customFormat="1" ht="15" hidden="1" customHeight="1" outlineLevel="1" x14ac:dyDescent="0.25">
      <c r="B77" s="1552"/>
      <c r="C77" s="1566"/>
      <c r="D77" s="1508"/>
      <c r="E77" s="1508"/>
      <c r="F77" s="1509"/>
      <c r="G77" s="1508"/>
      <c r="H77" s="1510"/>
    </row>
    <row r="78" spans="2:8" ht="15" hidden="1" customHeight="1" outlineLevel="1" x14ac:dyDescent="0.25">
      <c r="B78" s="1501" t="s">
        <v>935</v>
      </c>
      <c r="C78"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4140191.798638063</v>
      </c>
      <c r="D78" s="1518" t="s">
        <v>922</v>
      </c>
      <c r="E78" s="1518"/>
      <c r="F78" s="1535">
        <f>C78/'R&amp;C-Painel de Controle'!$D$8</f>
        <v>179.80820472161696</v>
      </c>
      <c r="G78" s="1518" t="s">
        <v>293</v>
      </c>
      <c r="H78" s="1603">
        <f>F78/$F$99</f>
        <v>0.2068790329278688</v>
      </c>
    </row>
    <row r="79" spans="2:8" ht="15" hidden="1" customHeight="1" outlineLevel="1" x14ac:dyDescent="0.25">
      <c r="B79" s="1501" t="s">
        <v>936</v>
      </c>
      <c r="C79"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5796268.5180932879</v>
      </c>
      <c r="D79" s="1518" t="s">
        <v>922</v>
      </c>
      <c r="E79" s="1518"/>
      <c r="F79" s="1535">
        <f>C79/'R&amp;C-Painel de Controle'!$D$8</f>
        <v>251.73148661026372</v>
      </c>
      <c r="G79" s="1518" t="s">
        <v>293</v>
      </c>
      <c r="H79" s="1603">
        <f>F79/$F$99</f>
        <v>0.28963064609901629</v>
      </c>
    </row>
    <row r="80" spans="2:8" s="1499" customFormat="1" ht="15" hidden="1" customHeight="1" outlineLevel="1" x14ac:dyDescent="0.25">
      <c r="B80" s="1552"/>
      <c r="C80" s="1566"/>
      <c r="D80" s="1508"/>
      <c r="E80" s="1508"/>
      <c r="F80" s="1509"/>
      <c r="G80" s="1508"/>
      <c r="H80" s="1510"/>
    </row>
    <row r="81" spans="2:8" ht="15" hidden="1" customHeight="1" outlineLevel="1" x14ac:dyDescent="0.25">
      <c r="B81" s="1604" t="s">
        <v>937</v>
      </c>
      <c r="C81" s="1605">
        <f>(C82*C83+C84*C85)*C86</f>
        <v>1763276.6860964743</v>
      </c>
      <c r="D81" s="1606" t="s">
        <v>922</v>
      </c>
      <c r="E81" s="1606"/>
      <c r="F81" s="1607">
        <f>C81/'R&amp;C-Painel de Controle'!$D$8</f>
        <v>76.578968022395699</v>
      </c>
      <c r="G81" s="1606" t="s">
        <v>293</v>
      </c>
      <c r="H81" s="1608">
        <f>F81/$F$99</f>
        <v>8.8108231054390695E-2</v>
      </c>
    </row>
    <row r="82" spans="2:8" ht="15" hidden="1" customHeight="1" outlineLevel="1" x14ac:dyDescent="0.25">
      <c r="B82" s="1515" t="s">
        <v>943</v>
      </c>
      <c r="C82" s="1543">
        <f>'R&amp;C-Painel de Controle'!D8</f>
        <v>23025.599999999999</v>
      </c>
      <c r="D82" s="1499" t="s">
        <v>249</v>
      </c>
      <c r="E82" s="1499"/>
      <c r="F82" s="1530"/>
      <c r="G82" s="1499"/>
      <c r="H82" s="1531"/>
    </row>
    <row r="83" spans="2:8" ht="15" hidden="1" customHeight="1" outlineLevel="1" x14ac:dyDescent="0.25">
      <c r="B83" s="1515" t="s">
        <v>944</v>
      </c>
      <c r="C83" s="1543">
        <f>'R&amp;C-Painel de Controle'!D33</f>
        <v>1396.7092707049733</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165.89021038381674</v>
      </c>
      <c r="D85" s="1499" t="s">
        <v>293</v>
      </c>
      <c r="E85" s="1499"/>
      <c r="F85" s="1530"/>
      <c r="G85" s="1499"/>
      <c r="H85" s="1531"/>
    </row>
    <row r="86" spans="2:8" ht="15" hidden="1" customHeight="1" outlineLevel="1" x14ac:dyDescent="0.25">
      <c r="B86" s="1516" t="s">
        <v>947</v>
      </c>
      <c r="C86" s="1572">
        <f>'C-FCL Real'!C10</f>
        <v>0.05</v>
      </c>
      <c r="D86" s="1517" t="s">
        <v>194</v>
      </c>
      <c r="E86" s="1517"/>
      <c r="F86" s="1532"/>
      <c r="G86" s="1517"/>
      <c r="H86" s="1533"/>
    </row>
    <row r="87" spans="2:8" s="1499" customFormat="1" ht="15" hidden="1" customHeight="1" outlineLevel="1" x14ac:dyDescent="0.25">
      <c r="B87" s="1552"/>
      <c r="C87" s="1566"/>
      <c r="D87" s="1508"/>
      <c r="E87" s="1508"/>
      <c r="F87" s="1509"/>
      <c r="G87" s="1508"/>
      <c r="H87" s="1510"/>
    </row>
    <row r="88" spans="2:8" ht="15" hidden="1" customHeight="1" outlineLevel="1" x14ac:dyDescent="0.25">
      <c r="B88" s="1604" t="s">
        <v>938</v>
      </c>
      <c r="C88" s="1605">
        <f>(C62*C71+C63*C72+C64*C73+C65*C74+C66*C76+C67*C75)*C89*C90</f>
        <v>15078.783577795535</v>
      </c>
      <c r="D88" s="1606" t="s">
        <v>922</v>
      </c>
      <c r="E88" s="1606"/>
      <c r="F88" s="1607">
        <f>C88/'R&amp;C-Painel de Controle'!$D$8</f>
        <v>0.6548703867780008</v>
      </c>
      <c r="G88" s="1606" t="s">
        <v>293</v>
      </c>
      <c r="H88" s="1608">
        <f>F88/$F$99</f>
        <v>7.5346368381511684E-4</v>
      </c>
    </row>
    <row r="89" spans="2:8" ht="15" hidden="1" customHeight="1" outlineLevel="1" x14ac:dyDescent="0.25">
      <c r="B89" s="1516" t="s">
        <v>966</v>
      </c>
      <c r="C89" s="1572">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2">
        <f>'R&amp;C-Painel de Controle'!D100</f>
        <v>0.25</v>
      </c>
      <c r="D90" s="1517" t="s">
        <v>194</v>
      </c>
      <c r="E90" s="1517"/>
      <c r="F90" s="1532"/>
      <c r="G90" s="1517"/>
      <c r="H90" s="1533"/>
    </row>
    <row r="91" spans="2:8" s="1499" customFormat="1" ht="15" hidden="1" customHeight="1" outlineLevel="1" x14ac:dyDescent="0.25">
      <c r="B91" s="1552"/>
      <c r="C91" s="1566"/>
      <c r="D91" s="1508"/>
      <c r="E91" s="1508"/>
      <c r="F91" s="1509"/>
      <c r="G91" s="1508"/>
      <c r="H91" s="1510"/>
    </row>
    <row r="92" spans="2:8" ht="15" hidden="1" customHeight="1" outlineLevel="1" x14ac:dyDescent="0.25">
      <c r="B92" s="1604" t="s">
        <v>939</v>
      </c>
      <c r="C92" s="1605">
        <f>'R&amp;C-Painel de Controle'!D33*'R&amp;C-Painel de Controle'!D8*(C93)+C36*1000000/'R&amp;C-Painel de Controle'!D32</f>
        <v>4218154.1158191152</v>
      </c>
      <c r="D92" s="1606" t="s">
        <v>922</v>
      </c>
      <c r="E92" s="1609"/>
      <c r="F92" s="1610">
        <f>C92/'R&amp;C-Painel de Controle'!$D$8</f>
        <v>183.1941020350877</v>
      </c>
      <c r="G92" s="1609" t="s">
        <v>293</v>
      </c>
      <c r="H92" s="1611">
        <f>F92/$F$99</f>
        <v>0.21077469031952331</v>
      </c>
    </row>
    <row r="93" spans="2:8" ht="15" hidden="1" customHeight="1" outlineLevel="1" x14ac:dyDescent="0.25">
      <c r="B93" s="1516" t="s">
        <v>976</v>
      </c>
      <c r="C93" s="1573">
        <v>9.2499999999999999E-2</v>
      </c>
      <c r="D93" s="1517" t="s">
        <v>194</v>
      </c>
      <c r="E93" s="1517"/>
      <c r="F93" s="1532"/>
      <c r="G93" s="1517"/>
      <c r="H93" s="1533"/>
    </row>
    <row r="94" spans="2:8" ht="15" hidden="1" customHeight="1" outlineLevel="1" x14ac:dyDescent="0.25">
      <c r="B94" s="1515" t="s">
        <v>943</v>
      </c>
      <c r="C94" s="1543">
        <f>C82</f>
        <v>23025.599999999999</v>
      </c>
      <c r="D94" s="1499" t="s">
        <v>249</v>
      </c>
      <c r="E94" s="1499"/>
      <c r="F94" s="1530"/>
      <c r="G94" s="1499"/>
      <c r="H94" s="1531"/>
    </row>
    <row r="95" spans="2:8" ht="15" hidden="1" customHeight="1" outlineLevel="1" x14ac:dyDescent="0.25">
      <c r="B95" s="1515" t="s">
        <v>944</v>
      </c>
      <c r="C95" s="1543">
        <f>C83</f>
        <v>1396.7092707049733</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165.89021038381674</v>
      </c>
      <c r="D97" s="1499" t="s">
        <v>293</v>
      </c>
      <c r="E97" s="1499"/>
      <c r="F97" s="1530"/>
      <c r="G97" s="1499"/>
      <c r="H97" s="1531"/>
    </row>
    <row r="98" spans="2:8" s="1499" customFormat="1" ht="15" hidden="1" customHeight="1" outlineLevel="1" thickBot="1" x14ac:dyDescent="0.3">
      <c r="B98" s="1554"/>
      <c r="C98" s="1574"/>
      <c r="D98" s="1529"/>
      <c r="E98" s="1529"/>
      <c r="F98" s="1529"/>
      <c r="G98" s="1529"/>
      <c r="H98" s="1529"/>
    </row>
    <row r="99" spans="2:8" s="39" customFormat="1" ht="15" hidden="1" customHeight="1" outlineLevel="1" thickTop="1" x14ac:dyDescent="0.25">
      <c r="B99" s="1612" t="s">
        <v>926</v>
      </c>
      <c r="C99" s="1613">
        <f>C57+C61+C78+C79+C81+C88+C92</f>
        <v>20012621.579111874</v>
      </c>
      <c r="D99" s="1614" t="s">
        <v>922</v>
      </c>
      <c r="E99" s="1615"/>
      <c r="F99" s="1616">
        <f>C99/'R&amp;C-Painel de Controle'!$D$8</f>
        <v>869.14658376380532</v>
      </c>
      <c r="G99" s="1615" t="s">
        <v>293</v>
      </c>
      <c r="H99" s="1617">
        <f>F99/$F$99</f>
        <v>1</v>
      </c>
    </row>
    <row r="100" spans="2:8" ht="15" customHeight="1" thickTop="1" thickBot="1" x14ac:dyDescent="0.3">
      <c r="B100" s="1548"/>
      <c r="C100" s="1560"/>
      <c r="D100" s="1499"/>
      <c r="E100" s="1499"/>
      <c r="F100" s="1499"/>
      <c r="G100" s="1499"/>
      <c r="H100" s="1499"/>
    </row>
    <row r="101" spans="2:8" ht="25.15" customHeight="1" collapsed="1" thickTop="1" thickBot="1" x14ac:dyDescent="0.3">
      <c r="B101" s="2126" t="s">
        <v>989</v>
      </c>
      <c r="C101" s="2127"/>
      <c r="D101" s="2127"/>
      <c r="E101" s="2127"/>
      <c r="F101" s="2127"/>
      <c r="G101" s="2127"/>
      <c r="H101" s="2128"/>
    </row>
    <row r="102" spans="2:8" ht="15" hidden="1" customHeight="1" outlineLevel="1" thickTop="1" x14ac:dyDescent="0.25">
      <c r="B102" s="1666" t="s">
        <v>241</v>
      </c>
      <c r="C102" s="1625">
        <f>'R&amp;C-Painel de Controle'!D6</f>
        <v>411597</v>
      </c>
      <c r="D102" s="1499" t="s">
        <v>242</v>
      </c>
      <c r="F102" s="37"/>
      <c r="G102" s="1522"/>
    </row>
    <row r="103" spans="2:8" ht="15" hidden="1" customHeight="1" outlineLevel="1" x14ac:dyDescent="0.25">
      <c r="B103" s="1624" t="s">
        <v>975</v>
      </c>
      <c r="C103" s="1625">
        <f>'R&amp;C-Painel de Controle'!D8</f>
        <v>23025.599999999999</v>
      </c>
      <c r="D103" s="1626" t="s">
        <v>249</v>
      </c>
      <c r="E103" s="1627"/>
      <c r="F103" s="1627"/>
      <c r="G103" s="1627"/>
      <c r="H103" s="1627"/>
    </row>
    <row r="104" spans="2:8" ht="15" hidden="1" customHeight="1" outlineLevel="1" x14ac:dyDescent="0.25">
      <c r="B104" s="1624" t="s">
        <v>975</v>
      </c>
      <c r="C104" s="1625">
        <f>C103/312</f>
        <v>73.8</v>
      </c>
      <c r="D104" s="1626" t="s">
        <v>21</v>
      </c>
      <c r="E104" s="1627"/>
      <c r="F104" s="1627"/>
      <c r="G104" s="1627"/>
      <c r="H104" s="1627"/>
    </row>
    <row r="105" spans="2:8" ht="15" hidden="1" customHeight="1" outlineLevel="1" x14ac:dyDescent="0.25">
      <c r="B105" s="1628" t="s">
        <v>977</v>
      </c>
      <c r="C105" s="1625">
        <f>'R&amp;C-Painel de Controle'!D48</f>
        <v>24964.143308617382</v>
      </c>
      <c r="D105" s="1626" t="s">
        <v>249</v>
      </c>
      <c r="E105" s="1627"/>
      <c r="F105" s="1627"/>
      <c r="G105" s="1627"/>
      <c r="H105" s="1627"/>
    </row>
    <row r="106" spans="2:8" ht="15" hidden="1" customHeight="1" outlineLevel="1" x14ac:dyDescent="0.25">
      <c r="B106" s="1628" t="s">
        <v>992</v>
      </c>
      <c r="C106" s="1625">
        <f>C105/312</f>
        <v>80.013279835312119</v>
      </c>
      <c r="D106" s="1626" t="s">
        <v>21</v>
      </c>
      <c r="E106" s="1627"/>
      <c r="F106" s="1627"/>
      <c r="G106" s="1627"/>
      <c r="H106" s="1627"/>
    </row>
    <row r="107" spans="2:8" ht="15" hidden="1" customHeight="1" outlineLevel="1" x14ac:dyDescent="0.25">
      <c r="B107" s="1628" t="s">
        <v>1000</v>
      </c>
      <c r="C107" s="1665">
        <f>'R-Entrada'!E26/100</f>
        <v>0.48399999999999999</v>
      </c>
      <c r="D107" s="1626" t="s">
        <v>194</v>
      </c>
      <c r="E107" s="1627"/>
      <c r="F107" s="1627"/>
      <c r="G107" s="1627"/>
      <c r="H107" s="1627"/>
    </row>
    <row r="108" spans="2:8" ht="15" hidden="1" customHeight="1" outlineLevel="1" x14ac:dyDescent="0.25">
      <c r="B108" s="1629" t="s">
        <v>984</v>
      </c>
      <c r="C108" s="163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2271.4870126772303</v>
      </c>
      <c r="D108" s="1631" t="s">
        <v>257</v>
      </c>
      <c r="E108" s="1627"/>
      <c r="F108" s="1627"/>
      <c r="G108" s="1627"/>
      <c r="H108" s="1627"/>
    </row>
    <row r="109" spans="2:8" ht="15" hidden="1" customHeight="1" outlineLevel="1" x14ac:dyDescent="0.25">
      <c r="B109" s="1629" t="s">
        <v>985</v>
      </c>
      <c r="C109" s="1632">
        <f>'R&amp;C-Painel de Controle'!D68</f>
        <v>0</v>
      </c>
      <c r="D109" s="1633" t="s">
        <v>282</v>
      </c>
      <c r="E109" s="1627"/>
      <c r="F109" s="1627"/>
      <c r="G109" s="1627"/>
      <c r="H109" s="1627"/>
    </row>
    <row r="110" spans="2:8" ht="15" hidden="1" customHeight="1" outlineLevel="1" thickBot="1" x14ac:dyDescent="0.3">
      <c r="B110" s="1666" t="s">
        <v>1031</v>
      </c>
      <c r="C110" s="1843">
        <f>C103*1000/C102/365</f>
        <v>0.15326602384477622</v>
      </c>
      <c r="D110" s="1499" t="s">
        <v>1032</v>
      </c>
    </row>
    <row r="111" spans="2:8" ht="15" hidden="1" customHeight="1" outlineLevel="1" thickTop="1" x14ac:dyDescent="0.25">
      <c r="B111" s="1577" t="s">
        <v>978</v>
      </c>
      <c r="C111" s="1589"/>
      <c r="D111" s="1578"/>
      <c r="E111" s="1578"/>
      <c r="F111" s="1578"/>
      <c r="G111" s="1578"/>
      <c r="H111" s="1578"/>
    </row>
    <row r="112" spans="2:8" s="1499" customFormat="1" ht="15" hidden="1" customHeight="1" outlineLevel="1" x14ac:dyDescent="0.25">
      <c r="B112" s="1634"/>
      <c r="C112" s="1638">
        <f>'R-Resumo Bal. Massa'!G51</f>
        <v>56.78564476091077</v>
      </c>
      <c r="D112" s="1635" t="s">
        <v>971</v>
      </c>
      <c r="E112" s="1636"/>
      <c r="F112" s="1636"/>
      <c r="G112" s="1636"/>
      <c r="H112" s="1636"/>
    </row>
    <row r="113" spans="2:8" ht="15" hidden="1" customHeight="1" outlineLevel="1" x14ac:dyDescent="0.25">
      <c r="B113" s="1548"/>
      <c r="C113" s="1564">
        <f>C112*312*$C$106/$C$104/1000</f>
        <v>19.208739480807779</v>
      </c>
      <c r="D113" s="1579" t="s">
        <v>969</v>
      </c>
      <c r="E113" s="749"/>
      <c r="F113" s="749"/>
      <c r="G113" s="749"/>
      <c r="H113" s="749"/>
    </row>
    <row r="114" spans="2:8" ht="15" hidden="1" customHeight="1" outlineLevel="1" x14ac:dyDescent="0.25">
      <c r="B114" s="1584" t="s">
        <v>979</v>
      </c>
      <c r="C114" s="1590"/>
      <c r="D114" s="1585"/>
      <c r="E114" s="1585"/>
      <c r="F114" s="1585"/>
      <c r="G114" s="1585"/>
      <c r="H114" s="1585"/>
    </row>
    <row r="115" spans="2:8" s="1499" customFormat="1" ht="15" hidden="1" customHeight="1" outlineLevel="1" x14ac:dyDescent="0.25">
      <c r="B115" s="1634"/>
      <c r="C115" s="1638">
        <f>'R-Resumo Bal. Massa'!G49</f>
        <v>14.612861249999996</v>
      </c>
      <c r="D115" s="1635" t="s">
        <v>971</v>
      </c>
      <c r="E115" s="1636"/>
      <c r="F115" s="1636"/>
      <c r="G115" s="1636"/>
      <c r="H115" s="1636"/>
    </row>
    <row r="116" spans="2:8" ht="15" hidden="1" customHeight="1" outlineLevel="1" x14ac:dyDescent="0.25">
      <c r="B116" s="1586"/>
      <c r="C116" s="1564">
        <f>C115*312*$C$106/$C$104/1000</f>
        <v>4.9430564010019191</v>
      </c>
      <c r="D116" s="1587" t="s">
        <v>969</v>
      </c>
      <c r="E116" s="1588"/>
      <c r="F116" s="1588"/>
      <c r="G116" s="1588"/>
      <c r="H116" s="1588"/>
    </row>
    <row r="117" spans="2:8" ht="15" hidden="1" customHeight="1" outlineLevel="1" x14ac:dyDescent="0.25">
      <c r="B117" s="1580" t="s">
        <v>980</v>
      </c>
      <c r="C117" s="1543"/>
      <c r="D117" s="749"/>
      <c r="E117" s="749"/>
      <c r="F117" s="749"/>
      <c r="G117" s="749"/>
      <c r="H117" s="749"/>
    </row>
    <row r="118" spans="2:8" s="1499" customFormat="1" ht="15" hidden="1" customHeight="1" outlineLevel="1" x14ac:dyDescent="0.25">
      <c r="B118" s="1634"/>
      <c r="C118" s="1638">
        <f>'R-Resumo Bal. Massa'!G50</f>
        <v>2.4014939890892175</v>
      </c>
      <c r="D118" s="1635" t="s">
        <v>971</v>
      </c>
      <c r="E118" s="1636"/>
      <c r="F118" s="1636"/>
      <c r="G118" s="1636"/>
      <c r="H118" s="1636"/>
    </row>
    <row r="119" spans="2:8" ht="15" hidden="1" customHeight="1" outlineLevel="1" thickBot="1" x14ac:dyDescent="0.3">
      <c r="B119" s="1581"/>
      <c r="C119" s="1664">
        <f>C118*312*$C$106/$C$104/1000</f>
        <v>0.81234742680767558</v>
      </c>
      <c r="D119" s="1582" t="s">
        <v>969</v>
      </c>
      <c r="E119" s="1583"/>
      <c r="F119" s="1583"/>
      <c r="G119" s="1583"/>
      <c r="H119" s="1583"/>
    </row>
    <row r="120" spans="2:8" ht="15" hidden="1" customHeight="1" outlineLevel="1" thickTop="1" thickBot="1" x14ac:dyDescent="0.3">
      <c r="C120" s="1544"/>
    </row>
    <row r="121" spans="2:8" ht="15" hidden="1" customHeight="1" outlineLevel="1" thickTop="1" x14ac:dyDescent="0.25">
      <c r="B121" s="2122" t="s">
        <v>981</v>
      </c>
      <c r="C121" s="1591"/>
      <c r="D121" s="1578"/>
      <c r="E121" s="1578"/>
      <c r="F121" s="1578"/>
      <c r="G121" s="1578"/>
      <c r="H121" s="1578"/>
    </row>
    <row r="122" spans="2:8" ht="15" hidden="1" customHeight="1" outlineLevel="1" x14ac:dyDescent="0.25">
      <c r="B122" s="2120"/>
      <c r="C122" s="1639">
        <f>'R-Resumo Bal. Massa'!D64</f>
        <v>2.4014939890892175</v>
      </c>
      <c r="D122" s="1631" t="s">
        <v>971</v>
      </c>
      <c r="E122" s="1627"/>
      <c r="F122" s="1627"/>
      <c r="G122" s="1627"/>
      <c r="H122" s="1627"/>
    </row>
    <row r="123" spans="2:8" ht="15" hidden="1" customHeight="1" outlineLevel="1" x14ac:dyDescent="0.25">
      <c r="B123" s="2121"/>
      <c r="C123" s="1564">
        <f>C122*312*$C$106/$C$104/1000</f>
        <v>0.81234742680767558</v>
      </c>
      <c r="D123" s="1579" t="s">
        <v>969</v>
      </c>
      <c r="E123" s="749"/>
      <c r="F123" s="749"/>
      <c r="G123" s="749"/>
      <c r="H123" s="749"/>
    </row>
    <row r="124" spans="2:8" ht="15" hidden="1" customHeight="1" outlineLevel="1" x14ac:dyDescent="0.25">
      <c r="B124" s="2119" t="s">
        <v>987</v>
      </c>
      <c r="C124" s="1590"/>
      <c r="D124" s="1585"/>
      <c r="E124" s="1585"/>
      <c r="F124" s="1585"/>
      <c r="G124" s="1585"/>
      <c r="H124" s="1585"/>
    </row>
    <row r="125" spans="2:8" ht="15" hidden="1" customHeight="1" outlineLevel="1" x14ac:dyDescent="0.25">
      <c r="B125" s="2120"/>
      <c r="C125" s="1639">
        <f>'R-Resumo Bal. Massa'!D73</f>
        <v>0</v>
      </c>
      <c r="D125" s="1631" t="s">
        <v>971</v>
      </c>
      <c r="E125" s="1627"/>
      <c r="F125" s="1627"/>
      <c r="G125" s="1627"/>
      <c r="H125" s="1627"/>
    </row>
    <row r="126" spans="2:8" ht="15" hidden="1" customHeight="1" outlineLevel="1" x14ac:dyDescent="0.25">
      <c r="B126" s="2121"/>
      <c r="C126" s="1564">
        <f>C125*312*$C$106/$C$104/1000</f>
        <v>0</v>
      </c>
      <c r="D126" s="1579" t="s">
        <v>969</v>
      </c>
      <c r="E126" s="749"/>
      <c r="F126" s="749"/>
      <c r="G126" s="749"/>
      <c r="H126" s="749"/>
    </row>
    <row r="127" spans="2:8" ht="15" hidden="1" customHeight="1" outlineLevel="1" x14ac:dyDescent="0.25">
      <c r="B127" s="2119" t="s">
        <v>970</v>
      </c>
      <c r="C127" s="1590"/>
      <c r="D127" s="1585"/>
      <c r="E127" s="1585"/>
      <c r="F127" s="1585"/>
      <c r="G127" s="1585"/>
      <c r="H127" s="1585"/>
    </row>
    <row r="128" spans="2:8" ht="15" hidden="1" customHeight="1" outlineLevel="1" x14ac:dyDescent="0.25">
      <c r="B128" s="2120"/>
      <c r="C128" s="1639">
        <f>'R-Resumo Bal. Massa'!D69</f>
        <v>0</v>
      </c>
      <c r="D128" s="1631" t="s">
        <v>971</v>
      </c>
      <c r="E128" s="1627"/>
      <c r="F128" s="1627"/>
      <c r="G128" s="1627"/>
      <c r="H128" s="1627"/>
    </row>
    <row r="129" spans="2:8" ht="15" hidden="1" customHeight="1" outlineLevel="1" x14ac:dyDescent="0.25">
      <c r="B129" s="2121"/>
      <c r="C129" s="1564">
        <f>C128*312*$C$106/$C$104/1000</f>
        <v>0</v>
      </c>
      <c r="D129" s="1587" t="s">
        <v>969</v>
      </c>
      <c r="E129" s="1588"/>
      <c r="F129" s="1588"/>
      <c r="G129" s="1588"/>
      <c r="H129" s="1588"/>
    </row>
    <row r="130" spans="2:8" ht="15" hidden="1" customHeight="1" outlineLevel="1" x14ac:dyDescent="0.25">
      <c r="B130" s="2119" t="s">
        <v>1028</v>
      </c>
      <c r="C130" s="1832">
        <f>IF('R-Definição'!E112&gt;0,'R-Definição'!O111/'R-Definição'!E112,0)</f>
        <v>677.95413101682368</v>
      </c>
      <c r="D130" s="1551" t="s">
        <v>1027</v>
      </c>
      <c r="E130" s="749"/>
      <c r="F130" s="749"/>
      <c r="G130" s="749"/>
      <c r="H130" s="749"/>
    </row>
    <row r="131" spans="2:8" ht="15" hidden="1" customHeight="1" outlineLevel="1" x14ac:dyDescent="0.25">
      <c r="B131" s="2120"/>
      <c r="C131" s="1833">
        <f>C130*C106</f>
        <v>54245.333600554972</v>
      </c>
      <c r="D131" s="1631" t="s">
        <v>973</v>
      </c>
      <c r="E131" s="1627"/>
      <c r="F131" s="1627"/>
      <c r="G131" s="1627"/>
      <c r="H131" s="1627"/>
    </row>
    <row r="132" spans="2:8" ht="15" hidden="1" customHeight="1" outlineLevel="1" x14ac:dyDescent="0.25">
      <c r="B132" s="2121"/>
      <c r="C132" s="1618">
        <f>C130*C105/1000</f>
        <v>16924.544083373152</v>
      </c>
      <c r="D132" s="1587" t="s">
        <v>257</v>
      </c>
      <c r="E132" s="1588"/>
      <c r="F132" s="1588"/>
      <c r="G132" s="1588"/>
      <c r="H132" s="1588"/>
    </row>
    <row r="133" spans="2:8" ht="15" hidden="1" customHeight="1" outlineLevel="1" x14ac:dyDescent="0.25">
      <c r="B133" s="2119" t="s">
        <v>1029</v>
      </c>
      <c r="C133" s="1543">
        <f>IF(AND('R-Definição'!O62&gt;0,'R-Definição'!J65&gt;0),('R-Definição'!O69/('R-Definição'!O62*'R-Definição'!J65/100)),0)</f>
        <v>0</v>
      </c>
      <c r="D133" s="1551" t="s">
        <v>1027</v>
      </c>
      <c r="E133" s="749"/>
      <c r="F133" s="749"/>
      <c r="G133" s="749"/>
      <c r="H133" s="749"/>
    </row>
    <row r="134" spans="2:8" ht="15" hidden="1" customHeight="1" outlineLevel="1" x14ac:dyDescent="0.25">
      <c r="B134" s="2120"/>
      <c r="C134" s="1667">
        <f>C133*C106*C107</f>
        <v>0</v>
      </c>
      <c r="D134" s="1631" t="s">
        <v>973</v>
      </c>
      <c r="E134" s="1627"/>
      <c r="F134" s="1627"/>
      <c r="G134" s="1627"/>
      <c r="H134" s="1627"/>
    </row>
    <row r="135" spans="2:8" ht="15" hidden="1" customHeight="1" outlineLevel="1" x14ac:dyDescent="0.25">
      <c r="B135" s="2121"/>
      <c r="C135" s="1618">
        <f>C133*C105*C107/1000</f>
        <v>0</v>
      </c>
      <c r="D135" s="1587" t="s">
        <v>257</v>
      </c>
      <c r="E135" s="1588"/>
      <c r="F135" s="1588"/>
      <c r="G135" s="1588"/>
      <c r="H135" s="1588"/>
    </row>
    <row r="136" spans="2:8" ht="15" hidden="1" customHeight="1" outlineLevel="1" x14ac:dyDescent="0.25">
      <c r="B136" s="2119" t="s">
        <v>236</v>
      </c>
      <c r="C136" s="1543">
        <f>IF(AND('R-Definição'!O62&gt;0,'R-Definição'!J64&gt;0),('R-Definição'!O70/('R-Definição'!O62*'R-Definição'!J64/100)),0)</f>
        <v>0</v>
      </c>
      <c r="D136" s="1668" t="s">
        <v>1001</v>
      </c>
      <c r="E136" s="749"/>
      <c r="F136" s="749"/>
      <c r="G136" s="749"/>
      <c r="H136" s="749"/>
    </row>
    <row r="137" spans="2:8" ht="15" hidden="1" customHeight="1" outlineLevel="1" x14ac:dyDescent="0.25">
      <c r="B137" s="2120"/>
      <c r="C137" s="1667">
        <f>C136*C106*C107</f>
        <v>0</v>
      </c>
      <c r="D137" s="1631" t="s">
        <v>974</v>
      </c>
      <c r="E137" s="1627"/>
      <c r="F137" s="1627"/>
      <c r="G137" s="1627"/>
      <c r="H137" s="1627"/>
    </row>
    <row r="138" spans="2:8" ht="15" hidden="1" customHeight="1" outlineLevel="1" x14ac:dyDescent="0.25">
      <c r="B138" s="2120"/>
      <c r="C138" s="1618">
        <f>C136*C105*C107</f>
        <v>0</v>
      </c>
      <c r="D138" s="1635" t="s">
        <v>983</v>
      </c>
      <c r="E138" s="1627"/>
      <c r="F138" s="1627"/>
      <c r="G138" s="1627"/>
      <c r="H138" s="1627"/>
    </row>
    <row r="139" spans="2:8" ht="15" hidden="1" customHeight="1" outlineLevel="1" thickBot="1" x14ac:dyDescent="0.3">
      <c r="B139" s="1637" t="s">
        <v>982</v>
      </c>
      <c r="C139" s="1619">
        <f>(C138*90%)/1000</f>
        <v>0</v>
      </c>
      <c r="D139" s="1582" t="s">
        <v>986</v>
      </c>
      <c r="E139" s="1583"/>
      <c r="F139" s="1583"/>
      <c r="G139" s="1583"/>
      <c r="H139" s="158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137"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137"/>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135" t="str">
        <f>'R-Definição'!D2</f>
        <v>CIRSOP - Consórcio RSU Oeste Paulista</v>
      </c>
      <c r="R2" s="2136"/>
      <c r="S2" s="862"/>
      <c r="T2" s="864" t="s">
        <v>437</v>
      </c>
      <c r="U2" s="2135" t="str">
        <f>'R-Definição'!D3</f>
        <v>Biodigestão c/ Prod. E. Elétrica</v>
      </c>
      <c r="V2" s="2136"/>
      <c r="W2" s="319"/>
      <c r="X2" s="319"/>
      <c r="Y2" s="319"/>
      <c r="Z2" s="319"/>
      <c r="AA2" s="319"/>
      <c r="AB2" s="319"/>
    </row>
    <row r="3" spans="1:28" s="318" customFormat="1" ht="19.899999999999999" customHeight="1" x14ac:dyDescent="0.25">
      <c r="A3" s="427"/>
      <c r="B3" s="2137"/>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129" t="s">
        <v>640</v>
      </c>
      <c r="C9" s="901"/>
      <c r="D9" s="2132" t="s">
        <v>645</v>
      </c>
      <c r="E9" s="2133"/>
      <c r="F9" s="2133"/>
      <c r="G9" s="2133"/>
      <c r="H9" s="2133"/>
      <c r="I9" s="2133"/>
      <c r="J9" s="2133"/>
      <c r="K9" s="2133"/>
      <c r="L9" s="2133"/>
      <c r="M9" s="2133"/>
      <c r="N9" s="2133"/>
      <c r="O9" s="2133"/>
      <c r="P9" s="2133"/>
      <c r="Q9" s="2133"/>
      <c r="R9" s="2133"/>
      <c r="S9" s="2133"/>
      <c r="T9" s="2133"/>
      <c r="U9" s="2133"/>
      <c r="V9" s="2134"/>
      <c r="W9" s="857"/>
      <c r="X9" s="857"/>
      <c r="Y9" s="857"/>
      <c r="Z9" s="857"/>
      <c r="AA9" s="857"/>
      <c r="AB9" s="857"/>
    </row>
    <row r="10" spans="1:28" s="318" customFormat="1" ht="7.5" customHeight="1" x14ac:dyDescent="0.25">
      <c r="A10" s="427"/>
      <c r="B10" s="2130"/>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131"/>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F8" sqref="F8"/>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144"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144"/>
      <c r="C2" s="436"/>
      <c r="D2" s="899">
        <f>('R-Resumo Bal. Massa'!B20+'R-Resumo Bal. Massa'!B21)*(1+'R&amp;C-Painel de Controle'!H56)</f>
        <v>9.2249999999999979</v>
      </c>
      <c r="E2" s="900" t="s">
        <v>21</v>
      </c>
      <c r="H2" s="1105">
        <f>D2*313</f>
        <v>2887.4249999999993</v>
      </c>
      <c r="I2" s="1104" t="s">
        <v>249</v>
      </c>
      <c r="L2" s="1086" t="str">
        <f>IF(D2&gt;0,"Sim","Não")</f>
        <v>Sim</v>
      </c>
      <c r="M2" s="431"/>
      <c r="N2" s="431"/>
      <c r="O2" s="431"/>
      <c r="P2" s="1106" t="s">
        <v>436</v>
      </c>
      <c r="Q2" s="2135" t="str">
        <f>'R-Definição'!D2</f>
        <v>CIRSOP - Consórcio RSU Oeste Paulista</v>
      </c>
      <c r="R2" s="2136"/>
      <c r="S2" s="429"/>
      <c r="T2" s="1106" t="s">
        <v>437</v>
      </c>
      <c r="U2" s="2135" t="str">
        <f>'R-Definição'!D3</f>
        <v>Biodigestão c/ Prod. E. Elétrica</v>
      </c>
      <c r="V2" s="2136"/>
      <c r="W2" s="47"/>
      <c r="X2" s="47"/>
      <c r="Y2" s="47"/>
      <c r="Z2" s="47"/>
      <c r="AA2" s="47"/>
      <c r="AB2" s="47"/>
    </row>
    <row r="3" spans="1:28" ht="19.899999999999999" customHeight="1" x14ac:dyDescent="0.25">
      <c r="A3" s="406"/>
      <c r="B3" s="2144"/>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1836">
        <v>1</v>
      </c>
      <c r="E7" s="1054" t="str">
        <f>IF(AND(L2="Sim",$D$2&gt;D11,$D$2&lt;=F11),"SIM","NÃO")</f>
        <v>SIM</v>
      </c>
      <c r="F7" s="1836">
        <v>1</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138" t="s">
        <v>640</v>
      </c>
      <c r="C9" s="901"/>
      <c r="D9" s="2141" t="s">
        <v>644</v>
      </c>
      <c r="E9" s="2142"/>
      <c r="F9" s="2142"/>
      <c r="G9" s="2142"/>
      <c r="H9" s="2142"/>
      <c r="I9" s="2142"/>
      <c r="J9" s="2142"/>
      <c r="K9" s="2142"/>
      <c r="L9" s="2142"/>
      <c r="M9" s="2142"/>
      <c r="N9" s="2142"/>
      <c r="O9" s="2142"/>
      <c r="P9" s="2142"/>
      <c r="Q9" s="2142"/>
      <c r="R9" s="2142"/>
      <c r="S9" s="2142"/>
      <c r="T9" s="2142"/>
      <c r="U9" s="2142"/>
      <c r="V9" s="2143"/>
      <c r="W9" s="1069"/>
      <c r="X9" s="885"/>
      <c r="Y9" s="885"/>
      <c r="Z9" s="885"/>
      <c r="AA9" s="885"/>
      <c r="AB9" s="885"/>
    </row>
    <row r="10" spans="1:28" s="882" customFormat="1" ht="7.5" customHeight="1" x14ac:dyDescent="0.3">
      <c r="A10" s="991"/>
      <c r="B10" s="2139"/>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140"/>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IF('R-Definição'!$I$34="Alta",(14961570+179440+150030)/313000,(14961570+179440+150030)/313000*0.85)*D7</f>
        <v>41.525188498402549</v>
      </c>
      <c r="E15" s="84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19.844864048985993</v>
      </c>
      <c r="F15" s="917">
        <v>0.1</v>
      </c>
      <c r="G15" s="869"/>
      <c r="H15" s="1075">
        <f>IF('R-Definição'!$I$34="Alta",(14961570+179440+150030)/313000,(14961570+179440+150030)/313000*0.85)*D7</f>
        <v>41.525188498402549</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7">
        <v>0.1</v>
      </c>
      <c r="K15" s="869"/>
      <c r="L15" s="1075">
        <f>IF('R-Definição'!$I$34="Alta",(14961570+179440+150030)/313000,(14961570+179440+150030)/313000*0.85)*D7</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IF('R-Definição'!$I$34="Alta",(14961570+179440+150030)/313000,(14961570+179440+150030)/313000*0.85)*D7</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IF('R-Definição'!$I$34="Alta",(14961570+179440+150030)/313000,(14961570+179440+150030)/313000*0.85)*D7</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f>(IF(E$7="SIM",(((D17-F17)*'R&amp;C-Painel de Controle'!$D$57+F17*('R&amp;C-Painel de Controle'!$D$60)+(((75)+(15+E30/5*30)+(25+E30/10*25))*D16)))/1000000*D7,"-"))</f>
        <v>11.494862787525831</v>
      </c>
      <c r="F16" s="919">
        <v>0.05</v>
      </c>
      <c r="G16" s="869"/>
      <c r="H16" s="918">
        <v>2000</v>
      </c>
      <c r="I16" s="846" t="str">
        <f>(IF(I$7="SIM",(((H17-J17)*'R&amp;C-Painel de Controle'!$D$57+J17*('R&amp;C-Painel de Controle'!$D$60)+(((150)+(15+I30/5*30)+(25+I30/10*25))*H16)))/1000000*D7,"-"))</f>
        <v>-</v>
      </c>
      <c r="J16" s="919">
        <v>0.05</v>
      </c>
      <c r="K16" s="869"/>
      <c r="L16" s="918">
        <v>2000</v>
      </c>
      <c r="M16" s="846" t="str">
        <f>(IF(M$7="SIM",(((L17-N17)*'R&amp;C-Painel de Controle'!$D$57+N17*('R&amp;C-Painel de Controle'!$D$60)+(((150)+(15+M30/5*30)+(25+M30/10*25))*L16)))/1000000*D7,"-"))</f>
        <v>-</v>
      </c>
      <c r="N16" s="919">
        <v>0.05</v>
      </c>
      <c r="O16" s="869"/>
      <c r="P16" s="918">
        <v>2000</v>
      </c>
      <c r="Q16" s="846" t="str">
        <f>(IF(Q$7="SIM",(((P17-R17)*'R&amp;C-Painel de Controle'!$D$57+R17*('R&amp;C-Painel de Controle'!$D$60)+(((250)+(15+Q30/5*30)+(25+Q30/10*25))*P16)))/1000000*D7,"-"))</f>
        <v>-</v>
      </c>
      <c r="R16" s="919">
        <v>0.05</v>
      </c>
      <c r="S16" s="993"/>
      <c r="T16" s="918">
        <v>2000</v>
      </c>
      <c r="U16" s="846" t="str">
        <f>(IF(U$7="SIM",(((T17-V17)*'R&amp;C-Painel de Controle'!$D$57+V17*('R&amp;C-Painel de Controle'!$D$60)+(((250)+(15+U30/5*30)+(25+U30/10*25))*T16)))/1000000*D7,"-"))</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f>(IF(E$7="SIM",('R&amp;C-Painel de Controle'!$D$55+0.25)*D17/1000000,"-"))</f>
        <v>3.0336813937629154E-3</v>
      </c>
      <c r="F17" s="921">
        <f>IF('R-Definição'!$I$34="Alta",(50*15+50*100+50*10),(50*15+50*100+50*10)*0.75)</f>
        <v>4687.5</v>
      </c>
      <c r="G17" s="869"/>
      <c r="H17" s="920">
        <f>(2*(20*(20+(SQRT(J17))+20))+2*(20*(J17/(SQRT(J17))))+J17+((150)+(15+I30/5*30)+(25+I30/10*25)))</f>
        <v>14241.773353931867</v>
      </c>
      <c r="I17" s="846" t="str">
        <f>(IF(I$7="SIM",('R&amp;C-Painel de Controle'!$D$55+0.25)*H17/1000000,"-"))</f>
        <v>-</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f>IF(E7="SIM",(E15+E16)*F18*1000/$H$2,"-")</f>
        <v>0.81404002276713228</v>
      </c>
      <c r="E18" s="846">
        <f>(IF(E$7="SIM",$H$2*D18/1000,"-"))</f>
        <v>2.3504795127383864</v>
      </c>
      <c r="F18" s="917">
        <v>7.4999999999999997E-2</v>
      </c>
      <c r="G18" s="869"/>
      <c r="H18" s="1076" t="str">
        <f>IF(I7="SIM",(I15+I16)*J18*1000/$H$2,"-")</f>
        <v>-</v>
      </c>
      <c r="I18" s="846" t="str">
        <f>(IF(I$7="SIM",$H$2*H18/1000,"-"))</f>
        <v>-</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f>IF(E7="SIM",SUM(E15:E18)*(1+D19),"-")</f>
        <v>35.377902032176173</v>
      </c>
      <c r="F19" s="1051" t="s">
        <v>289</v>
      </c>
      <c r="G19" s="904"/>
      <c r="H19" s="1052">
        <v>0.05</v>
      </c>
      <c r="I19" s="922" t="str">
        <f>IF(I7="SIM",SUM(I15:I18)*(1+H19),"-")</f>
        <v>-</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f>IF(E7="SIM",E19*1000000/$H$2,"-")</f>
        <v>12252.405528169973</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f>IF(E7="SIM",(E15*F15+E16*F16)/4,"-")</f>
        <v>0.63980738606872278</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collapsed="1" x14ac:dyDescent="0.25">
      <c r="A27" s="989"/>
      <c r="B27" s="913" t="s">
        <v>381</v>
      </c>
      <c r="C27" s="869"/>
      <c r="D27" s="1017"/>
      <c r="E27" s="890">
        <f>(IF(E$7="SIM",(E31)*2.4*12/$H$2,"-"))</f>
        <v>1376.4513363983483</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hidden="1"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hidden="1"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hidden="1"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hidden="1"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f>(IF(E$7="SIM",(E33*$H$2/1000*'R&amp;C-Painel de Controle'!$D$68+E34/1000*'R&amp;C-Painel de Controle'!$D$69*12)/$H$2,"-"))</f>
        <v>0</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f>(IF(E$7="SIM",(E15*1000000*E36+E37*12)/$H$2,"-"))</f>
        <v>724.87385203230224</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f>(IF(E$7="SIM",D38*E39*E40*12/$H$2,"-"))</f>
        <v>207.79760513260089</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f>(IF(E$7="SIM",7.5+1.5*'R&amp;C-Painel de Controle'!$D$74,"-"))</f>
        <v>12</v>
      </c>
      <c r="F41" s="1021"/>
      <c r="G41" s="1000"/>
      <c r="H41" s="1080"/>
      <c r="I41" s="893" t="str">
        <f>(IF(I$7="SIM",7.5+1.5*'R&amp;C-Painel de Controle'!$D$74,"-"))</f>
        <v>-</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f>(IF(E$7="SIM",(E27+E32+E35+E38+E41)*(1+D42)*F7,"-"))</f>
        <v>2553.2350729195769</v>
      </c>
      <c r="F42" s="1024"/>
      <c r="G42" s="1002"/>
      <c r="H42" s="1074">
        <v>0.1</v>
      </c>
      <c r="I42" s="887" t="str">
        <f>(IF(I$7="SIM",(I27+I32+I35+I38+I41)*(1+H42)*F7,"-"))</f>
        <v>-</v>
      </c>
      <c r="J42" s="1024"/>
      <c r="K42" s="1002"/>
      <c r="L42" s="1074">
        <v>0.1</v>
      </c>
      <c r="M42" s="887" t="str">
        <f>(IF(M$7="SIM",(M27+M32+M35+M38+M41)*(1+L42)*F7,"-"))</f>
        <v>-</v>
      </c>
      <c r="N42" s="1024"/>
      <c r="O42" s="1002"/>
      <c r="P42" s="1074">
        <v>0.1</v>
      </c>
      <c r="Q42" s="887" t="str">
        <f>(IF(Q$7="SIM",(Q27+Q32+Q35+Q38+Q41)*(1+P42)*F7,"-"))</f>
        <v>-</v>
      </c>
      <c r="R42" s="1024"/>
      <c r="S42" s="1002"/>
      <c r="T42" s="1074">
        <v>0.1</v>
      </c>
      <c r="U42" s="888" t="str">
        <f>(IF(U$7="SIM",(U27+U32+U35+U38+U41)*(1+T42)*F7,"-"))</f>
        <v>-</v>
      </c>
      <c r="V42" s="1040"/>
      <c r="W42" s="1005"/>
      <c r="X42" s="881"/>
      <c r="Y42" s="881"/>
      <c r="Z42" s="881"/>
      <c r="AA42" s="881"/>
      <c r="AB42" s="889"/>
    </row>
    <row r="43" spans="1:28" s="882" customFormat="1" ht="19.899999999999999" customHeight="1" x14ac:dyDescent="0.3">
      <c r="A43" s="990"/>
      <c r="B43" s="1012" t="s">
        <v>387</v>
      </c>
      <c r="C43" s="904"/>
      <c r="D43" s="1025"/>
      <c r="E43" s="886">
        <f>(IF(E$7="SIM",E42*$H$2/1000000,"-"))</f>
        <v>7.3722747804248074</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f>(IF(E$7="SIM",(((E27*$H$2/12)+(E34/1000*'R&amp;C-Painel de Controle'!$D$69*12)+(E37*12)+(E39*E40*12))/1000000),"-"))</f>
        <v>2.7311999999999999</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f>(IF(E$7="SIM",((E43-E44)*1000000)/$H$2,"-"))</f>
        <v>1607.3403743559775</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4X8pBoEVIRK2DY+QIlk8MiADYvtKMuuoGhXTsjspfAwFLMNCzEP+4AjNthntxNQo83cd+cCwoah4x1CrhrBIVg==" saltValue="d73ozdjRgJv+rqoJupqr/A=="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144"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144"/>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135" t="str">
        <f>'R-Definição'!D2</f>
        <v>CIRSOP - Consórcio RSU Oeste Paulista</v>
      </c>
      <c r="R2" s="2136"/>
      <c r="S2" s="429"/>
      <c r="T2" s="1106" t="s">
        <v>437</v>
      </c>
      <c r="U2" s="2135" t="str">
        <f>'R-Definição'!D3</f>
        <v>Biodigestão c/ Prod. E. Elétrica</v>
      </c>
      <c r="V2" s="2136"/>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144"/>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138" t="s">
        <v>640</v>
      </c>
      <c r="C9" s="901"/>
      <c r="D9" s="2141" t="s">
        <v>646</v>
      </c>
      <c r="E9" s="2142"/>
      <c r="F9" s="2142"/>
      <c r="G9" s="2142"/>
      <c r="H9" s="2142"/>
      <c r="I9" s="2142"/>
      <c r="J9" s="2142"/>
      <c r="K9" s="2142"/>
      <c r="L9" s="2142"/>
      <c r="M9" s="2142"/>
      <c r="N9" s="2142"/>
      <c r="O9" s="2142"/>
      <c r="P9" s="2142"/>
      <c r="Q9" s="2142"/>
      <c r="R9" s="2142"/>
      <c r="S9" s="2142"/>
      <c r="T9" s="2142"/>
      <c r="U9" s="2142"/>
      <c r="V9" s="2143"/>
    </row>
    <row r="10" spans="1:61" ht="7.5" customHeight="1" x14ac:dyDescent="0.25">
      <c r="B10" s="2139"/>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140"/>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500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840.9375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tOSY5yTb0Q5QYZjCiMcQObvLkX239lrlhkKaeJNHV17Bp2h88wN51AXYtfu4DU9giyhHEJz/ZVi6puyHDneByA==" saltValue="BkfRnJy0Svb5ZPu8GgMJj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144"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144"/>
      <c r="C2" s="436"/>
      <c r="D2" s="899">
        <f>'R-Resumo Bal. Massa'!B31*(1+'R&amp;C-Painel de Controle'!H62)</f>
        <v>0</v>
      </c>
      <c r="E2" s="900" t="s">
        <v>21</v>
      </c>
      <c r="H2" s="1105">
        <f>D2*313</f>
        <v>0</v>
      </c>
      <c r="I2" s="1104" t="s">
        <v>249</v>
      </c>
      <c r="L2" s="1086" t="str">
        <f>IF(D2&gt;0,"Sim","Não")</f>
        <v>Não</v>
      </c>
      <c r="M2" s="431"/>
      <c r="N2" s="431"/>
      <c r="O2" s="431"/>
      <c r="P2" s="1106" t="s">
        <v>436</v>
      </c>
      <c r="Q2" s="2135" t="str">
        <f>'R-Definição'!D2</f>
        <v>CIRSOP - Consórcio RSU Oeste Paulista</v>
      </c>
      <c r="R2" s="2136"/>
      <c r="S2" s="429"/>
      <c r="T2" s="1106" t="s">
        <v>437</v>
      </c>
      <c r="U2" s="2135" t="str">
        <f>'R-Definição'!D3</f>
        <v>Biodigestão c/ Prod. E. Elétrica</v>
      </c>
      <c r="V2" s="2136"/>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144"/>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138" t="s">
        <v>640</v>
      </c>
      <c r="C9" s="901"/>
      <c r="D9" s="2141" t="s">
        <v>647</v>
      </c>
      <c r="E9" s="2142"/>
      <c r="F9" s="2142"/>
      <c r="G9" s="2142"/>
      <c r="H9" s="2142"/>
      <c r="I9" s="2142"/>
      <c r="J9" s="2142"/>
      <c r="K9" s="2142"/>
      <c r="L9" s="2142"/>
      <c r="M9" s="2142"/>
      <c r="N9" s="2142"/>
      <c r="O9" s="2142"/>
      <c r="P9" s="2142"/>
      <c r="Q9" s="2142"/>
      <c r="R9" s="2142"/>
      <c r="S9" s="2142"/>
      <c r="T9" s="2142"/>
      <c r="U9" s="2142"/>
      <c r="V9" s="2143"/>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139"/>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140"/>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cPWNAHiMSIxCxCvKyMhArbk7KKxy1y8GODUGg9J7BDYe/pSxNuvqyrnwOGo5UfCTBD1dkTfwQsWg5uXi9cpxLQ==" saltValue="3u8zdidF7Tg4m2GZ/rgsww=="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144"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144"/>
      <c r="C2" s="436"/>
      <c r="D2" s="899">
        <f>'R-Resumo Bal. Massa'!B35*(1+'R&amp;C-Painel de Controle'!H68)</f>
        <v>0</v>
      </c>
      <c r="E2" s="900" t="s">
        <v>391</v>
      </c>
      <c r="H2" s="1105">
        <f>D2*313</f>
        <v>0</v>
      </c>
      <c r="I2" s="1104" t="s">
        <v>392</v>
      </c>
      <c r="L2" s="1086" t="str">
        <f>IF(D2&gt;0,"Sim","Não")</f>
        <v>Não</v>
      </c>
      <c r="M2" s="431"/>
      <c r="N2" s="431"/>
      <c r="O2" s="431"/>
      <c r="P2" s="1106" t="s">
        <v>436</v>
      </c>
      <c r="Q2" s="2135" t="str">
        <f>'R-Definição'!D2</f>
        <v>CIRSOP - Consórcio RSU Oeste Paulista</v>
      </c>
      <c r="R2" s="2136"/>
      <c r="S2" s="429"/>
      <c r="T2" s="1106" t="s">
        <v>437</v>
      </c>
      <c r="U2" s="2135" t="str">
        <f>'R-Definição'!D3</f>
        <v>Biodigestão c/ Prod. E. Elétrica</v>
      </c>
      <c r="V2" s="2136"/>
      <c r="W2" s="307"/>
      <c r="X2" s="307"/>
      <c r="Y2" s="307"/>
      <c r="Z2" s="307"/>
      <c r="AA2" s="307"/>
      <c r="AB2" s="68"/>
    </row>
    <row r="3" spans="1:61" ht="19.899999999999999" customHeight="1" x14ac:dyDescent="0.25">
      <c r="A3" s="762"/>
      <c r="B3" s="2144"/>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138" t="s">
        <v>640</v>
      </c>
      <c r="C9" s="901"/>
      <c r="D9" s="2141" t="s">
        <v>648</v>
      </c>
      <c r="E9" s="2142"/>
      <c r="F9" s="2142"/>
      <c r="G9" s="2142"/>
      <c r="H9" s="2142"/>
      <c r="I9" s="2142"/>
      <c r="J9" s="2142"/>
      <c r="K9" s="2142"/>
      <c r="L9" s="2142"/>
      <c r="M9" s="2142"/>
      <c r="N9" s="2142"/>
      <c r="O9" s="2142"/>
      <c r="P9" s="2142"/>
      <c r="Q9" s="2142"/>
      <c r="R9" s="2142"/>
      <c r="S9" s="2142"/>
      <c r="T9" s="2142"/>
      <c r="U9" s="2142"/>
      <c r="V9" s="2143"/>
      <c r="W9" s="885"/>
      <c r="X9" s="885"/>
      <c r="Y9" s="885"/>
      <c r="Z9" s="885"/>
      <c r="AA9" s="885"/>
    </row>
    <row r="10" spans="1:61" ht="7.5" customHeight="1" x14ac:dyDescent="0.25">
      <c r="A10" s="762"/>
      <c r="B10" s="2139"/>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140"/>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61">
        <v>0.75</v>
      </c>
      <c r="F14" s="1660"/>
      <c r="G14" s="1658"/>
      <c r="H14" s="1659"/>
      <c r="I14" s="1661">
        <f>E14</f>
        <v>0.75</v>
      </c>
      <c r="J14" s="1660"/>
      <c r="K14" s="1658"/>
      <c r="L14" s="1659"/>
      <c r="M14" s="1661">
        <v>0.6</v>
      </c>
      <c r="N14" s="1660"/>
      <c r="O14" s="1658"/>
      <c r="P14" s="1659"/>
      <c r="Q14" s="1661">
        <f>M14</f>
        <v>0.6</v>
      </c>
      <c r="R14" s="1660"/>
      <c r="S14" s="1658"/>
      <c r="T14" s="1659"/>
      <c r="U14" s="1661">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144"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144"/>
      <c r="C2" s="436"/>
      <c r="D2" s="899">
        <f>'R-Resumo Bal. Massa'!B34*(1+'R&amp;C-Painel de Controle'!H65)</f>
        <v>0</v>
      </c>
      <c r="E2" s="900" t="s">
        <v>21</v>
      </c>
      <c r="H2" s="1105">
        <f>D2*313</f>
        <v>0</v>
      </c>
      <c r="I2" s="1104" t="s">
        <v>249</v>
      </c>
      <c r="L2" s="1086" t="str">
        <f>IF(D2&gt;0,"Sim","Não'")</f>
        <v>Não'</v>
      </c>
      <c r="M2" s="431"/>
      <c r="N2" s="431"/>
      <c r="O2" s="431"/>
      <c r="P2" s="1106" t="s">
        <v>436</v>
      </c>
      <c r="Q2" s="2135" t="str">
        <f>'R-Definição'!D2</f>
        <v>CIRSOP - Consórcio RSU Oeste Paulista</v>
      </c>
      <c r="R2" s="2136"/>
      <c r="S2" s="429"/>
      <c r="T2" s="1106" t="s">
        <v>437</v>
      </c>
      <c r="U2" s="2135" t="str">
        <f>'R-Definição'!D3</f>
        <v>Biodigestão c/ Prod. E. Elétrica</v>
      </c>
      <c r="V2" s="2136"/>
      <c r="W2" s="307"/>
      <c r="X2" s="307"/>
      <c r="Y2" s="307"/>
      <c r="Z2" s="307"/>
      <c r="AA2" s="307"/>
      <c r="AB2" s="307"/>
    </row>
    <row r="3" spans="1:28" ht="19.899999999999999" customHeight="1" x14ac:dyDescent="0.25">
      <c r="A3" s="406"/>
      <c r="B3" s="2144"/>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138" t="s">
        <v>640</v>
      </c>
      <c r="C9" s="901"/>
      <c r="D9" s="2141" t="s">
        <v>651</v>
      </c>
      <c r="E9" s="2142"/>
      <c r="F9" s="2142"/>
      <c r="G9" s="2142"/>
      <c r="H9" s="2142"/>
      <c r="I9" s="2142"/>
      <c r="J9" s="2142"/>
      <c r="K9" s="2142"/>
      <c r="L9" s="2142"/>
      <c r="M9" s="2142"/>
      <c r="N9" s="2142"/>
      <c r="O9" s="2142"/>
      <c r="P9" s="2142"/>
      <c r="Q9" s="2142"/>
      <c r="R9" s="2142"/>
      <c r="S9" s="2142"/>
      <c r="T9" s="2142"/>
      <c r="U9" s="2142"/>
      <c r="V9" s="2143"/>
      <c r="W9" s="1099"/>
      <c r="X9" s="1099"/>
      <c r="Y9" s="1099"/>
      <c r="Z9" s="1099"/>
      <c r="AA9" s="1112"/>
      <c r="AB9" s="885"/>
    </row>
    <row r="10" spans="1:28" ht="7.5" customHeight="1" x14ac:dyDescent="0.25">
      <c r="A10" s="406"/>
      <c r="B10" s="2139"/>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140"/>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6"/>
      <c r="B14" s="1657"/>
      <c r="C14" s="1658"/>
      <c r="D14" s="1659"/>
      <c r="E14" s="1661">
        <v>0.7</v>
      </c>
      <c r="F14" s="1660"/>
      <c r="G14" s="1658"/>
      <c r="H14" s="1659"/>
      <c r="I14" s="1661">
        <f>E14</f>
        <v>0.7</v>
      </c>
      <c r="J14" s="1660"/>
      <c r="K14" s="1658"/>
      <c r="L14" s="1659"/>
      <c r="M14" s="1661">
        <f>I14</f>
        <v>0.7</v>
      </c>
      <c r="N14" s="1660"/>
      <c r="O14" s="1658"/>
      <c r="P14" s="1659"/>
      <c r="Q14" s="1661">
        <f>M14</f>
        <v>0.7</v>
      </c>
      <c r="R14" s="1660"/>
      <c r="S14" s="1658"/>
      <c r="T14" s="1659"/>
      <c r="U14" s="1661">
        <f>Q14</f>
        <v>0.7</v>
      </c>
      <c r="V14" s="1660"/>
      <c r="W14" s="1662"/>
      <c r="X14" s="1662"/>
      <c r="Y14" s="1662"/>
      <c r="Z14" s="1662"/>
      <c r="AA14" s="1662"/>
      <c r="AB14" s="1663"/>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X07dfMSoVxF1bIRKPvWlRx15SoV2pMFL6uOJB4xwfFvBQHFcjVzaquTNhSMi8Zcr5LCwLZRzD9+sBtpVtrAASA==" saltValue="fklRTExlesCms+CxQFSKz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F8" sqref="F8"/>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144"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144"/>
      <c r="C2" s="436"/>
      <c r="D2" s="899">
        <f>'R-Resumo Bal. Massa'!B39*(1+'R&amp;C-Painel de Controle'!H71)</f>
        <v>73.064306249999987</v>
      </c>
      <c r="E2" s="900" t="s">
        <v>21</v>
      </c>
      <c r="F2"/>
      <c r="G2"/>
      <c r="H2" s="1105">
        <f>D2*313</f>
        <v>22869.127856249997</v>
      </c>
      <c r="I2" s="1104" t="s">
        <v>249</v>
      </c>
      <c r="J2"/>
      <c r="K2"/>
      <c r="L2" s="1086" t="str">
        <f>IF(D2&gt;0,"Sim","Não")</f>
        <v>Sim</v>
      </c>
      <c r="M2" s="431"/>
      <c r="N2" s="431"/>
      <c r="O2" s="431"/>
      <c r="P2" s="1106" t="s">
        <v>436</v>
      </c>
      <c r="Q2" s="2135" t="str">
        <f>'R-Definição'!D2</f>
        <v>CIRSOP - Consórcio RSU Oeste Paulista</v>
      </c>
      <c r="R2" s="2136"/>
      <c r="S2" s="429"/>
      <c r="T2" s="1106" t="s">
        <v>437</v>
      </c>
      <c r="U2" s="2135" t="str">
        <f>'R-Definição'!D3</f>
        <v>Biodigestão c/ Prod. E. Elétrica</v>
      </c>
      <c r="V2" s="2136"/>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144"/>
      <c r="C3" s="427"/>
      <c r="D3" s="1837">
        <v>1</v>
      </c>
      <c r="E3" s="502"/>
      <c r="F3" s="1837">
        <v>1</v>
      </c>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f>(2.6*('R-Definição'!O111/'R-Definição'!E112))/(0.97*'R-Definição'!E114)</f>
        <v>0.67546391752577328</v>
      </c>
      <c r="E7" s="1054" t="str">
        <f>IF(AND(L2="Sim",$D$2&gt;D11,$D$2&lt;=F11),"SIM","NÃO")</f>
        <v>SIM</v>
      </c>
      <c r="F7" s="1483">
        <v>0.75</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138" t="s">
        <v>640</v>
      </c>
      <c r="C9" s="901"/>
      <c r="D9" s="2141" t="s">
        <v>399</v>
      </c>
      <c r="E9" s="2142"/>
      <c r="F9" s="2142"/>
      <c r="G9" s="2142"/>
      <c r="H9" s="2142"/>
      <c r="I9" s="2142"/>
      <c r="J9" s="2142"/>
      <c r="K9" s="2142"/>
      <c r="L9" s="2142"/>
      <c r="M9" s="2142"/>
      <c r="N9" s="2142"/>
      <c r="O9" s="2142"/>
      <c r="P9" s="2142"/>
      <c r="Q9" s="2142"/>
      <c r="R9" s="2142"/>
      <c r="S9" s="2142"/>
      <c r="T9" s="2142"/>
      <c r="U9" s="2142"/>
      <c r="V9" s="2143"/>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139"/>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140"/>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572.251338598527))*F7*D3</f>
        <v>429.18850394889523</v>
      </c>
      <c r="E15" s="84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65.933584380837559</v>
      </c>
      <c r="F15" s="917">
        <v>0.15</v>
      </c>
      <c r="G15" s="869"/>
      <c r="H15" s="1075">
        <f>(IF('R&amp;C-Painel de Controle'!$C$58="Tecnologia Chinesa",525.884311407721*H$22, 525.884311407721))*F7*D3</f>
        <v>394.41323355579078</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476.115698784112))*F7*D3</f>
        <v>357.08677408808398</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442.933814489642))*F7*D3</f>
        <v>332.2003608672315</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426.037265400051))*F7*D3</f>
        <v>319.52794905003827</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137.95344769785919</v>
      </c>
      <c r="E16" s="84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16.813133110306811</v>
      </c>
      <c r="F16" s="919">
        <v>0.05</v>
      </c>
      <c r="G16" s="869"/>
      <c r="H16" s="918">
        <f>(IF('R&amp;C-Painel de Controle'!$C$58="Tecnologia Chinesa",194.505156274089*H$22*(1-I24), 194.505156274089*(1-I24)))*F7</f>
        <v>109.40915040417505</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919">
        <v>0.05</v>
      </c>
      <c r="K16" s="869"/>
      <c r="L16" s="918">
        <f>(IF('R&amp;C-Painel de Controle'!$C$58="Tecnologia Chinesa",150.352325931825*L$22*(1-M24), 150.352325931825*(1-M24)))*F7</f>
        <v>84.573183336651553</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919">
        <v>0.05</v>
      </c>
      <c r="O16" s="869"/>
      <c r="P16" s="918">
        <f>(IF('R&amp;C-Painel de Controle'!$C$58="Tecnologia Chinesa",128.593688077638*P$22*(1-Q24), 128.593688077638*(1-Q24)))*F7</f>
        <v>72.333949543671366</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919">
        <v>0.05</v>
      </c>
      <c r="S16" s="993"/>
      <c r="T16" s="918">
        <f>(IF('R&amp;C-Painel de Controle'!$C$58="Tecnologia Chinesa",106.509316350013*T$22*(1-U24), 106.509316350013*(1-U24)))*F7</f>
        <v>59.911490446882304</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f>(IF(E$7="SIM",('R&amp;C-Painel de Controle'!$D$55+0.25)*D17/1000000,"-"))</f>
        <v>2.4E-2</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f>IF(E7="SIM",(E15+E16)*F18*1000/$H$2,"-")</f>
        <v>9.0456791806044087E-2</v>
      </c>
      <c r="E18" s="846">
        <f>(IF(E$7="SIM",$H$2*D18/1000,""))</f>
        <v>2.0686679372786094</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f>IF(E7="SIM",SUM(E15:E18)*(1+D19),"-")</f>
        <v>89.081354699844127</v>
      </c>
      <c r="F19" s="1103">
        <f>IF(E7="SIM",(E16)/E19,"-")</f>
        <v>0.18873908201057288</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f>IF(E7="SIM",E19*1000000/$H$2,"-")</f>
        <v>3895.2668094642145</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f>IF(E7="SIM",$D$2*313/(8000*E23),"-")</f>
        <v>0.14293204910156249</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f>IF(E7="SIM",'R&amp;C-Painel de Controle'!$D$58*(E15*F15+E16*F16)/4+(1-'R&amp;C-Painel de Controle'!$D$58)*(E15*F15*1.25+E16*F16)/4,"-")</f>
        <v>2.8990181519098668</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f>(IF(E$7="SIM",(E33)*2.4*12/$H$2,"-"))</f>
        <v>227.97007935590599</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20">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f>IF(E$7="SIM",'R&amp;C-Painel de Controle'!$D$63+(E31*3/10+E32)*'R&amp;C-Painel de Controle'!$D$64+E31*E22*3*'R&amp;C-Painel de Controle'!$D$65,"-")</f>
        <v>181023.50320103028</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f>(IF(E$7="SIM",(E35*$H$2/1000*'R&amp;C-Painel de Controle'!$D$68+E36/1000*'R&amp;C-Painel de Controle'!$D$69*12)/$H$2,"-"))</f>
        <v>0</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3.2500000000000001E-2</v>
      </c>
      <c r="E35" s="304">
        <f>(1-'R&amp;C-Painel de Controle'!$D$58)*F35*'R-Definição'!$E$114+('R&amp;C-Painel de Controle'!$D$58)*D35*'R-Definição'!$E$114</f>
        <v>95.085084595737555</v>
      </c>
      <c r="F35" s="697">
        <f>D35*(1+F34)</f>
        <v>4.0625000000000001E-2</v>
      </c>
      <c r="G35" s="758"/>
      <c r="H35" s="1482">
        <f>D35*95%</f>
        <v>3.0875E-2</v>
      </c>
      <c r="I35" s="304">
        <f>(1-'R&amp;C-Painel de Controle'!$D$58)*J35*'R-Definição'!$E$114+('R&amp;C-Painel de Controle'!$D$58)*H35*'R-Definição'!$E$114</f>
        <v>90.330830365950675</v>
      </c>
      <c r="J35" s="697">
        <f>H35*(1+J34)</f>
        <v>3.8593749999999996E-2</v>
      </c>
      <c r="K35" s="758"/>
      <c r="L35" s="1482">
        <f>H35*95%</f>
        <v>2.933125E-2</v>
      </c>
      <c r="M35" s="304">
        <f>(1-'R&amp;C-Painel de Controle'!$D$58)*N35*'R-Definição'!$E$114+('R&amp;C-Painel de Controle'!$D$58)*L35*'R-Definição'!$E$114</f>
        <v>85.814288847653145</v>
      </c>
      <c r="N35" s="697">
        <f>L35*(1+N34)</f>
        <v>3.6664062499999997E-2</v>
      </c>
      <c r="O35" s="758"/>
      <c r="P35" s="1482">
        <f>L35*95%</f>
        <v>2.7864687499999999E-2</v>
      </c>
      <c r="Q35" s="304">
        <f>(1-'R&amp;C-Painel de Controle'!$D$58)*R35*'R-Definição'!$E$114+('R&amp;C-Painel de Controle'!$D$58)*P35*'R-Definição'!$E$114</f>
        <v>81.523574405270494</v>
      </c>
      <c r="R35" s="697">
        <f>P35*(1+R34)</f>
        <v>3.4830859374999995E-2</v>
      </c>
      <c r="S35" s="758"/>
      <c r="T35" s="1482">
        <f>P35*95%</f>
        <v>2.6471453124999999E-2</v>
      </c>
      <c r="U35" s="304">
        <f>(1-'R&amp;C-Painel de Controle'!$D$58)*V35*'R-Definição'!$E$114+('R&amp;C-Painel de Controle'!$D$58)*T35*'R-Definição'!$E$114</f>
        <v>77.447395685006967</v>
      </c>
      <c r="V35" s="697">
        <f>T35*(1+V34)</f>
        <v>3.3089316406249999E-2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3280.435418552946</v>
      </c>
      <c r="F36" s="455"/>
      <c r="G36" s="757"/>
      <c r="H36" s="455"/>
      <c r="I36" s="304">
        <f>I35*J11*(0.9)*0.92/24</f>
        <v>6232.8272952505977</v>
      </c>
      <c r="J36" s="455"/>
      <c r="K36" s="757"/>
      <c r="L36" s="455"/>
      <c r="M36" s="304">
        <f>M35*N11*(0.9)*0.92/24</f>
        <v>8881.7788957321009</v>
      </c>
      <c r="N36" s="455"/>
      <c r="O36" s="757"/>
      <c r="P36" s="455"/>
      <c r="Q36" s="304">
        <f>Q35*R11*(0.9)*0.92/24</f>
        <v>11250.25326792733</v>
      </c>
      <c r="R36" s="455"/>
      <c r="S36" s="757"/>
      <c r="T36" s="455"/>
      <c r="U36" s="304">
        <f>U35*V11*(0.9)*0.92/24</f>
        <v>13359.675755663702</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f>(IF(E$7="SIM",(E15*1000000*E38+E39*12)/$H$2,"-"))</f>
        <v>146.40865229896801</v>
      </c>
      <c r="F37" s="1153">
        <v>0.25</v>
      </c>
      <c r="G37" s="1139"/>
      <c r="H37" s="1172"/>
      <c r="I37" s="303" t="str">
        <f>(IF(I$7="SIM",(I15*1000000*I38+I39*12)/$H$2,"-"))</f>
        <v>-</v>
      </c>
      <c r="J37" s="1153">
        <v>0.3</v>
      </c>
      <c r="K37" s="1139"/>
      <c r="L37" s="1172"/>
      <c r="M37" s="303" t="str">
        <f>(IF(M$7="SIM",(M15*1000000*M38+M39*12)/$H$2,"-"))</f>
        <v>-</v>
      </c>
      <c r="N37" s="1153">
        <v>0.3</v>
      </c>
      <c r="O37" s="1139"/>
      <c r="P37" s="1172"/>
      <c r="Q37" s="303" t="str">
        <f>(IF(Q$7="SIM",(Q15*1000000*Q38+Q39*12)/$H$2,"-"))</f>
        <v>-</v>
      </c>
      <c r="R37" s="1153">
        <v>0.3</v>
      </c>
      <c r="S37" s="1139"/>
      <c r="T37" s="1172"/>
      <c r="U37" s="303" t="str">
        <f>(IF(U$7="SIM",(U15*1000000*U38+U39*12)/$H$2,"-"))</f>
        <v>-</v>
      </c>
      <c r="V37" s="1153">
        <v>0.3</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2.5000000000000001E-2</v>
      </c>
      <c r="E38" s="347">
        <f>(1-'R&amp;C-Painel de Controle'!$D$58)*F38+('R&amp;C-Painel de Controle'!$D$58)*D38</f>
        <v>3.5937499999999997E-2</v>
      </c>
      <c r="F38" s="1155">
        <f>D38*(2+F37)</f>
        <v>5.6250000000000001E-2</v>
      </c>
      <c r="G38" s="1140"/>
      <c r="H38" s="1154">
        <v>2.5000000000000001E-2</v>
      </c>
      <c r="I38" s="347">
        <f>(1-'R&amp;C-Painel de Controle'!$D$58)*J38+('R&amp;C-Painel de Controle'!$D$58)*H38</f>
        <v>3.6374999999999998E-2</v>
      </c>
      <c r="J38" s="1155">
        <f>H38*(2+J37)</f>
        <v>5.7499999999999996E-2</v>
      </c>
      <c r="K38" s="1140"/>
      <c r="L38" s="1154">
        <v>2.5000000000000001E-2</v>
      </c>
      <c r="M38" s="347">
        <f>(1-'R&amp;C-Painel de Controle'!$D$58)*N38+('R&amp;C-Painel de Controle'!$D$58)*L38</f>
        <v>3.6374999999999998E-2</v>
      </c>
      <c r="N38" s="1155">
        <f>L38*(2+N37)</f>
        <v>5.7499999999999996E-2</v>
      </c>
      <c r="O38" s="1140"/>
      <c r="P38" s="1154">
        <v>2.5000000000000001E-2</v>
      </c>
      <c r="Q38" s="347">
        <f>(1-'R&amp;C-Painel de Controle'!$D$58)*R38+('R&amp;C-Painel de Controle'!$D$58)*P38</f>
        <v>3.6374999999999998E-2</v>
      </c>
      <c r="R38" s="1155">
        <f>P38*(2+R37)</f>
        <v>5.7499999999999996E-2</v>
      </c>
      <c r="S38" s="1140"/>
      <c r="T38" s="1154">
        <v>2.5000000000000001E-2</v>
      </c>
      <c r="U38" s="347">
        <f>(1-'R&amp;C-Painel de Controle'!$D$58)*V38+('R&amp;C-Painel de Controle'!$D$58)*T38</f>
        <v>3.6374999999999998E-2</v>
      </c>
      <c r="V38" s="1155">
        <f>T38*(2+V37)</f>
        <v>5.7499999999999996E-2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81562.5</v>
      </c>
      <c r="F39" s="1157">
        <f>D39*(1+F37)</f>
        <v>93750</v>
      </c>
      <c r="G39" s="766"/>
      <c r="H39" s="1156">
        <v>100000</v>
      </c>
      <c r="I39" s="304">
        <f>(1-'R&amp;C-Painel de Controle'!$D$58)*J39+('R&amp;C-Painel de Controle'!$D$58)*H39</f>
        <v>110500</v>
      </c>
      <c r="J39" s="1157">
        <f>H39*(1+J37)</f>
        <v>130000</v>
      </c>
      <c r="K39" s="766"/>
      <c r="L39" s="1156">
        <v>100000</v>
      </c>
      <c r="M39" s="304">
        <f>(1-'R&amp;C-Painel de Controle'!$D$58)*N39+('R&amp;C-Painel de Controle'!$D$58)*L39</f>
        <v>110500</v>
      </c>
      <c r="N39" s="1157">
        <f>L39*(1+N37)</f>
        <v>130000</v>
      </c>
      <c r="O39" s="766"/>
      <c r="P39" s="1156">
        <v>125000</v>
      </c>
      <c r="Q39" s="304">
        <f>(1-'R&amp;C-Painel de Controle'!$D$58)*R39+('R&amp;C-Painel de Controle'!$D$58)*P39</f>
        <v>138125</v>
      </c>
      <c r="R39" s="1157">
        <f>P39*(1+R37)</f>
        <v>162500</v>
      </c>
      <c r="S39" s="766"/>
      <c r="T39" s="1156">
        <v>125000</v>
      </c>
      <c r="U39" s="304">
        <f>(1-'R&amp;C-Painel de Controle'!$D$58)*V39+('R&amp;C-Painel de Controle'!$D$58)*T39</f>
        <v>138125</v>
      </c>
      <c r="V39" s="1157">
        <f>T39*(1+V37)</f>
        <v>162500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f>(IF(E$7="SIM",(E43+E41*E42*D41)*12/$H$2,"-"))</f>
        <v>272.85692918519607</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f>(IF(E$7="SIM",($H$2*E45*'R&amp;C-Painel de Controle'!$D75+$H$2*E46*'R&amp;C-Painel de Controle'!$D$76+$H$2*E47*'R&amp;C-Painel de Controle'!$D$77+$H$2*E48*'R&amp;C-Painel de Controle'!$D$79+$H$2*E49*'R&amp;C-Painel de Controle'!$D$78+'R-Resumo Bal. Massa'!$G$39*313*E50*'R&amp;C-Painel de Controle'!$D$90)/$H$2+2.5,"-"))</f>
        <v>39.643674624999996</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21">
        <v>16.524999999999999</v>
      </c>
      <c r="E46" s="349">
        <f>(1-'R&amp;C-Painel de Controle'!$D$58)*F46+('R&amp;C-Painel de Controle'!$D$58)*D46</f>
        <v>17.970937499999998</v>
      </c>
      <c r="F46" s="1158">
        <f>D46*(1+F$44)</f>
        <v>20.65625</v>
      </c>
      <c r="G46" s="1140"/>
      <c r="H46" s="1821">
        <f t="shared" si="0"/>
        <v>16.524999999999999</v>
      </c>
      <c r="I46" s="349">
        <f>(1-'R&amp;C-Painel de Controle'!$D$58)*J46+('R&amp;C-Painel de Controle'!$D$58)*H46</f>
        <v>17.970937499999998</v>
      </c>
      <c r="J46" s="1158">
        <f>H46*(1+J$44)</f>
        <v>20.65625</v>
      </c>
      <c r="K46" s="1140"/>
      <c r="L46" s="1821">
        <f t="shared" si="1"/>
        <v>16.524999999999999</v>
      </c>
      <c r="M46" s="349">
        <f>(1-'R&amp;C-Painel de Controle'!$D$58)*N46+('R&amp;C-Painel de Controle'!$D$58)*L46</f>
        <v>17.970937499999998</v>
      </c>
      <c r="N46" s="1158">
        <f>L46*(1+N$44)</f>
        <v>20.65625</v>
      </c>
      <c r="O46" s="1140"/>
      <c r="P46" s="1821">
        <f t="shared" si="2"/>
        <v>16.524999999999999</v>
      </c>
      <c r="Q46" s="349">
        <f>(1-'R&amp;C-Painel de Controle'!$D$58)*R46+('R&amp;C-Painel de Controle'!$D$58)*P46</f>
        <v>17.970937499999998</v>
      </c>
      <c r="R46" s="1158">
        <f>P46*(1+R$44)</f>
        <v>20.65625</v>
      </c>
      <c r="S46" s="1140"/>
      <c r="T46" s="1821">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4">
        <v>0.214</v>
      </c>
      <c r="E47" s="1472">
        <f>(1-'R&amp;C-Painel de Controle'!$D$58)*F47+('R&amp;C-Painel de Controle'!$D$58)*D47</f>
        <v>0.23272500000000002</v>
      </c>
      <c r="F47" s="1825">
        <f>D47*(1+F$44)</f>
        <v>0.26750000000000002</v>
      </c>
      <c r="G47" s="1140"/>
      <c r="H47" s="1821">
        <f t="shared" si="0"/>
        <v>0.214</v>
      </c>
      <c r="I47" s="1472">
        <f>(1-'R&amp;C-Painel de Controle'!$D$58)*J47+('R&amp;C-Painel de Controle'!$D$58)*H47</f>
        <v>0.23272500000000002</v>
      </c>
      <c r="J47" s="1158">
        <f>H47*(1+J$44)</f>
        <v>0.26750000000000002</v>
      </c>
      <c r="K47" s="1140"/>
      <c r="L47" s="1821">
        <f t="shared" si="1"/>
        <v>0.214</v>
      </c>
      <c r="M47" s="1472">
        <f>(1-'R&amp;C-Painel de Controle'!$D$58)*N47+('R&amp;C-Painel de Controle'!$D$58)*L47</f>
        <v>0.23272500000000002</v>
      </c>
      <c r="N47" s="1158">
        <f>L47*(1+N$44)</f>
        <v>0.26750000000000002</v>
      </c>
      <c r="O47" s="1140"/>
      <c r="P47" s="1821">
        <f t="shared" si="2"/>
        <v>0.214</v>
      </c>
      <c r="Q47" s="1472">
        <f>(1-'R&amp;C-Painel de Controle'!$D$58)*R47+('R&amp;C-Painel de Controle'!$D$58)*P47</f>
        <v>0.23272500000000002</v>
      </c>
      <c r="R47" s="1158">
        <f>P47*(1+R$44)</f>
        <v>0.26750000000000002</v>
      </c>
      <c r="S47" s="1140"/>
      <c r="T47" s="1821">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1021</v>
      </c>
      <c r="C49" s="652"/>
      <c r="D49" s="1821">
        <v>0.61199999999999999</v>
      </c>
      <c r="E49" s="349">
        <f>(1-'R&amp;C-Painel de Controle'!$D$58)*F49+('R&amp;C-Painel de Controle'!$D$58)*D49</f>
        <v>0.68161499999999997</v>
      </c>
      <c r="F49" s="1158">
        <f>D49*(1+F$44+0.075)</f>
        <v>0.81089999999999995</v>
      </c>
      <c r="G49" s="1140"/>
      <c r="H49" s="1821">
        <f t="shared" si="0"/>
        <v>0.61199999999999999</v>
      </c>
      <c r="I49" s="349">
        <f>(1-'R&amp;C-Painel de Controle'!$D$58)*J49+('R&amp;C-Painel de Controle'!$D$58)*H49</f>
        <v>0.68161499999999997</v>
      </c>
      <c r="J49" s="1158">
        <f>H49*(1+J$44+0.075)</f>
        <v>0.81089999999999995</v>
      </c>
      <c r="K49" s="1140"/>
      <c r="L49" s="1821">
        <f t="shared" si="1"/>
        <v>0.61199999999999999</v>
      </c>
      <c r="M49" s="349">
        <f>(1-'R&amp;C-Painel de Controle'!$D$58)*N49+('R&amp;C-Painel de Controle'!$D$58)*L49</f>
        <v>0.68161499999999997</v>
      </c>
      <c r="N49" s="1158">
        <f>L49*(1+N$44+0.075)</f>
        <v>0.81089999999999995</v>
      </c>
      <c r="O49" s="1140"/>
      <c r="P49" s="1821">
        <f t="shared" si="2"/>
        <v>0.61199999999999999</v>
      </c>
      <c r="Q49" s="349">
        <f>(1-'R&amp;C-Painel de Controle'!$D$58)*R49+('R&amp;C-Painel de Controle'!$D$58)*P49</f>
        <v>0.68161499999999997</v>
      </c>
      <c r="R49" s="1158">
        <f>P49*(1+R$44+0.075)</f>
        <v>0.81089999999999995</v>
      </c>
      <c r="S49" s="1140"/>
      <c r="T49" s="1821">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f>(IF(E$7="SIM",(1-'R&amp;C-Painel de Controle'!$D$58)*(E29+E34+E37+E40+E44)*(1+F51)+('R&amp;C-Painel de Controle'!$D$58)*(E29+E34+E37+E40+E44)*(1+D51),"-"))</f>
        <v>710.0615130370162</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f>(IF(E$7="SIM",E51*$H$2/1000000,"-"))</f>
        <v>16.238487527445848</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f>(IF(E$7="SIM",(((E29*$H$2/12)+(E36/1000*'R&amp;C-Painel de Controle'!$D$69*12)+(E39*12)+((E41*E42)+E43)*12))/1000000,"-"))</f>
        <v>10.653206407682474</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f>(IF(E$7="SIM",((E52-E53)*1000000)/$H$2,"-"))</f>
        <v>244.22798957927685</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VQeHCxAmeoF4AV4g5Dwx8mvkCDiyaEnwxZSoPpu3sf+9N5oTTl55/3AfFpBefBOP9508dx65O0jrIv802lEBbQ==" saltValue="C7fvHftm+YgpMk5aTlFCH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144"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144"/>
      <c r="C2" s="436"/>
      <c r="D2" s="899">
        <f>IF('R-Definição'!E121="Novo",('R-Resumo Bal. Massa'!B47+'R&amp;C-Painel de Controle'!D31)*(1+'R&amp;C-Painel de Controle'!H74),0)</f>
        <v>74.612861249999995</v>
      </c>
      <c r="E2" s="900" t="s">
        <v>21</v>
      </c>
      <c r="H2" s="1105">
        <f>D2*313</f>
        <v>23353.825571249999</v>
      </c>
      <c r="I2" s="1104" t="s">
        <v>249</v>
      </c>
      <c r="L2" s="1086" t="str">
        <f>IF(D2&gt;0,"Sim","Não")</f>
        <v>Sim</v>
      </c>
      <c r="M2" s="431"/>
      <c r="N2" s="431"/>
      <c r="O2" s="431"/>
      <c r="P2" s="1106" t="s">
        <v>436</v>
      </c>
      <c r="Q2" s="2135" t="str">
        <f>'R-Definição'!D2</f>
        <v>CIRSOP - Consórcio RSU Oeste Paulista</v>
      </c>
      <c r="R2" s="2136"/>
      <c r="S2" s="429"/>
      <c r="T2" s="1106" t="s">
        <v>437</v>
      </c>
      <c r="U2" s="2135" t="str">
        <f>'R-Definição'!D3</f>
        <v>Biodigestão c/ Prod. E. Elétrica</v>
      </c>
      <c r="V2" s="2136"/>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144"/>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138" t="s">
        <v>640</v>
      </c>
      <c r="C9" s="901"/>
      <c r="D9" s="2141" t="s">
        <v>402</v>
      </c>
      <c r="E9" s="2142"/>
      <c r="F9" s="2142"/>
      <c r="G9" s="2142"/>
      <c r="H9" s="2142"/>
      <c r="I9" s="2142"/>
      <c r="J9" s="2142"/>
      <c r="K9" s="2142"/>
      <c r="L9" s="2142"/>
      <c r="M9" s="2142"/>
      <c r="N9" s="2142"/>
      <c r="O9" s="2142"/>
      <c r="P9" s="2142"/>
      <c r="Q9" s="2142"/>
      <c r="R9" s="2142"/>
      <c r="S9" s="2142"/>
      <c r="T9" s="2142"/>
      <c r="U9" s="2142"/>
      <c r="V9" s="2143"/>
    </row>
    <row r="10" spans="1:61" ht="7.5" customHeight="1" x14ac:dyDescent="0.25">
      <c r="A10" s="405"/>
      <c r="B10" s="2139"/>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140"/>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f>(IF(I$7="SIM",H15*(1-(($D$2-H$11)/(J$11-H$11)))+J15*(1-((J$11-$D$2)/(J$11-H$11))),"-"))</f>
        <v>1.0713487524968834</v>
      </c>
      <c r="J15" s="1235">
        <f>1.096437*(1+'R&amp;C-Painel de Controle'!$D$61)</f>
        <v>1.0964370000000001</v>
      </c>
      <c r="K15" s="652"/>
      <c r="L15" s="1234">
        <f>J15</f>
        <v>1.0964370000000001</v>
      </c>
      <c r="M15" s="345" t="str">
        <f>(IF(M$7="SIM",L15*(1-(($D$2-L$11)/(N$11-L$11)))+N15*(1-((N$11-$D$2)/(N$11-L$11))),"-"))</f>
        <v>-</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f>(IF(I$7="SIM",H16*(1-(($D$2-H$11)/(J$11-H$11)))+J16*(1-((J$11-$D$2)/(J$11-H$11))),"-"))</f>
        <v>7.2358619586452324</v>
      </c>
      <c r="J16" s="1235">
        <f>8.610432*(1+'R&amp;C-Painel de Controle'!$D$61)</f>
        <v>8.6104319999999994</v>
      </c>
      <c r="K16" s="652"/>
      <c r="L16" s="1234">
        <f>J16</f>
        <v>8.6104319999999994</v>
      </c>
      <c r="M16" s="345" t="str">
        <f>(IF(M$7="SIM",L16*(1-(($D$2-L$11)/(N$11-L$11)))+N16*(1-((N$11-$D$2)/(N$11-L$11))),"-"))</f>
        <v>-</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f>(IF(I$7="SIM",(H17*(1-(($D$2-H$11)/(J$11-H$11)))+J17*(1-((J$11-$D$2)/(J$11-H$11))))*10000*('R&amp;C-Painel de Controle'!$D$56+0.18)/1000000,"-"))</f>
        <v>1.8021970369683888</v>
      </c>
      <c r="J17" s="1237">
        <f>L17</f>
        <v>9.0093999999999994</v>
      </c>
      <c r="K17" s="652"/>
      <c r="L17" s="1236">
        <f>90094/10000</f>
        <v>9.0093999999999994</v>
      </c>
      <c r="M17" s="345" t="str">
        <f>(IF(M$7="SIM",(L17*(1-(($D$2-L$11)/(N$11-L$11)))+N17*(1-((N$11-$D$2)/(N$11-L$11))))*10000*('R&amp;C-Painel de Controle'!$D$56+0.18)/1000000,"-"))</f>
        <v>-</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f>IF(I7="SIM",SUM(I15:I17),"-")</f>
        <v>10.109407748110504</v>
      </c>
      <c r="J18" s="1254"/>
      <c r="K18" s="1249"/>
      <c r="L18" s="1253"/>
      <c r="M18" s="1251" t="str">
        <f>IF(M7="SIM",SUM(M15:M17),"-")</f>
        <v>-</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f>IF(I7="SIM",I18*1000000/$H$2,"-")</f>
        <v>432.88015992359766</v>
      </c>
      <c r="J19" s="1233"/>
      <c r="K19" s="652"/>
      <c r="L19" s="1232"/>
      <c r="M19" s="304" t="str">
        <f>IF(M7="SIM",M18*1000000/$H$2,"-")</f>
        <v>-</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f>(IF(I$7="SIM",H21*(1-(($D$2-H11)/(J11-H11)))+J21*(1-((J11-$D$2)/(J11-H11))),"-"))</f>
        <v>3.9982814630842496</v>
      </c>
      <c r="J21" s="1235">
        <f>(0.612445+18.127224)*(1+'R&amp;C-Painel de Controle'!$D$61)/4</f>
        <v>4.6849172499999998</v>
      </c>
      <c r="K21" s="652"/>
      <c r="L21" s="1234">
        <f>J21</f>
        <v>4.6849172499999998</v>
      </c>
      <c r="M21" s="345" t="str">
        <f>(IF(M$7="SIM",L21*(1-(($D$2-L11)/(N11-L11)))+N21*(1-((N11-$D$2)/(N11-L11))),"-"))</f>
        <v>-</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f>(IF(I$7="SIM",H22*(1-(($D$2-H11)/(J11-H11)))+J22*(1-((J11-$D$2)/(J11-H11))),"-"))</f>
        <v>9.9114448214030269</v>
      </c>
      <c r="J22" s="1243">
        <f>47.561357*(1+'R&amp;C-Painel de Controle'!$D$61)/4*('R&amp;C-Painel de Controle'!$D$73/60)</f>
        <v>10.503133004166667</v>
      </c>
      <c r="K22" s="766"/>
      <c r="L22" s="1241">
        <f>J22</f>
        <v>10.503133004166667</v>
      </c>
      <c r="M22" s="1242" t="str">
        <f>(IF(M$7="SIM",L22*(1-(($D$2-L11)/(N11-L11)))+N22*(1-((N11-$D$2)/(N11-L11))),"-"))</f>
        <v>-</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f>(IF(I$7="SIM",I27+I28,"-"))</f>
        <v>0.74858342454167826</v>
      </c>
      <c r="J26" s="1196"/>
      <c r="K26" s="1181"/>
      <c r="L26" s="1195"/>
      <c r="M26" s="377" t="str">
        <f>(IF(M$7="SIM",M27+M28,"-"))</f>
        <v>-</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f>(IF(I$7="SIM",(H27*(1-(($D$2-H$11)/(J$11-H$11)))+J27*(1-((J$11-$D$2)/(J$11-H$11))))/1000000,"-"))</f>
        <v>0.37436038201377753</v>
      </c>
      <c r="J27" s="1198">
        <f>408968.881111111*(1+'R&amp;C-Painel de Controle'!$D$61)</f>
        <v>408968.88111111103</v>
      </c>
      <c r="K27" s="1183"/>
      <c r="L27" s="1197">
        <f t="shared" ref="L27:L43" si="1">J27</f>
        <v>408968.88111111103</v>
      </c>
      <c r="M27" s="377" t="str">
        <f>(IF(M$7="SIM",(L27*(1-(($D$2-L$11)/(N$11-L$11)))+N27*(1-((N$11-$D$2)/(N$11-L$11))))/1000000,"-"))</f>
        <v>-</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f>(IF(I$7="SIM",(H28*(1-(($D$2-H$11)/(J$11-H$11)))+J28*(1-((J$11-$D$2)/(J$11-H$11))))/1000000,"-"))</f>
        <v>0.37422304252790078</v>
      </c>
      <c r="J28" s="1198">
        <f>408818.845*(1+'R&amp;C-Painel de Controle'!$D$61)</f>
        <v>408818.84499999997</v>
      </c>
      <c r="K28" s="1183"/>
      <c r="L28" s="1197">
        <f t="shared" si="1"/>
        <v>408818.84499999997</v>
      </c>
      <c r="M28" s="377" t="str">
        <f>(IF(M$7="SIM",(L28*(1-(($D$2-L$11)/(N$11-L$11)))+N28*(1-((N$11-$D$2)/(N$11-L$11))))/1000000,"-"))</f>
        <v>-</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f>(IF(I$7="SIM",I30,"-"))</f>
        <v>6.7972197553352797E-3</v>
      </c>
      <c r="J29" s="1198"/>
      <c r="K29" s="1183"/>
      <c r="L29" s="1197"/>
      <c r="M29" s="377" t="str">
        <f>(IF(M$7="SIM",M30,"-"))</f>
        <v>-</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f>(IF(I$7="SIM",(H30*(1-(($D$2-H$11)/(J$11-H$11)))+J30*(1-((J$11-$D$2)/(J$11-H$11))))/1000000,"-"))</f>
        <v>6.7972197553352797E-3</v>
      </c>
      <c r="J30" s="1198">
        <f>8371.57777777778*(1+'R&amp;C-Painel de Controle'!$D$61)</f>
        <v>8371.5777777777803</v>
      </c>
      <c r="K30" s="1184"/>
      <c r="L30" s="1197">
        <f>J30</f>
        <v>8371.5777777777803</v>
      </c>
      <c r="M30" s="377" t="str">
        <f>(IF(M$7="SIM",(L30*(1-(($D$2-L$11)/(N$11-L$11)))+N30*(1-((N$11-$D$2)/(N$11-L$11))))/1000000,"-"))</f>
        <v>-</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f>(IF(I$7="SIM",I32+I33+I34+I35,"-"))</f>
        <v>0.11494044948138582</v>
      </c>
      <c r="J31" s="1198"/>
      <c r="K31" s="1184"/>
      <c r="L31" s="1197"/>
      <c r="M31" s="377" t="str">
        <f>(IF(M$7="SIM",M32+M33+M34+M35,"-"))</f>
        <v>-</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f>
        <v>3857.2916666666702</v>
      </c>
      <c r="E32" s="377" t="str">
        <f>(IF(E$7="SIM",(D32*(1-(($D$2-D$11)/(F$11-D$11)))+F32*(1-((F$11-$D$2)/(F$11-D$11))))/1000000,"-"))</f>
        <v>-</v>
      </c>
      <c r="F32" s="1198">
        <f>9643.22916666667*(1+'R&amp;C-Painel de Controle'!$D$61)</f>
        <v>9643.2291666666697</v>
      </c>
      <c r="G32" s="1185"/>
      <c r="H32" s="1197">
        <f t="shared" si="0"/>
        <v>9643.2291666666697</v>
      </c>
      <c r="I32" s="377">
        <f>(IF(I$7="SIM",(H32*(1-(($D$2-H$11)/(J$11-H$11)))+J32*(1-((J$11-$D$2)/(J$11-H$11))))/1000000,"-"))</f>
        <v>1.9636840602679811E-2</v>
      </c>
      <c r="J32" s="1198">
        <f>24750.6194444444*(1+'R&amp;C-Painel de Controle'!$D$61)</f>
        <v>24750.619444444401</v>
      </c>
      <c r="K32" s="1185"/>
      <c r="L32" s="1197">
        <f t="shared" si="1"/>
        <v>24750.619444444401</v>
      </c>
      <c r="M32" s="377" t="str">
        <f>(IF(M$7="SIM",(L32*(1-(($D$2-L$11)/(N$11-L$11)))+N32*(1-((N$11-$D$2)/(N$11-L$11))))/1000000,"-"))</f>
        <v>-</v>
      </c>
      <c r="N32" s="1198">
        <f>52142.0861111111*(1+'R&amp;C-Painel de Controle'!$D$61)</f>
        <v>52142.086111111101</v>
      </c>
      <c r="O32" s="1185"/>
      <c r="P32" s="1197">
        <f t="shared" si="2"/>
        <v>52142.086111111101</v>
      </c>
      <c r="Q32" s="377" t="str">
        <f>(IF(Q$7="SIM",(P32*(1-(($D$2-P$11)/(R$11-P$11)))+R32*(1-((R$11-$D$2)/(R$11-P$11))))/1000000,"-"))</f>
        <v>-</v>
      </c>
      <c r="R32" s="1198">
        <f>98949.2583333333*(1+'R&amp;C-Painel de Controle'!$D$61)</f>
        <v>98949.258333333302</v>
      </c>
      <c r="S32" s="1185"/>
      <c r="T32" s="1197">
        <f t="shared" si="3"/>
        <v>98949.258333333302</v>
      </c>
      <c r="U32" s="377" t="str">
        <f>(IF(U$7="SIM",(T32*(1-(($D$2-T$11)/(V$11-T$11)))+V32*(1-((V$11-$D$2)/(V$11-T$11))))/1000000,"-"))</f>
        <v>-</v>
      </c>
      <c r="V32" s="1210">
        <f>178111.616666667*(1+'R&amp;C-Painel de Controle'!$D$61)</f>
        <v>178111.61666666699</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f>(IF(I$7="SIM",(H33*(1-(($D$2-H$11)/(J$11-H$11)))+J33*(1-((J$11-$D$2)/(J$11-H$11))))/1000000,"-"))</f>
        <v>2.6604978476291528E-2</v>
      </c>
      <c r="J33" s="1198">
        <f>33307.5755555556*(1+'R&amp;C-Painel de Controle'!$D$61)</f>
        <v>33307.575555555602</v>
      </c>
      <c r="K33" s="1183"/>
      <c r="L33" s="1197">
        <f t="shared" si="1"/>
        <v>33307.575555555602</v>
      </c>
      <c r="M33" s="377" t="str">
        <f>(IF(M$7="SIM",(L33*(1-(($D$2-L$11)/(N$11-L$11)))+N33*(1-((N$11-$D$2)/(N$11-L$11))))/1000000,"-"))</f>
        <v>-</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f>(IF(I$7="SIM",(H34*(1-(($D$2-H$11)/(J$11-H$11)))+J34*(1-((J$11-$D$2)/(J$11-H$11))))/1000000,"-"))</f>
        <v>9.5247539718749995E-4</v>
      </c>
      <c r="J34" s="1198">
        <f>1200*(1+'R&amp;C-Painel de Controle'!$D$61)</f>
        <v>1200</v>
      </c>
      <c r="K34" s="1184"/>
      <c r="L34" s="1197">
        <f t="shared" si="1"/>
        <v>1200</v>
      </c>
      <c r="M34" s="377" t="str">
        <f>(IF(M$7="SIM",(L34*(1-(($D$2-L$11)/(N$11-L$11)))+N34*(1-((N$11-$D$2)/(N$11-L$11))))/1000000,"-"))</f>
        <v>-</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f>(IF(I$7="SIM",(H35*(1-(($D$2-H$11)/(J$11-H$11)))+J35*(1-((J$11-$D$2)/(J$11-H$11))))/1000000,"-"))</f>
        <v>6.7746155005226988E-2</v>
      </c>
      <c r="J35" s="1198">
        <f>68985.4566666667*(1+'R&amp;C-Painel de Controle'!$D$61)</f>
        <v>68985.456666666694</v>
      </c>
      <c r="K35" s="1183"/>
      <c r="L35" s="1197">
        <f t="shared" si="1"/>
        <v>68985.456666666694</v>
      </c>
      <c r="M35" s="377" t="str">
        <f>(IF(M$7="SIM",(L35*(1-(($D$2-L$11)/(N$11-L$11)))+N35*(1-((N$11-$D$2)/(N$11-L$11))))/1000000,"-"))</f>
        <v>-</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f>(IF(I$7="SIM",I37+I38+I39+I40,"-"))</f>
        <v>1.1812455866896672</v>
      </c>
      <c r="J36" s="1198"/>
      <c r="K36" s="1183"/>
      <c r="L36" s="1197"/>
      <c r="M36" s="377" t="str">
        <f>(IF(M$7="SIM",M37+M38+M39+M40,"-"))</f>
        <v>-</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f>(IF(I$7="SIM",(H37*(1-(($D$2-H$11)/(J$11-H$11)))+J37*(1-((J$11-$D$2)/(J$11-H$11))))/1000000,"-"))</f>
        <v>0.79848519572643184</v>
      </c>
      <c r="J37" s="1198">
        <f>1397611.36722222*'R&amp;C-Painel de Controle'!$D$72/125*(0.7+0.3*'R&amp;C-Painel de Controle'!$D$74/3.5)</f>
        <v>1070170.9897587283</v>
      </c>
      <c r="K37" s="1183"/>
      <c r="L37" s="1197">
        <f>J37</f>
        <v>1070170.9897587283</v>
      </c>
      <c r="M37" s="377" t="str">
        <f>(IF(M$7="SIM",(L37*(1-(($D$2-L$11)/(N$11-L$11)))+N37*(1-((N$11-$D$2)/(N$11-L$11))))/1000000,"-"))</f>
        <v>-</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f>(IF(I$7="SIM",(H38*(1-(($D$2-H$11)/(J$11-H$11)))+J38*(1-((J$11-$D$2)/(J$11-H$11))))/1000000,"-"))</f>
        <v>1.2943875642942209E-2</v>
      </c>
      <c r="J38" s="1198">
        <f>17377.4127777778*(1+'R&amp;C-Painel de Controle'!$D$61)</f>
        <v>17377.412777777801</v>
      </c>
      <c r="K38" s="1186"/>
      <c r="L38" s="1197">
        <f>J38</f>
        <v>17377.412777777801</v>
      </c>
      <c r="M38" s="377" t="str">
        <f>(IF(M$7="SIM",(L38*(1-(($D$2-L$11)/(N$11-L$11)))+N38*(1-((N$11-$D$2)/(N$11-L$11))))/1000000,"-"))</f>
        <v>-</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f>(IF(I$7="SIM",(H39*(1-(($D$2-H$11)/(J$11-H$11)))+J39*(1-((J$11-$D$2)/(J$11-H$11))))/1000000,"-"))</f>
        <v>3.3625000000000002E-2</v>
      </c>
      <c r="J39" s="1198">
        <f>33625*(1+'R&amp;C-Painel de Controle'!$D$61)</f>
        <v>33625</v>
      </c>
      <c r="K39" s="1183"/>
      <c r="L39" s="1197">
        <f t="shared" si="1"/>
        <v>33625</v>
      </c>
      <c r="M39" s="377" t="str">
        <f>(IF(M$7="SIM",(L39*(1-(($D$2-L$11)/(N$11-L$11)))+N39*(1-((N$11-$D$2)/(N$11-L$11))))/1000000,"-"))</f>
        <v>-</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f>(IF(I$7="SIM",(H40*(1-(($D$2-H$11)/(J$11-H$11)))+J40*(1-((J$11-$D$2)/(J$11-H$11))))/1000000,"-"))</f>
        <v>0.33619151532029312</v>
      </c>
      <c r="J40" s="1198">
        <f>404683.166666667*(1+'R&amp;C-Painel de Controle'!$D$61)</f>
        <v>404683.16666666698</v>
      </c>
      <c r="K40" s="1185"/>
      <c r="L40" s="1197">
        <f t="shared" si="1"/>
        <v>404683.16666666698</v>
      </c>
      <c r="M40" s="377" t="str">
        <f>(IF(M$7="SIM",(L40*(1-(($D$2-L$11)/(N$11-L$11)))+N40*(1-((N$11-$D$2)/(N$11-L$11))))/1000000,"-"))</f>
        <v>-</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f>(IF(I$7="SIM",I42+I43+I44,"-"))</f>
        <v>1.4704069897879533</v>
      </c>
      <c r="J41" s="1198"/>
      <c r="K41" s="1186"/>
      <c r="L41" s="1197"/>
      <c r="M41" s="377" t="str">
        <f>(IF(M$7="SIM",M42+M43+M44,"-"))</f>
        <v>-</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f>(IF(I$7="SIM",(H42*(1-(($D$2-H$11)/(J$11-H$11)))+J42*(1-((J$11-$D$2)/(J$11-H$11))))/1000000,"-"))</f>
        <v>1.3027414342854979</v>
      </c>
      <c r="J42" s="1198">
        <f>1603863.33333333*'R&amp;C-Painel de Controle'!$D$73/60</f>
        <v>1416745.9444444415</v>
      </c>
      <c r="K42" s="1184"/>
      <c r="L42" s="1197">
        <f>J42</f>
        <v>1416745.9444444415</v>
      </c>
      <c r="M42" s="377" t="str">
        <f>(IF(M$7="SIM",(L42*(1-(($D$2-L$11)/(N$11-L$11)))+N42*(1-((N$11-$D$2)/(N$11-L$11))))/1000000,"-"))</f>
        <v>-</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f>(IF(I$7="SIM",(H43*(1-(($D$2-H$11)/(J$11-H$11)))+J43*(1-((J$11-$D$2)/(J$11-H$11))))/1000000,"-"))</f>
        <v>4.5551151793124994E-2</v>
      </c>
      <c r="J43" s="1198">
        <f>61050*(1+'R&amp;C-Painel de Controle'!$D$61)</f>
        <v>61050</v>
      </c>
      <c r="K43" s="1184"/>
      <c r="L43" s="1197">
        <f t="shared" si="1"/>
        <v>61050</v>
      </c>
      <c r="M43" s="377" t="str">
        <f>(IF(M$7="SIM",(L43*(1-(($D$2-L$11)/(N$11-L$11)))+N43*(1-((N$11-$D$2)/(N$11-L$11))))/1000000,"-"))</f>
        <v>-</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f>(IF(I$7="SIM",(H44*(1-(($D$2-H$11)/(J$11-H$11)))+J44*(1-((J$11-$D$2)/(J$11-H$11))))/1000000,"-"))</f>
        <v>0.12211440370933026</v>
      </c>
      <c r="J44" s="1198">
        <f>169200*(1+'R&amp;C-Painel de Controle'!$D$61)</f>
        <v>169200</v>
      </c>
      <c r="K44" s="1186"/>
      <c r="L44" s="1197">
        <f>J44</f>
        <v>169200</v>
      </c>
      <c r="M44" s="377" t="str">
        <f>(IF(M$7="SIM",(L44*(1-(($D$2-L$11)/(N$11-L$11)))+N44*(1-((N$11-$D$2)/(N$11-L$11))))/1000000,"-"))</f>
        <v>-</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f>(IF(I$7="SIM",I46*1000000/$H$2,"-"))</f>
        <v>165.89021038381674</v>
      </c>
      <c r="J45" s="1200"/>
      <c r="K45" s="1187"/>
      <c r="L45" s="1208"/>
      <c r="M45" s="1174" t="str">
        <f>(IF(M$7="SIM",M46*1000000/$H$2,"-"))</f>
        <v>-</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f>(IF(I$7="SIM",(I26+I29+I31+I36+I41)*(1+H46),"-"))</f>
        <v>3.8741710372816218</v>
      </c>
      <c r="J46" s="1202"/>
      <c r="K46" s="1179"/>
      <c r="L46" s="1201">
        <v>0.1</v>
      </c>
      <c r="M46" s="1175" t="str">
        <f>(IF(M$7="SIM",(M26+M29+M31+M36+M41)*(1+L46),"-"))</f>
        <v>-</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f>(IF(I$7="SIM",((I27+I34+I35+I30+I39+I40+I44)*(1+H46)),"-"))</f>
        <v>1.0359658663212659</v>
      </c>
      <c r="J47" s="1204"/>
      <c r="K47" s="656"/>
      <c r="L47" s="1203"/>
      <c r="M47" s="1176" t="str">
        <f>(IF(M$7="SIM",((M27+M34+M35+M30+M39+M40+M44)*(1+L46)),"-"))</f>
        <v>-</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f>(IF(I$7="SIM",((I37+I28+I38+I32+I33+I42+I43)*1000000/$H$2)*(1+H46),"-"))</f>
        <v>121.5306315576135</v>
      </c>
      <c r="J48" s="1207"/>
      <c r="K48" s="656"/>
      <c r="L48" s="1205"/>
      <c r="M48" s="1206" t="str">
        <f>(IF(M$7="SIM",((M37+M28+M38+M32+M33+M42+M43)*1000000/$H$2)*(1+L46),"-"))</f>
        <v>-</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18</vt:i4>
      </vt:variant>
      <vt:variant>
        <vt:lpstr>Intervalos Nomeados</vt:lpstr>
      </vt:variant>
      <vt:variant>
        <vt:i4>1</vt:i4>
      </vt:variant>
    </vt:vector>
  </HeadingPairs>
  <TitlesOfParts>
    <vt:vector size="19"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2023-04-18T15:06:10Z</dcterms:modified>
</cp:coreProperties>
</file>