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A2AFFDAB-BE73-49C2-901F-B695BF0C0A92}" xr6:coauthVersionLast="47" xr6:coauthVersionMax="47" xr10:uidLastSave="{00000000-0000-0000-0000-000000000000}"/>
  <bookViews>
    <workbookView xWindow="-120" yWindow="-120" windowWidth="29040" windowHeight="1584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3" i="16" l="1"/>
  <c r="I29" i="10"/>
  <c r="BM182" i="10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/>
  <c r="AQ182" i="10"/>
  <c r="AP182" i="10"/>
  <c r="AO182" i="10"/>
  <c r="AN182" i="10"/>
  <c r="AM182" i="10"/>
  <c r="AL182" i="10"/>
  <c r="AK182" i="10"/>
  <c r="AJ182" i="10"/>
  <c r="AI182" i="10"/>
  <c r="AH182" i="10"/>
  <c r="AG182" i="10"/>
  <c r="AF182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BM165" i="10" l="1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/>
  <c r="AQ165" i="10"/>
  <c r="AP165" i="10"/>
  <c r="AO165" i="10"/>
  <c r="AN165" i="10"/>
  <c r="AM165" i="10"/>
  <c r="AL165" i="10"/>
  <c r="AK165" i="10"/>
  <c r="AJ165" i="10"/>
  <c r="AI165" i="10"/>
  <c r="AH165" i="10"/>
  <c r="AG165" i="10"/>
  <c r="AF165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BM148" i="10" l="1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/>
  <c r="AQ148" i="10"/>
  <c r="AP148" i="10"/>
  <c r="AO148" i="10"/>
  <c r="AN148" i="10"/>
  <c r="AM148" i="10"/>
  <c r="AL148" i="10"/>
  <c r="AK148" i="10"/>
  <c r="AJ148" i="10"/>
  <c r="AI148" i="10"/>
  <c r="AH148" i="10"/>
  <c r="AG148" i="10"/>
  <c r="AF148" i="10"/>
  <c r="AE148" i="10"/>
  <c r="AD148" i="10"/>
  <c r="AC148" i="10"/>
  <c r="AB148" i="10"/>
  <c r="AA148" i="10"/>
  <c r="Z148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BM131" i="10" l="1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/>
  <c r="AQ131" i="10"/>
  <c r="AP131" i="10"/>
  <c r="AO131" i="10"/>
  <c r="AN131" i="10"/>
  <c r="AM131" i="10"/>
  <c r="AL131" i="10"/>
  <c r="AK131" i="10"/>
  <c r="AJ131" i="10"/>
  <c r="AI131" i="10"/>
  <c r="AH131" i="10"/>
  <c r="AG131" i="10"/>
  <c r="AF131" i="10"/>
  <c r="AE131" i="10"/>
  <c r="AD131" i="10"/>
  <c r="AC131" i="10"/>
  <c r="AB131" i="10"/>
  <c r="AA131" i="10"/>
  <c r="Z131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BM114" i="10" l="1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BM97" i="10" l="1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Z97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BM80" i="10" l="1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BM63" i="10" l="1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H29" i="10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A51" i="20" l="1"/>
  <c r="C32" i="20"/>
  <c r="B32" i="20"/>
  <c r="N223" i="3" l="1"/>
  <c r="N224" i="3"/>
  <c r="N225" i="3"/>
  <c r="N226" i="3"/>
  <c r="N227" i="3"/>
  <c r="N228" i="3"/>
  <c r="N229" i="3"/>
  <c r="D53" i="16"/>
  <c r="B53" i="16" l="1"/>
  <c r="A57" i="16" l="1"/>
  <c r="A60" i="16"/>
  <c r="A59" i="16"/>
  <c r="A58" i="16"/>
  <c r="B58" i="16" s="1"/>
  <c r="I104" i="3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F59" i="16" l="1"/>
  <c r="O59" i="16"/>
  <c r="P59" i="16"/>
  <c r="F58" i="16"/>
  <c r="O58" i="16"/>
  <c r="P58" i="16"/>
  <c r="F60" i="16"/>
  <c r="P60" i="16"/>
  <c r="O60" i="16"/>
  <c r="F57" i="16"/>
  <c r="O57" i="16"/>
  <c r="P57" i="16"/>
  <c r="E57" i="16"/>
  <c r="D58" i="16"/>
  <c r="E58" i="16"/>
  <c r="D59" i="16"/>
  <c r="E59" i="16"/>
  <c r="D60" i="16"/>
  <c r="E60" i="16"/>
  <c r="G59" i="16"/>
  <c r="J59" i="16"/>
  <c r="H59" i="16"/>
  <c r="L59" i="16"/>
  <c r="I59" i="16"/>
  <c r="M59" i="16"/>
  <c r="K59" i="16"/>
  <c r="N59" i="16"/>
  <c r="G58" i="16"/>
  <c r="K58" i="16"/>
  <c r="N58" i="16"/>
  <c r="H58" i="16"/>
  <c r="I58" i="16"/>
  <c r="M58" i="16"/>
  <c r="J58" i="16"/>
  <c r="L58" i="16"/>
  <c r="I60" i="16"/>
  <c r="G60" i="16"/>
  <c r="K60" i="16"/>
  <c r="N60" i="16"/>
  <c r="H60" i="16"/>
  <c r="L60" i="16"/>
  <c r="M60" i="16"/>
  <c r="J60" i="16"/>
  <c r="K57" i="16"/>
  <c r="N57" i="16"/>
  <c r="D57" i="16"/>
  <c r="H57" i="16"/>
  <c r="L57" i="16"/>
  <c r="G57" i="16"/>
  <c r="I57" i="16"/>
  <c r="M57" i="16"/>
  <c r="J57" i="16"/>
  <c r="B59" i="16"/>
  <c r="B57" i="16"/>
  <c r="B10" i="20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K49" i="16" l="1"/>
  <c r="I49" i="16"/>
  <c r="K48" i="16"/>
  <c r="I48" i="16"/>
  <c r="E43" i="16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H43" i="16"/>
  <c r="H46" i="16"/>
  <c r="I47" i="16"/>
  <c r="J45" i="16"/>
  <c r="J47" i="16"/>
  <c r="K45" i="16"/>
  <c r="L43" i="16"/>
  <c r="L46" i="16"/>
  <c r="H47" i="16"/>
  <c r="L47" i="16"/>
  <c r="H49" i="16"/>
  <c r="H45" i="16"/>
  <c r="I46" i="16"/>
  <c r="J44" i="16"/>
  <c r="K43" i="16"/>
  <c r="K44" i="16"/>
  <c r="L49" i="16"/>
  <c r="L45" i="16"/>
  <c r="H48" i="16"/>
  <c r="H44" i="16"/>
  <c r="I45" i="16"/>
  <c r="J43" i="16"/>
  <c r="J49" i="16"/>
  <c r="K47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21" i="3"/>
  <c r="N22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07" i="3"/>
  <c r="N20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<sst xmlns="http://schemas.openxmlformats.org/spreadsheetml/2006/main" count="20873" uniqueCount="10840">
  <si>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</si>
  <si>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</si>
  <si>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</si>
  <si>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</si>
  <si>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</si>
  <si>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</si>
  <si>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</si>
  <si>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</si>
  <si>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</si>
  <si>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</si>
  <si>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</si>
  <si>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</si>
  <si>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</si>
  <si>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</si>
  <si>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</si>
  <si>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</si>
  <si>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</si>
  <si>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</si>
  <si>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</si>
  <si>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</si>
  <si>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</si>
  <si>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</si>
  <si>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</si>
  <si>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</si>
  <si>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</si>
  <si>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</si>
  <si>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</si>
  <si>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</si>
  <si>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</si>
  <si>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</si>
  <si>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</si>
  <si>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</si>
  <si>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</si>
  <si>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</si>
  <si>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</si>
  <si>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</si>
  <si>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</si>
  <si>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</si>
  <si>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</si>
  <si>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</si>
  <si>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</si>
  <si>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</si>
  <si>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</si>
  <si>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</si>
  <si>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</si>
  <si>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</si>
  <si>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</si>
  <si>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</si>
  <si>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</si>
  <si>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</si>
  <si>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</si>
  <si>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</si>
  <si>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</si>
  <si>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</si>
  <si>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</si>
  <si>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</si>
  <si>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</si>
  <si>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</si>
  <si>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</si>
  <si>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</si>
  <si>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</si>
  <si>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</si>
  <si>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</si>
  <si>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</si>
  <si>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</si>
  <si>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</si>
  <si>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</si>
  <si>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</si>
  <si>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</si>
  <si>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</si>
  <si>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</si>
  <si>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</si>
  <si>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</si>
  <si>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</si>
  <si>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</si>
  <si>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</si>
  <si>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</si>
  <si>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</si>
  <si>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</si>
  <si>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</si>
  <si>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</si>
  <si>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</si>
  <si>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</si>
  <si>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</si>
  <si>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</si>
  <si>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</si>
  <si>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</si>
  <si>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</si>
  <si>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</si>
  <si>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</si>
  <si>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</si>
  <si>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</si>
  <si>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</si>
  <si>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</si>
  <si>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</si>
  <si>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</si>
  <si>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</si>
  <si>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</si>
  <si>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</si>
  <si>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</si>
  <si>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</si>
  <si>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</si>
  <si>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</si>
  <si>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</si>
  <si>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</si>
  <si>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</si>
  <si>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</si>
  <si>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</si>
  <si>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</si>
  <si>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</si>
  <si>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</si>
  <si>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</si>
  <si>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</si>
  <si>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</si>
  <si>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</si>
  <si>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</si>
  <si>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</si>
  <si>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</si>
  <si>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</si>
  <si>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</si>
  <si>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</si>
  <si>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</si>
  <si>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</si>
  <si>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</si>
  <si>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</si>
  <si>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</si>
  <si>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</si>
  <si>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</si>
  <si>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</si>
  <si>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</si>
  <si>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</si>
  <si>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</si>
  <si>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</si>
  <si>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</si>
  <si>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</si>
  <si>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</si>
  <si>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</si>
  <si>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</si>
  <si>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</si>
  <si>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</si>
  <si>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</si>
  <si>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</si>
  <si>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</si>
  <si>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</si>
  <si>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</si>
  <si>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</si>
  <si>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</si>
  <si>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</si>
  <si>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</si>
  <si>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</si>
  <si>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</si>
  <si>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</si>
  <si>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</si>
  <si>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</si>
  <si>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</si>
  <si>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</si>
  <si>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</si>
  <si>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</si>
  <si>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</si>
  <si>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</si>
  <si>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</si>
  <si>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</si>
  <si>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</si>
  <si>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</si>
  <si>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</si>
  <si>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</si>
  <si>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</si>
  <si>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</si>
  <si>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</si>
  <si>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</si>
  <si>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</si>
  <si>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</si>
  <si>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</si>
  <si>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</si>
  <si>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</si>
  <si>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</si>
  <si>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</si>
  <si>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</si>
  <si>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</si>
  <si>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</si>
  <si>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</si>
  <si>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</si>
  <si>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</si>
  <si>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</si>
  <si>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</si>
  <si>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</si>
  <si>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</si>
  <si>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</si>
  <si>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</si>
  <si>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</si>
  <si>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</si>
  <si>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</si>
  <si>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</si>
  <si>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</si>
  <si>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</si>
  <si>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</si>
  <si>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</si>
  <si>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</si>
  <si>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</si>
  <si>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</si>
  <si>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</si>
  <si>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</si>
  <si>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</si>
  <si>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</si>
  <si>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</si>
  <si>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</si>
  <si>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</si>
  <si>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</si>
  <si>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</si>
  <si>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</si>
  <si>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</si>
  <si>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</si>
  <si>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</si>
  <si>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</si>
  <si>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</si>
  <si>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</si>
  <si>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</si>
  <si>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</si>
  <si>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</si>
  <si>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</si>
  <si>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</si>
  <si>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</si>
  <si>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</si>
  <si>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</si>
  <si>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</si>
  <si>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</si>
  <si>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</si>
  <si>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</si>
  <si>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</si>
  <si>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</si>
  <si>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</si>
  <si>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</si>
  <si>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</si>
  <si>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</si>
  <si>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</si>
  <si>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</si>
  <si>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</si>
  <si>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</si>
  <si>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</si>
  <si>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</si>
  <si>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</si>
  <si>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</si>
  <si>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</si>
  <si>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</si>
  <si>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</si>
  <si>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</si>
  <si>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</si>
  <si>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</si>
  <si>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</si>
  <si>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</si>
  <si>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</si>
  <si>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</si>
  <si>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</si>
  <si>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</si>
  <si>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</si>
  <si>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</si>
  <si>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</si>
  <si>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</si>
  <si>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</si>
  <si>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</si>
  <si>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</si>
  <si>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</si>
  <si>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</si>
  <si>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</si>
  <si>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</si>
  <si>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</si>
  <si>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</si>
  <si>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</si>
  <si>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</si>
  <si>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</si>
  <si>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</si>
  <si>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</si>
  <si>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</si>
  <si>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</si>
  <si>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</si>
  <si>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</si>
  <si>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</si>
  <si>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</si>
  <si>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</si>
  <si>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</si>
  <si>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</si>
  <si>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</si>
  <si>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</si>
  <si>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</si>
  <si>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</si>
  <si>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</si>
  <si>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</si>
  <si>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</si>
  <si>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</si>
  <si>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</si>
  <si>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</si>
  <si>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</si>
  <si>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</si>
  <si>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</si>
  <si>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</si>
  <si>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</si>
  <si>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</si>
  <si>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</si>
  <si>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</si>
  <si>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</si>
  <si>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</si>
  <si>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</si>
  <si>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</si>
  <si>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</si>
  <si>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</si>
  <si>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</si>
  <si>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</si>
  <si>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</si>
  <si>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</si>
  <si>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</si>
  <si>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</si>
  <si>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</si>
  <si>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</si>
  <si>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</si>
  <si>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</si>
  <si>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</si>
  <si>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</si>
  <si>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</si>
  <si>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</si>
  <si>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</si>
  <si>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</si>
  <si>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</si>
  <si>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</si>
  <si>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</si>
  <si>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</si>
  <si>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</si>
  <si>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</si>
  <si>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</si>
  <si>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</si>
  <si>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</si>
  <si>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</si>
  <si>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</si>
  <si>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</si>
  <si>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</si>
  <si>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</si>
  <si>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</si>
  <si>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</si>
  <si>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</si>
  <si>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</si>
  <si>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</si>
  <si>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</si>
  <si>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</si>
  <si>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</si>
  <si>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</si>
  <si>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</si>
  <si>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</si>
  <si>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</si>
  <si>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</si>
  <si>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</si>
  <si>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</si>
  <si>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</si>
  <si>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</si>
  <si>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</si>
  <si>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</si>
  <si>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</si>
  <si>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</si>
  <si>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</si>
  <si>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</si>
  <si>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</si>
  <si>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</si>
  <si>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</si>
  <si>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</si>
  <si>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</si>
  <si>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</si>
  <si>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</si>
  <si>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</si>
  <si>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</si>
  <si>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</si>
  <si>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</si>
  <si>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</si>
  <si>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</si>
  <si>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</si>
  <si>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</si>
  <si>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</si>
  <si>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</si>
  <si>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</si>
  <si>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</si>
  <si>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</si>
  <si>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</si>
  <si>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</si>
  <si>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</si>
  <si>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</si>
  <si>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</si>
  <si>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</si>
  <si>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</si>
  <si>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</si>
  <si>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</si>
  <si>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</si>
  <si>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</si>
  <si>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</si>
  <si>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</si>
  <si>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</si>
  <si>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</si>
  <si>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</si>
  <si>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</si>
  <si>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</si>
  <si>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</si>
  <si>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</si>
  <si>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</si>
  <si>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</si>
  <si>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</si>
  <si>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</si>
  <si>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</si>
  <si>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</si>
  <si>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</si>
  <si>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</si>
  <si>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</si>
  <si>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</si>
  <si>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</si>
  <si>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</si>
  <si>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</si>
  <si>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</si>
  <si>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</si>
  <si>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</si>
  <si>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</si>
  <si>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</si>
  <si>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</si>
  <si>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</si>
  <si>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</si>
  <si>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</si>
  <si>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</si>
  <si>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</si>
  <si>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</si>
  <si>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</si>
  <si>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</si>
  <si>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</si>
  <si>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</si>
  <si>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</si>
  <si>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</si>
  <si>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</si>
  <si>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</si>
  <si>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</si>
  <si>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</si>
  <si>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</si>
  <si>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</si>
  <si>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</si>
  <si>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</si>
  <si>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</si>
  <si>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</si>
  <si>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</si>
  <si>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</si>
  <si>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</si>
  <si>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</si>
  <si>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</si>
  <si>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</si>
  <si>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</si>
  <si>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</si>
  <si>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</si>
  <si>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</si>
  <si>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</si>
  <si>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</si>
  <si>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</si>
  <si>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</si>
  <si>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</si>
  <si>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</si>
  <si>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</si>
  <si>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</si>
  <si>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</si>
  <si>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</si>
  <si>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</si>
  <si>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</si>
  <si>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</si>
  <si>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</si>
  <si>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</si>
  <si>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</si>
  <si>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</si>
  <si>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</si>
  <si>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</si>
  <si>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</si>
  <si>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</si>
  <si>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</si>
  <si>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</si>
  <si>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</si>
  <si>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</si>
  <si>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</si>
  <si>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</si>
  <si>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</si>
  <si>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</si>
  <si>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</si>
  <si>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</si>
  <si>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</si>
  <si>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</si>
  <si>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</si>
  <si>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</si>
  <si>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</si>
  <si>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</si>
  <si>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</si>
  <si>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</si>
  <si>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</si>
  <si>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</si>
  <si>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</si>
  <si>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</si>
  <si>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</si>
  <si>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</si>
  <si>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</si>
  <si>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</si>
  <si>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</si>
  <si>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</si>
  <si>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</si>
  <si>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</si>
  <si>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</si>
  <si>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</si>
  <si>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</si>
  <si>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</si>
  <si>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</si>
  <si>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</si>
  <si>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</si>
  <si>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</si>
  <si>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</si>
  <si>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</si>
  <si>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</si>
  <si>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</si>
  <si>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</si>
  <si>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</si>
  <si>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</si>
  <si>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</si>
  <si>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</si>
  <si>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</si>
  <si>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</si>
  <si>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</si>
  <si>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</si>
  <si>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</si>
  <si>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</si>
  <si>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</si>
  <si>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</si>
  <si>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</si>
  <si>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</si>
  <si>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</si>
  <si>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</si>
  <si>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</si>
  <si>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</si>
  <si>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</si>
  <si>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</si>
  <si>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</si>
  <si>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</si>
  <si>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</si>
  <si>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</si>
  <si>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</si>
  <si>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</si>
  <si>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</si>
  <si>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</si>
  <si>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</si>
  <si>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</si>
  <si>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</si>
  <si>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</si>
  <si>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</si>
  <si>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</si>
  <si>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</si>
  <si>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</si>
  <si>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</si>
  <si>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</si>
  <si>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</si>
  <si>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</si>
  <si>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</si>
  <si>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</si>
  <si>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</si>
  <si>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</si>
  <si>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</si>
  <si>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</si>
  <si>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</si>
  <si>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</si>
  <si>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</si>
  <si>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</si>
  <si>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</si>
  <si>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</si>
  <si>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</si>
  <si>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</si>
  <si>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</si>
  <si>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</si>
  <si>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</si>
  <si>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</si>
  <si>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</si>
  <si>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</si>
  <si>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</si>
  <si>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</si>
  <si>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</si>
  <si>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</si>
  <si>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</si>
  <si>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</si>
  <si>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</si>
  <si>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</si>
  <si>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</si>
  <si>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</si>
  <si>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</si>
  <si>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</si>
  <si>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</si>
  <si>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</si>
  <si>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</si>
  <si>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</si>
  <si>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</si>
  <si>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</si>
  <si>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</si>
  <si>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</si>
  <si>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</si>
  <si>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</si>
  <si>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</si>
  <si>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</si>
  <si>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</si>
  <si>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</si>
  <si>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</si>
  <si>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</si>
  <si>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</si>
  <si>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</si>
  <si>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</si>
  <si>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</si>
  <si>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</si>
  <si>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</si>
  <si>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</si>
  <si>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</si>
  <si>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</si>
  <si>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</si>
  <si>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</si>
  <si>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</si>
  <si>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</si>
  <si>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</si>
  <si>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</si>
  <si>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</si>
  <si>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</si>
  <si>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</si>
  <si>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</si>
  <si>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</si>
  <si>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</si>
  <si>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</si>
  <si>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</si>
  <si>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</si>
  <si>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</si>
  <si>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</si>
  <si>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</si>
  <si>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</si>
  <si>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</si>
  <si>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</si>
  <si>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</si>
  <si>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</si>
  <si>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</si>
  <si>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</si>
  <si>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</si>
  <si>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</si>
  <si>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</si>
  <si>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</si>
  <si>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</si>
  <si>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</si>
  <si>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</si>
  <si>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</si>
  <si>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</si>
  <si>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</si>
  <si>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</si>
  <si>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</si>
  <si>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</si>
  <si>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</si>
  <si>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</si>
  <si>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</si>
  <si>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</si>
  <si>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</si>
  <si>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</si>
  <si>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</si>
  <si>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</si>
  <si>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</si>
  <si>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</si>
  <si>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</si>
  <si>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</si>
  <si>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</si>
  <si>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</si>
  <si>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</si>
  <si>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</si>
  <si>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</si>
  <si>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</si>
  <si>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</si>
  <si>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</si>
  <si>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</si>
  <si>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</si>
  <si>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</si>
  <si>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</si>
  <si>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</si>
  <si>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</si>
  <si>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</si>
  <si>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</si>
  <si>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</si>
  <si>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</si>
  <si>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</si>
  <si>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</si>
  <si>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</si>
  <si>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</si>
  <si>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</si>
  <si>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</si>
  <si>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</si>
  <si>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</si>
  <si>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</si>
  <si>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</si>
  <si>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</si>
  <si>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</si>
  <si>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</si>
  <si>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</si>
  <si>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</si>
  <si>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</si>
  <si>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</si>
  <si>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</si>
  <si>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</si>
  <si>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</si>
  <si>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</si>
  <si>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</si>
  <si>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</si>
  <si>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</si>
  <si>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</si>
  <si>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</si>
  <si>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</si>
  <si>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</si>
  <si>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</si>
  <si>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</si>
  <si>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</si>
  <si>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</si>
  <si>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</si>
  <si>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</si>
  <si>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</si>
  <si>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</si>
  <si>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</si>
  <si>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</si>
  <si>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</si>
  <si>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</si>
  <si>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</si>
  <si>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</si>
  <si>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</si>
  <si>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</si>
  <si>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</si>
  <si>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</si>
  <si>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</si>
  <si>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</si>
  <si>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</si>
  <si>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</si>
  <si>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</si>
  <si>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</si>
  <si>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</si>
  <si>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</si>
  <si>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</si>
  <si>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</si>
  <si>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</si>
  <si>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</si>
  <si>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</si>
  <si>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</si>
  <si>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</si>
  <si>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</si>
  <si>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</si>
  <si>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</si>
  <si>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</si>
  <si>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</si>
  <si>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</si>
  <si>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</si>
  <si>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</si>
  <si>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</si>
  <si>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</si>
  <si>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</si>
  <si>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</si>
  <si>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</si>
  <si>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</si>
  <si>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</si>
  <si>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</si>
  <si>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</si>
  <si>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</si>
  <si>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</si>
  <si>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</si>
  <si>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</si>
  <si>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</si>
  <si>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</si>
  <si>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</si>
  <si>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</si>
  <si>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</si>
  <si>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</si>
  <si>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</si>
  <si>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</si>
  <si>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</si>
  <si>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</si>
  <si>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</si>
  <si>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</si>
  <si>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</si>
  <si>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</si>
  <si>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</si>
  <si>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</si>
  <si>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</si>
  <si>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</si>
  <si>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</si>
  <si>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</si>
  <si>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</si>
  <si>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</si>
  <si>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</si>
  <si>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</si>
  <si>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</si>
  <si>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</si>
  <si>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</si>
  <si>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</si>
  <si>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</si>
  <si>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</si>
  <si>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</si>
  <si>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</si>
  <si>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</si>
  <si>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</si>
  <si>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</si>
  <si>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</si>
  <si>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</si>
  <si>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</si>
  <si>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</si>
  <si>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</si>
  <si>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</si>
  <si>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</si>
  <si>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</si>
  <si>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</si>
  <si>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</si>
  <si>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</si>
  <si>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</si>
  <si>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</si>
  <si>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</si>
  <si>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</si>
  <si>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</si>
  <si>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</si>
  <si>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</si>
  <si>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</si>
  <si>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</si>
  <si>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</si>
  <si>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</si>
  <si>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</si>
  <si>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</si>
  <si>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</si>
  <si>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</si>
  <si>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</si>
  <si>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</si>
  <si>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</si>
  <si>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</si>
  <si>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</si>
  <si>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</si>
  <si>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</si>
  <si>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</si>
  <si>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</si>
  <si>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</si>
  <si>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</si>
  <si>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</si>
  <si>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</si>
  <si>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</si>
  <si>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</si>
  <si>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</si>
  <si>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</si>
  <si>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</si>
  <si>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</si>
  <si>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</si>
  <si>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</si>
  <si>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</si>
  <si>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</si>
  <si>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</si>
  <si>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</si>
  <si>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</si>
  <si>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</si>
  <si>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</si>
  <si>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</si>
  <si>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</si>
  <si>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</si>
  <si>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</si>
  <si>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</si>
  <si>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</si>
  <si>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</si>
  <si>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</si>
  <si>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</si>
  <si>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</si>
  <si>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</si>
  <si>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</si>
  <si>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</si>
  <si>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</si>
  <si>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</si>
  <si>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</si>
  <si>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</si>
  <si>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</si>
  <si>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</si>
  <si>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</si>
  <si>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</si>
  <si>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</si>
  <si>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</si>
  <si>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</si>
  <si>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</si>
  <si>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</si>
  <si>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</si>
  <si>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</si>
  <si>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</si>
  <si>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</si>
  <si>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</si>
  <si>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</si>
  <si>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</si>
  <si>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</si>
  <si>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</si>
  <si>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</si>
  <si>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</si>
  <si>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</si>
  <si>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</si>
  <si>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</si>
  <si>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</si>
  <si>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</si>
  <si>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</si>
  <si>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</si>
  <si>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</si>
  <si>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</si>
  <si>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</si>
  <si>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</si>
  <si>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</si>
  <si>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</si>
  <si>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</si>
  <si>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</si>
  <si>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</si>
  <si>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</si>
  <si>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</si>
  <si>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</si>
  <si>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</si>
  <si>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</si>
  <si>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</si>
  <si>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</si>
  <si>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</si>
  <si>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</si>
  <si>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</si>
  <si>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</si>
  <si>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</si>
  <si>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</si>
  <si>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</si>
  <si>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</si>
  <si>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</si>
  <si>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</si>
  <si>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</si>
  <si>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</si>
  <si>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</si>
  <si>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</si>
  <si>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</si>
  <si>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</si>
  <si>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</si>
  <si>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</si>
  <si>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</si>
  <si>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</si>
  <si>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</si>
  <si>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</si>
  <si>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</si>
  <si>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</si>
  <si>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</si>
  <si>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</si>
  <si>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</si>
  <si>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</si>
  <si>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</si>
  <si>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</si>
  <si>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</si>
  <si>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</si>
  <si>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</si>
  <si>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</si>
  <si>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</si>
  <si>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</si>
  <si>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</si>
  <si>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</si>
  <si>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</si>
  <si>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</si>
  <si>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</si>
  <si>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</si>
  <si>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</si>
  <si>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</si>
  <si>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</si>
  <si>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</si>
  <si>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</si>
  <si>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</si>
  <si>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</si>
  <si>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</si>
  <si>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</si>
  <si>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</si>
  <si>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</si>
  <si>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</si>
  <si>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</si>
  <si>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</si>
  <si>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</si>
  <si>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</si>
  <si>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</si>
  <si>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</si>
  <si>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</si>
  <si>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</si>
  <si>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</si>
  <si>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</si>
  <si>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</si>
  <si>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</si>
  <si>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</si>
  <si>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</si>
  <si>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</si>
  <si>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</si>
  <si>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</si>
  <si>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</si>
  <si>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</si>
  <si>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</si>
  <si>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</si>
  <si>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</si>
  <si>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</si>
  <si>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</si>
  <si>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</si>
  <si>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</si>
  <si>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</si>
  <si>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</si>
  <si>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</si>
  <si>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</si>
  <si>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</si>
  <si>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</si>
  <si>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</si>
  <si>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</si>
  <si>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</si>
  <si>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</si>
  <si>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</si>
  <si>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</si>
  <si>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</si>
  <si>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</si>
  <si>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</si>
  <si>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</si>
  <si>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</si>
  <si>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</si>
  <si>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</si>
  <si>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</si>
  <si>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</si>
  <si>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</si>
  <si>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</si>
  <si>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</si>
  <si>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</si>
  <si>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</si>
  <si>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</si>
  <si>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</si>
  <si>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</si>
  <si>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</si>
  <si>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</si>
  <si>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</si>
  <si>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</si>
  <si>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</si>
  <si>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</si>
  <si>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</si>
  <si>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</si>
  <si>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</si>
  <si>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</si>
  <si>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</si>
  <si>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</si>
  <si>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</si>
  <si>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</si>
  <si>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</si>
  <si>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</si>
  <si>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</si>
  <si>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</si>
  <si>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</si>
  <si>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</si>
  <si>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</si>
  <si>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</si>
  <si>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</si>
  <si>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</si>
  <si>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</si>
  <si>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</si>
  <si>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</si>
  <si>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</si>
  <si>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</si>
  <si>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</si>
  <si>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</si>
  <si>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</si>
  <si>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</si>
  <si>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</si>
  <si>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</si>
  <si>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</si>
  <si>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</si>
  <si>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</si>
  <si>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</si>
  <si>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</si>
  <si>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</si>
  <si>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</si>
  <si>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</si>
  <si>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</si>
  <si>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</si>
  <si>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</si>
  <si>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</si>
  <si>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</si>
  <si>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</si>
  <si>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</si>
  <si>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</si>
  <si>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</si>
  <si>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</si>
  <si>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</si>
  <si>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</si>
  <si>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</si>
  <si>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</si>
  <si>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</si>
  <si>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</si>
  <si>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</si>
  <si>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</si>
  <si>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</si>
  <si>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</si>
  <si>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</si>
  <si>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</si>
  <si>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</si>
  <si>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</si>
  <si>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</si>
  <si>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</si>
  <si>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</si>
  <si>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</si>
  <si>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</si>
  <si>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</si>
  <si>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</si>
  <si>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</si>
  <si>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</si>
  <si>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</si>
  <si>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</si>
  <si>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</si>
  <si>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</si>
  <si>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</si>
  <si>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</si>
  <si>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</si>
  <si>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</si>
  <si>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</si>
  <si>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</si>
  <si>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</si>
  <si>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</si>
  <si>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</si>
  <si>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</si>
  <si>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</si>
  <si>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</si>
  <si>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</si>
  <si>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</si>
  <si>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</si>
  <si>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</si>
  <si>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</si>
  <si>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</si>
  <si>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</si>
  <si>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</si>
  <si>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</si>
  <si>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</si>
  <si>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</si>
  <si>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</si>
  <si>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</si>
  <si>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</si>
  <si>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</si>
  <si>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</si>
  <si>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</si>
  <si>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</si>
  <si>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</si>
  <si>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</si>
  <si>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</si>
  <si>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</si>
  <si>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</si>
  <si>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</si>
  <si>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</si>
  <si>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</si>
  <si>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</si>
  <si>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</si>
  <si>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</si>
  <si>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</si>
  <si>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</si>
  <si>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</si>
  <si>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</si>
  <si>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</si>
  <si>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</si>
  <si>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</si>
  <si>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</si>
  <si>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</si>
  <si>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</si>
  <si>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</si>
  <si>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</si>
  <si>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</si>
  <si>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</si>
  <si>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</si>
  <si>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</si>
  <si>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</si>
  <si>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</si>
  <si>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</si>
  <si>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</si>
  <si>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</si>
  <si>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</si>
  <si>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</si>
  <si>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</si>
  <si>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</si>
  <si>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</si>
  <si>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</si>
  <si>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</si>
  <si>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</si>
  <si>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</si>
  <si>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</si>
  <si>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</si>
  <si>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</si>
  <si>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</si>
  <si>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</si>
  <si>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</si>
  <si>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</si>
  <si>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</si>
  <si>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</si>
  <si>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</si>
  <si>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</si>
  <si>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</si>
  <si>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</si>
  <si>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</si>
  <si>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</si>
  <si>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</si>
  <si>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</si>
  <si>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</si>
  <si>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</si>
  <si>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</si>
  <si>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</si>
  <si>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</si>
  <si>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</si>
  <si>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</si>
  <si>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</si>
  <si>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</si>
  <si>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</si>
  <si>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</si>
  <si>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</si>
  <si>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</si>
  <si>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</si>
  <si>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</si>
  <si>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</si>
  <si>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</si>
  <si>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</si>
  <si>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</si>
  <si>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</si>
  <si>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</si>
  <si>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</si>
  <si>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</si>
  <si>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</si>
  <si>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</si>
  <si>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</si>
  <si>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</si>
  <si>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</si>
  <si>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</si>
  <si>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</si>
  <si>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</si>
  <si>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</si>
  <si>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</si>
  <si>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</si>
  <si>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</si>
  <si>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</si>
  <si>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</si>
  <si>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</si>
  <si>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</si>
  <si>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</si>
  <si>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</si>
  <si>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</si>
  <si>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</si>
  <si>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</si>
  <si>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</si>
  <si>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</si>
  <si>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</si>
  <si>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</si>
  <si>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</si>
  <si>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</si>
  <si>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</si>
  <si>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</si>
  <si>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</si>
  <si>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</si>
  <si>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</si>
  <si>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</si>
  <si>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</si>
  <si>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</si>
  <si>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</si>
  <si>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</si>
  <si>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</si>
  <si>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</si>
  <si>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</si>
  <si>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</si>
  <si>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</si>
  <si>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</si>
  <si>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</si>
  <si>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</si>
  <si>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</si>
  <si>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</si>
  <si>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</si>
  <si>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</si>
  <si>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</si>
  <si>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</si>
  <si>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</si>
  <si>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</si>
  <si>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</si>
  <si>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</si>
  <si>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</si>
  <si>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</si>
  <si>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</si>
  <si>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</si>
  <si>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</si>
  <si>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</si>
  <si>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</si>
  <si>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</si>
  <si>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</si>
  <si>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</si>
  <si>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</si>
  <si>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</si>
  <si>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</si>
  <si>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</si>
  <si>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</si>
  <si>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</si>
  <si>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</si>
  <si>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</si>
  <si>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</si>
  <si>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</si>
  <si>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</si>
  <si>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</si>
  <si>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</si>
  <si>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</si>
  <si>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</si>
  <si>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</si>
  <si>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</si>
  <si>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</si>
  <si>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</si>
  <si>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</si>
  <si>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</si>
  <si>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</si>
  <si>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</si>
  <si>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</si>
  <si>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</si>
  <si>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</si>
  <si>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</si>
  <si>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</si>
  <si>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</si>
  <si>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</si>
  <si>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</si>
  <si>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</si>
  <si>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</si>
  <si>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</si>
  <si>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</si>
  <si>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</si>
  <si>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</si>
  <si>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</si>
  <si>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</si>
  <si>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</si>
  <si>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</si>
  <si>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</si>
  <si>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</si>
  <si>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</si>
  <si>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</si>
  <si>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</si>
  <si>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</si>
  <si>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</si>
  <si>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</si>
  <si>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</si>
  <si>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</si>
  <si>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</si>
  <si>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</si>
  <si>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</si>
  <si>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</si>
  <si>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</si>
  <si>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</si>
  <si>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</si>
  <si>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</si>
  <si>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</si>
  <si>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</si>
  <si>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</si>
  <si>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</si>
  <si>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</si>
  <si>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</si>
  <si>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</si>
  <si>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</si>
  <si>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</si>
  <si>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</si>
  <si>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</si>
  <si>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</si>
  <si>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</si>
  <si>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</si>
  <si>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</si>
  <si>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</si>
  <si>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</si>
  <si>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</si>
  <si>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</si>
  <si>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</si>
  <si>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</si>
  <si>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</si>
  <si>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</si>
  <si>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</si>
  <si>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</si>
  <si>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</si>
  <si>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</si>
  <si>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</si>
  <si>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</si>
  <si>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</si>
  <si>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</si>
  <si>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</si>
  <si>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</si>
  <si>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</si>
  <si>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</si>
  <si>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</si>
  <si>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</si>
  <si>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</si>
  <si>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</si>
  <si>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</si>
  <si>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</si>
  <si>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</si>
  <si>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</si>
  <si>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</si>
  <si>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</si>
  <si>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</si>
  <si>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</si>
  <si>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</si>
  <si>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</si>
  <si>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</si>
  <si>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</si>
  <si>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</si>
  <si>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</si>
  <si>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</si>
  <si>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</si>
  <si>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</si>
  <si>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</si>
  <si>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</si>
  <si>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</si>
  <si>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</si>
  <si>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</si>
  <si>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</si>
  <si>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</si>
  <si>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</si>
  <si>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</si>
  <si>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</si>
  <si>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</si>
  <si>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</si>
  <si>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</si>
  <si>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</si>
  <si>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</si>
  <si>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</si>
  <si>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</si>
  <si>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</si>
  <si>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</si>
  <si>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</si>
  <si>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</si>
  <si>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</si>
  <si>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</si>
  <si>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</si>
  <si>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</si>
  <si>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</si>
  <si>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</si>
  <si>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</si>
  <si>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</si>
  <si>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</si>
  <si>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</si>
  <si>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</si>
  <si>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</si>
  <si>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</si>
  <si>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</si>
  <si>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</si>
  <si>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</si>
  <si>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</si>
  <si>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</si>
  <si>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</si>
  <si>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</si>
  <si>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</si>
  <si>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</si>
  <si>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</si>
  <si>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</si>
  <si>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</si>
  <si>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</si>
  <si>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</si>
  <si>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</si>
  <si>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</si>
  <si>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</si>
  <si>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</si>
  <si>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</si>
  <si>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</si>
  <si>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</si>
  <si>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</si>
  <si>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</si>
  <si>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</si>
  <si>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</si>
  <si>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</si>
  <si>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</si>
  <si>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</si>
  <si>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</si>
  <si>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</si>
  <si>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</si>
  <si>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</si>
  <si>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</si>
  <si>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</si>
  <si>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</si>
  <si>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</si>
  <si>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</si>
  <si>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</si>
  <si>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</si>
  <si>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</si>
  <si>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</si>
  <si>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</si>
  <si>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</si>
  <si>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</si>
  <si>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</si>
  <si>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</si>
  <si>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</si>
  <si>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</si>
  <si>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</si>
  <si>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</si>
  <si>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</si>
  <si>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</si>
  <si>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</si>
  <si>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</si>
  <si>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</si>
  <si>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</si>
  <si>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</si>
  <si>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</si>
  <si>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</si>
  <si>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</si>
  <si>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</si>
  <si>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</si>
  <si>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</si>
  <si>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</si>
  <si>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</si>
  <si>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</si>
  <si>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</si>
  <si>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</si>
  <si>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</si>
  <si>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</si>
  <si>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</si>
  <si>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</si>
  <si>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</si>
  <si>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</si>
  <si>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</si>
  <si>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</si>
  <si>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</si>
  <si>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</si>
  <si>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</si>
  <si>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</si>
  <si>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</si>
  <si>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</si>
  <si>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</si>
  <si>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</si>
  <si>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</si>
  <si>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</si>
  <si>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</si>
  <si>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</si>
  <si>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</si>
  <si>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</si>
  <si>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</si>
  <si>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</si>
  <si>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</si>
  <si>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</si>
  <si>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</si>
  <si>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</si>
  <si>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</si>
  <si>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</si>
  <si>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</si>
  <si>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</si>
  <si>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</si>
  <si>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</si>
  <si>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</si>
  <si>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</si>
  <si>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</si>
  <si>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</si>
  <si>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</si>
  <si>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</si>
  <si>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</si>
  <si>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</si>
  <si>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</si>
  <si>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</si>
  <si>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</si>
  <si>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</si>
  <si>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</si>
  <si>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</si>
  <si>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</si>
  <si>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</si>
  <si>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</si>
  <si>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</si>
  <si>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</si>
  <si>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</si>
  <si>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</si>
  <si>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</si>
  <si>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</si>
  <si>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</si>
  <si>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</si>
  <si>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</si>
  <si>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</si>
  <si>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</si>
  <si>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</si>
  <si>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</si>
  <si>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</si>
  <si>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</si>
  <si>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</si>
  <si>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</si>
  <si>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</si>
  <si>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</si>
  <si>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</si>
  <si>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</si>
  <si>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</si>
  <si>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</si>
  <si>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</si>
  <si>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</si>
  <si>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</si>
  <si>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</si>
  <si>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</si>
  <si>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</si>
  <si>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</si>
  <si>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</si>
  <si>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</si>
  <si>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</si>
  <si>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</si>
  <si>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</si>
  <si>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</si>
  <si>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</si>
  <si>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</si>
  <si>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</si>
  <si>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</si>
  <si>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</si>
  <si>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</si>
  <si>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</si>
  <si>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</si>
  <si>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</si>
  <si>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</si>
  <si>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</si>
  <si>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</si>
  <si>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</si>
  <si>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</si>
  <si>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</si>
  <si>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</si>
  <si>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</si>
  <si>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</si>
  <si>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</si>
  <si>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</si>
  <si>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</si>
  <si>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</si>
  <si>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</si>
  <si>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</si>
  <si>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</si>
  <si>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</si>
  <si>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</si>
  <si>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</si>
  <si>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</si>
  <si>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</si>
  <si>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</si>
  <si>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</si>
  <si>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</si>
  <si>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</si>
  <si>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</si>
  <si>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</si>
  <si>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</si>
  <si>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</si>
  <si>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</si>
  <si>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</si>
  <si>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</si>
  <si>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</si>
  <si>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</si>
  <si>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</si>
  <si>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</si>
  <si>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</si>
  <si>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</si>
  <si>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</si>
  <si>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</si>
  <si>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</si>
  <si>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</si>
  <si>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</si>
  <si>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</si>
  <si>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</si>
  <si>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</si>
  <si>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</si>
  <si>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</si>
  <si>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</si>
  <si>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</si>
  <si>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</si>
  <si>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</si>
  <si>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</si>
  <si>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</si>
  <si>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</si>
  <si>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</si>
  <si>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</si>
  <si>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</si>
  <si>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</si>
  <si>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</si>
  <si>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</si>
  <si>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</si>
  <si>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</si>
  <si>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</si>
  <si>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</si>
  <si>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</si>
  <si>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</si>
  <si>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</si>
  <si>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</si>
  <si>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</si>
  <si>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</si>
  <si>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</si>
  <si>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</si>
  <si>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</si>
  <si>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</si>
  <si>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</si>
  <si>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</si>
  <si>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</si>
  <si>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</si>
  <si>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</si>
  <si>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</si>
  <si>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</si>
  <si>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</si>
  <si>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</si>
  <si>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</si>
  <si>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</si>
  <si>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</si>
  <si>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</si>
  <si>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</si>
  <si>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</si>
  <si>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</si>
  <si>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</si>
  <si>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</si>
  <si>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</si>
  <si>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</si>
  <si>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</si>
  <si>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</si>
  <si>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</si>
  <si>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</si>
  <si>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</si>
  <si>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</si>
  <si>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</si>
  <si>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</si>
  <si>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</si>
  <si>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</si>
  <si>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</si>
  <si>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</si>
  <si>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</si>
  <si>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</si>
  <si>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</si>
  <si>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</si>
  <si>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</si>
  <si>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</si>
  <si>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</si>
  <si>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</si>
  <si>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</si>
  <si>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</si>
  <si>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</si>
  <si>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</si>
  <si>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</si>
  <si>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</si>
  <si>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</si>
  <si>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</si>
  <si>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</si>
  <si>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</si>
  <si>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</si>
  <si>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</si>
  <si>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</si>
  <si>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</si>
  <si>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</si>
  <si>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</si>
  <si>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</si>
  <si>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</si>
  <si>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</si>
  <si>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</si>
  <si>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</si>
  <si>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</si>
  <si>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</si>
  <si>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</si>
  <si>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</si>
  <si>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</si>
  <si>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</si>
  <si>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</si>
  <si>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</si>
  <si>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</si>
  <si>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</si>
  <si>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</si>
  <si>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</si>
  <si>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</si>
  <si>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</si>
  <si>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</si>
  <si>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</si>
  <si>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</si>
  <si>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</si>
  <si>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</si>
  <si>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</si>
  <si>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</si>
  <si>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</si>
  <si>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</si>
  <si>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</si>
  <si>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</si>
  <si>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</si>
  <si>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</si>
  <si>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</si>
  <si>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</si>
  <si>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</si>
  <si>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</si>
  <si>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</si>
  <si>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</si>
  <si>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</si>
  <si>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</si>
  <si>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</si>
  <si>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</si>
  <si>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</si>
  <si>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</si>
  <si>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</si>
  <si>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</si>
  <si>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</si>
  <si>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</si>
  <si>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</si>
  <si>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</si>
  <si>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</si>
  <si>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</si>
  <si>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</si>
  <si>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</si>
  <si>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</si>
  <si>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</si>
  <si>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</si>
  <si>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</si>
  <si>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</si>
  <si>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</si>
  <si>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</si>
  <si>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</si>
  <si>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</si>
  <si>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</si>
  <si>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</si>
  <si>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</si>
  <si>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</si>
  <si>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</si>
  <si>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</si>
  <si>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</si>
  <si>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</si>
  <si>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</si>
  <si>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</si>
  <si>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</si>
  <si>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</si>
  <si>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</si>
  <si>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</si>
  <si>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</si>
  <si>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</si>
  <si>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</si>
  <si>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</si>
  <si>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</si>
  <si>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</si>
  <si>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</si>
  <si>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</si>
  <si>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</si>
  <si>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</si>
  <si>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</si>
  <si>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</si>
  <si>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</si>
  <si>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</si>
  <si>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</si>
  <si>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</si>
  <si>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</si>
  <si>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</si>
  <si>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</si>
  <si>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</si>
  <si>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</si>
  <si>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</si>
  <si>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</si>
  <si>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</si>
  <si>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</si>
  <si>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</si>
  <si>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</si>
  <si>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</si>
  <si>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</si>
  <si>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</si>
  <si>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</si>
  <si>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</si>
  <si>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</si>
  <si>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</si>
  <si>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</si>
  <si>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</si>
  <si>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</si>
  <si>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</si>
  <si>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</si>
  <si>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</si>
  <si>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</si>
  <si>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</si>
  <si>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</si>
  <si>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</si>
  <si>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</si>
  <si>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</si>
  <si>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</si>
  <si>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</si>
  <si>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</si>
  <si>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</si>
  <si>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</si>
  <si>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</si>
  <si>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</si>
  <si>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</si>
  <si>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</si>
  <si>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</si>
  <si>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</si>
  <si>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</si>
  <si>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</si>
  <si>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</si>
  <si>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</si>
  <si>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</si>
  <si>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</si>
  <si>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</si>
  <si>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</si>
  <si>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</si>
  <si>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</si>
  <si>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</si>
  <si>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</si>
  <si>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</si>
  <si>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</si>
  <si>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</si>
  <si>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</si>
  <si>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</si>
  <si>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</si>
  <si>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</si>
  <si>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</si>
  <si>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</si>
  <si>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</si>
  <si>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</si>
  <si>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</si>
  <si>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</si>
  <si>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</si>
  <si>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</si>
  <si>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</si>
  <si>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</si>
  <si>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</si>
  <si>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</si>
  <si>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</si>
  <si>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</si>
  <si>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</si>
  <si>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</si>
  <si>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</si>
  <si>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</si>
  <si>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</si>
  <si>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</si>
  <si>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</si>
  <si>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</si>
  <si>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</si>
  <si>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</si>
  <si>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</si>
  <si>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</si>
  <si>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</si>
  <si>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</si>
  <si>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</si>
  <si>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</si>
  <si>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</si>
  <si>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</si>
  <si>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</si>
  <si>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</si>
  <si>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</si>
  <si>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</si>
  <si>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</si>
  <si>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</si>
  <si>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</si>
  <si>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</si>
  <si>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</si>
  <si>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</si>
  <si>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</si>
  <si>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</si>
  <si>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</si>
  <si>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</si>
  <si>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</si>
  <si>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</si>
  <si>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</si>
  <si>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</si>
  <si>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</si>
  <si>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</si>
  <si>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</si>
  <si>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</si>
  <si>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</si>
  <si>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</si>
  <si>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</si>
  <si>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</si>
  <si>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</si>
  <si>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</si>
  <si>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</si>
  <si>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</si>
  <si>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</si>
  <si>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</si>
  <si>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</si>
  <si>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</si>
  <si>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</si>
  <si>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</si>
  <si>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</si>
  <si>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</si>
  <si>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</si>
  <si>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</si>
  <si>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</si>
  <si>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</si>
  <si>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</si>
  <si>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</si>
  <si>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</si>
  <si>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</si>
  <si>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</si>
  <si>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</si>
  <si>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</si>
  <si>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</si>
  <si>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</si>
  <si>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</si>
  <si>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</si>
  <si>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</si>
  <si>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</si>
  <si>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</si>
  <si>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</si>
  <si>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</si>
  <si>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</si>
  <si>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</si>
  <si>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</si>
  <si>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</si>
  <si>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</si>
  <si>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</si>
  <si>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</si>
  <si>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</si>
  <si>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</si>
  <si>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</si>
  <si>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</si>
  <si>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</si>
  <si>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</si>
  <si>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</si>
  <si>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</si>
  <si>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</si>
  <si>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</si>
  <si>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</si>
  <si>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</si>
  <si>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</si>
  <si>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</si>
  <si>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</si>
  <si>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</si>
  <si>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</si>
  <si>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</si>
  <si>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</si>
  <si>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</si>
  <si>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</si>
  <si>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</si>
  <si>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</si>
  <si>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</si>
  <si>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</si>
  <si>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</si>
  <si>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</si>
  <si>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</si>
  <si>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</si>
  <si>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</si>
  <si>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</si>
  <si>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</si>
  <si>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</si>
  <si>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</si>
  <si>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</si>
  <si>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</si>
  <si>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</si>
  <si>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</si>
  <si>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</si>
  <si>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</si>
  <si>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</si>
  <si>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</si>
  <si>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</si>
  <si>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</si>
  <si>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</si>
  <si>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</si>
  <si>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</si>
  <si>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</si>
  <si>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</si>
  <si>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</si>
  <si>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</si>
  <si>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</si>
  <si>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</si>
  <si>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</si>
  <si>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</si>
  <si>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</si>
  <si>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</si>
  <si>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</si>
  <si>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</si>
  <si>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</si>
  <si>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</si>
  <si>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</si>
  <si>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</si>
  <si>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</si>
  <si>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</si>
  <si>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</si>
  <si>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</si>
  <si>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</si>
  <si>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</si>
  <si>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</si>
  <si>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</si>
  <si>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</si>
  <si>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</si>
  <si>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</si>
  <si>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</si>
  <si>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</si>
  <si>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</si>
  <si>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</si>
  <si>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</si>
  <si>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</si>
  <si>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</si>
  <si>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</si>
  <si>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</si>
  <si>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</si>
  <si>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</si>
  <si>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</si>
  <si>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</si>
  <si>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</si>
  <si>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</si>
  <si>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</si>
  <si>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</si>
  <si>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</si>
  <si>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</si>
  <si>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</si>
  <si>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</si>
  <si>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</si>
  <si>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</si>
  <si>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</si>
  <si>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</si>
  <si>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</si>
  <si>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</si>
  <si>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</si>
  <si>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</si>
  <si>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</si>
  <si>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</si>
  <si>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</si>
  <si>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</si>
  <si>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</si>
  <si>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</si>
  <si>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</si>
  <si>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</si>
  <si>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</si>
  <si>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</si>
  <si>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</si>
  <si>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</si>
  <si>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</si>
  <si>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</si>
  <si>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</si>
  <si>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</si>
  <si>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</si>
  <si>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</si>
  <si>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</si>
  <si>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</si>
  <si>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</si>
  <si>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</si>
  <si>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</si>
  <si>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</si>
  <si>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</si>
  <si>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</si>
  <si>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</si>
  <si>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</si>
  <si>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</si>
  <si>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</si>
  <si>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</si>
  <si>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</si>
  <si>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</si>
  <si>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</si>
  <si>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</si>
  <si>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</si>
  <si>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</si>
  <si>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</si>
  <si>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</si>
  <si>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</si>
  <si>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</si>
  <si>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</si>
  <si>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</si>
  <si>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</si>
  <si>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</si>
  <si>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</si>
  <si>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</si>
  <si>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</si>
  <si>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</si>
  <si>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</si>
  <si>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</si>
  <si>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</si>
  <si>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</si>
  <si>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</si>
  <si>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</si>
  <si>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</si>
  <si>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</si>
  <si>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</si>
  <si>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</si>
  <si>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</si>
  <si>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</si>
  <si>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</si>
  <si>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</si>
  <si>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</si>
  <si>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</si>
  <si>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</si>
  <si>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</si>
  <si>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</si>
  <si>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</si>
  <si>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</si>
  <si>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</si>
  <si>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</si>
  <si>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</si>
  <si>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</si>
  <si>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</si>
  <si>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</si>
  <si>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</si>
  <si>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</si>
  <si>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</si>
  <si>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</si>
  <si>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</si>
  <si>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</si>
  <si>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</si>
  <si>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</si>
  <si>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</si>
  <si>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</si>
  <si>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</si>
  <si>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</si>
  <si>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</si>
  <si>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</si>
  <si>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</si>
  <si>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</si>
  <si>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</si>
  <si>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</si>
  <si>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</si>
  <si>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</si>
  <si>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</si>
  <si>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</si>
  <si>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</si>
  <si>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</si>
  <si>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</si>
  <si>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</si>
  <si>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</si>
  <si>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</si>
  <si>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</si>
  <si>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</si>
  <si>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</si>
  <si>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</si>
  <si>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</si>
  <si>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</si>
  <si>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</si>
  <si>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</si>
  <si>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</si>
  <si>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</si>
  <si>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</si>
  <si>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</si>
  <si>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</si>
  <si>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</si>
  <si>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</si>
  <si>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</si>
  <si>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</si>
  <si>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</si>
  <si>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</si>
  <si>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</si>
  <si>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</si>
  <si>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</si>
  <si>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</si>
  <si>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</si>
  <si>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</si>
  <si>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</si>
  <si>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</si>
  <si>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</si>
  <si>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</si>
  <si>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</si>
  <si>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</si>
  <si>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</si>
  <si>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</si>
  <si>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</si>
  <si>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</si>
  <si>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</si>
  <si>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</si>
  <si>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</si>
  <si>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</si>
  <si>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</si>
  <si>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</si>
  <si>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</si>
  <si>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</si>
  <si>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</si>
  <si>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</si>
  <si>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</si>
  <si>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</si>
  <si>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</si>
  <si>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</si>
  <si>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</si>
  <si>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</si>
  <si>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</si>
  <si>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</si>
  <si>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</si>
  <si>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</si>
  <si>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</si>
  <si>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</si>
  <si>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</si>
  <si>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</si>
  <si>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</si>
  <si>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</si>
  <si>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</si>
  <si>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</si>
  <si>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</si>
  <si>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</si>
  <si>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</si>
  <si>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</si>
  <si>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</si>
  <si>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</si>
  <si>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</si>
  <si>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</si>
  <si>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</si>
  <si>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</si>
  <si>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</si>
  <si>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</si>
  <si>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</si>
  <si>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</si>
  <si>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</si>
  <si>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</si>
  <si>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</si>
  <si>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</si>
  <si>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</si>
  <si>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</si>
  <si>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</si>
  <si>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</si>
  <si>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</si>
  <si>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</si>
  <si>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</si>
  <si>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</si>
  <si>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</si>
  <si>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</si>
  <si>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</si>
  <si>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</si>
  <si>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</si>
  <si>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</si>
  <si>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</si>
  <si>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</si>
  <si>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</si>
  <si>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</si>
  <si>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</si>
  <si>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</si>
  <si>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</si>
  <si>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</si>
  <si>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</si>
  <si>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</si>
  <si>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</si>
  <si>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</si>
  <si>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</si>
  <si>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</si>
  <si>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</si>
  <si>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</si>
  <si>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</si>
  <si>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</si>
  <si>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</si>
  <si>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</si>
  <si>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</si>
  <si>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</si>
  <si>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</si>
  <si>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</si>
  <si>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</si>
  <si>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</si>
  <si>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</si>
  <si>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</si>
  <si>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</si>
  <si>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</si>
  <si>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</si>
  <si>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</si>
  <si>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</si>
  <si>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</si>
  <si>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</si>
  <si>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</si>
  <si>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</si>
  <si>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</si>
  <si>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</si>
  <si>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</si>
  <si>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</si>
  <si>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</si>
  <si>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</si>
  <si>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</si>
  <si>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</si>
  <si>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</si>
  <si>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</si>
  <si>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</si>
  <si>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</si>
  <si>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</si>
  <si>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</si>
  <si>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</si>
  <si>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</si>
  <si>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</si>
  <si>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</si>
  <si>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</si>
  <si>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</si>
  <si>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</si>
  <si>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</si>
  <si>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</si>
  <si>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</si>
  <si>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</si>
  <si>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</si>
  <si>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</si>
  <si>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</si>
  <si>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</si>
  <si>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</si>
  <si>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</si>
  <si>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</si>
  <si>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</si>
  <si>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</si>
  <si>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</si>
  <si>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</si>
  <si>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</si>
  <si>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</si>
  <si>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</si>
  <si>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</si>
  <si>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</si>
  <si>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</si>
  <si>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</si>
  <si>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</si>
  <si>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</si>
  <si>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</si>
  <si>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</si>
  <si>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</si>
  <si>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</si>
  <si>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</si>
  <si>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</si>
  <si>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</si>
  <si>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</si>
  <si>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</si>
  <si>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</si>
  <si>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</si>
  <si>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</si>
  <si>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</si>
  <si>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</si>
  <si>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</si>
  <si>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</si>
  <si>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</si>
  <si>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</si>
  <si>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</si>
  <si>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</si>
  <si>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</si>
  <si>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</si>
  <si>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</si>
  <si>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</si>
  <si>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</si>
  <si>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</si>
  <si>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</si>
  <si>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</si>
  <si>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</si>
  <si>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</si>
  <si>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</si>
  <si>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</si>
  <si>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</si>
  <si>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</si>
  <si>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</si>
  <si>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</si>
  <si>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</si>
  <si>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</si>
  <si>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</si>
  <si>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</si>
  <si>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</si>
  <si>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</si>
  <si>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</si>
  <si>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</si>
  <si>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</si>
  <si>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</si>
  <si>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</si>
  <si>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</si>
  <si>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</si>
  <si>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</si>
  <si>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</si>
  <si>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</si>
  <si>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</si>
  <si>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</si>
  <si>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</si>
  <si>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</si>
  <si>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</si>
  <si>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</si>
  <si>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</si>
  <si>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</si>
  <si>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</si>
  <si>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</si>
  <si>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</si>
  <si>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</si>
  <si>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</si>
  <si>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</si>
  <si>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</si>
  <si>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</si>
  <si>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</si>
  <si>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</si>
  <si>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</si>
  <si>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</si>
  <si>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</si>
  <si>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</si>
  <si>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</si>
  <si>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</si>
  <si>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</si>
  <si>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</si>
  <si>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</si>
  <si>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</si>
  <si>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</si>
  <si>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</si>
  <si>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</si>
  <si>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</si>
  <si>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</si>
  <si>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</si>
  <si>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</si>
  <si>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</si>
  <si>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</si>
  <si>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</si>
  <si>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</si>
  <si>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</si>
  <si>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</si>
  <si>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</si>
  <si>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</si>
  <si>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</si>
  <si>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</si>
  <si>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</si>
  <si>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</si>
  <si>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</si>
  <si>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</si>
  <si>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</si>
  <si>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</si>
  <si>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</si>
  <si>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</si>
  <si>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</si>
  <si>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</si>
  <si>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</si>
  <si>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</si>
  <si>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</si>
  <si>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</si>
  <si>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</si>
  <si>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</si>
  <si>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</si>
  <si>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</si>
  <si>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</si>
  <si>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</si>
  <si>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</si>
  <si>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</si>
  <si>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</si>
  <si>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</si>
  <si>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</si>
  <si>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</si>
  <si>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</si>
  <si>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</si>
  <si>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</si>
  <si>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</si>
  <si>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</si>
  <si>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</si>
  <si>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</si>
  <si>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</si>
  <si>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</si>
  <si>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</si>
  <si>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</si>
  <si>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</si>
  <si>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</si>
  <si>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</si>
  <si>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</si>
  <si>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</si>
  <si>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</si>
  <si>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</si>
  <si>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</si>
  <si>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</si>
  <si>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</si>
  <si>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</si>
  <si>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</si>
  <si>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</si>
  <si>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</si>
  <si>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</si>
  <si>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</si>
  <si>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</si>
  <si>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</si>
  <si>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</si>
  <si>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</si>
  <si>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</si>
  <si>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</si>
  <si>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</si>
  <si>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</si>
  <si>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</si>
  <si>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</si>
  <si>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</si>
  <si>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</si>
  <si>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</si>
  <si>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</si>
  <si>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</si>
  <si>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</si>
  <si>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</si>
  <si>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</si>
  <si>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</si>
  <si>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</si>
  <si>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</si>
  <si>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</si>
  <si>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</si>
  <si>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</si>
  <si>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</si>
  <si>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</si>
  <si>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</si>
  <si>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</si>
  <si>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</si>
  <si>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</si>
  <si>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</si>
  <si>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</si>
  <si>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</si>
  <si>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</si>
  <si>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</si>
  <si>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</si>
  <si>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</si>
  <si>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</si>
  <si>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</si>
  <si>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</si>
  <si>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</si>
  <si>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</si>
  <si>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</si>
  <si>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</si>
  <si>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</si>
  <si>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</si>
  <si>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</si>
  <si>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</si>
  <si>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</si>
  <si>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</si>
  <si>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</si>
  <si>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</si>
  <si>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</si>
  <si>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</si>
  <si>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</si>
  <si>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</si>
  <si>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</si>
  <si>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</si>
  <si>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</si>
  <si>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</si>
  <si>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</si>
  <si>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</si>
  <si>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</si>
  <si>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</si>
  <si>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</si>
  <si>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</si>
  <si>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</si>
  <si>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</si>
  <si>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</si>
  <si>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</si>
  <si>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</si>
  <si>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</si>
  <si>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</si>
  <si>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</si>
  <si>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</si>
  <si>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</si>
  <si>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</si>
  <si>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</si>
  <si>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</si>
  <si>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</si>
  <si>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</si>
  <si>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</si>
  <si>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</si>
  <si>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</si>
  <si>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</si>
  <si>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</si>
  <si>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</si>
  <si>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</si>
  <si>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</si>
  <si>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</si>
  <si>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</si>
  <si>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</si>
  <si>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</si>
  <si>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</si>
  <si>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</si>
  <si>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</si>
  <si>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</si>
  <si>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</si>
  <si>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</si>
  <si>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</si>
  <si>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</si>
  <si>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</si>
  <si>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</si>
  <si>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</si>
  <si>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</si>
  <si>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</si>
  <si>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</si>
  <si>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</si>
  <si>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</si>
  <si>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</si>
  <si>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</si>
  <si>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</si>
  <si>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</si>
  <si>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</si>
  <si>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</si>
  <si>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</si>
  <si>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</si>
  <si>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</si>
  <si>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</si>
  <si>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</si>
  <si>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</si>
  <si>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</si>
  <si>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</si>
  <si>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</si>
  <si>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</si>
  <si>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</si>
  <si>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</si>
  <si>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</si>
  <si>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</si>
  <si>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</si>
  <si>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</si>
  <si>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</si>
  <si>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</si>
  <si>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</si>
  <si>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</si>
  <si>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</si>
  <si>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</si>
  <si>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</si>
  <si>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</si>
  <si>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</si>
  <si>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</si>
  <si>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</si>
  <si>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</si>
  <si>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</si>
  <si>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</si>
  <si>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</si>
  <si>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</si>
  <si>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</si>
  <si>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</si>
  <si>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</si>
  <si>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</si>
  <si>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</si>
  <si>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</si>
  <si>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</si>
  <si>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</si>
  <si>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</si>
  <si>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</si>
  <si>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</si>
  <si>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</si>
  <si>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</si>
  <si>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</si>
  <si>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</si>
  <si>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</si>
  <si>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</si>
  <si>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</si>
  <si>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</si>
  <si>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</si>
  <si>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</si>
  <si>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</si>
  <si>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</si>
  <si>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</si>
  <si>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</si>
  <si>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</si>
  <si>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</si>
  <si>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</si>
  <si>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</si>
  <si>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</si>
  <si>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</si>
  <si>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</si>
  <si>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</si>
  <si>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</si>
  <si>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</si>
  <si>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</si>
  <si>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</si>
  <si>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</si>
  <si>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</si>
  <si>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</si>
  <si>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</si>
  <si>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</si>
  <si>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</si>
  <si>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</si>
  <si>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</si>
  <si>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</si>
  <si>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</si>
  <si>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</si>
  <si>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</si>
  <si>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</si>
  <si>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</si>
  <si>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</si>
  <si>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</si>
  <si>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</si>
  <si>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</si>
  <si>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</si>
  <si>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</si>
  <si>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</si>
  <si>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</si>
  <si>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</si>
  <si>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</si>
  <si>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</si>
  <si>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</si>
  <si>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</si>
  <si>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</si>
  <si>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</si>
  <si>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</si>
  <si>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</si>
  <si>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</si>
  <si>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</si>
  <si>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</si>
  <si>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</si>
  <si>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</si>
  <si>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</si>
  <si>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</si>
  <si>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</si>
  <si>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</si>
  <si>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</si>
  <si>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</si>
  <si>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</si>
  <si>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</si>
  <si>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</si>
  <si>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</si>
  <si>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</si>
  <si>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</si>
  <si>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</si>
  <si>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</si>
  <si>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</si>
  <si>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</si>
  <si>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</si>
  <si>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</si>
  <si>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</si>
  <si>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</si>
  <si>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</si>
  <si>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</si>
  <si>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</si>
  <si>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</si>
  <si>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</si>
  <si>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</si>
  <si>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</si>
  <si>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</si>
  <si>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</si>
  <si>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</si>
  <si>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</si>
  <si>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</si>
  <si>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</si>
  <si>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</si>
  <si>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</si>
  <si>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</si>
  <si>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</si>
  <si>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</si>
  <si>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</si>
  <si>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</si>
  <si>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</si>
  <si>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</si>
  <si>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</si>
  <si>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</si>
  <si>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</si>
  <si>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</si>
  <si>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</si>
  <si>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</si>
  <si>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</si>
  <si>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</si>
  <si>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</si>
  <si>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</si>
  <si>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</si>
  <si>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</si>
  <si>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</si>
  <si>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</si>
  <si>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</si>
  <si>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</si>
  <si>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</si>
  <si>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</si>
  <si>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</si>
  <si>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</si>
  <si>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</si>
  <si>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</si>
  <si>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</si>
  <si>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</si>
  <si>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</si>
  <si>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</si>
  <si>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</si>
  <si>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</si>
  <si>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</si>
  <si>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</si>
  <si>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</si>
  <si>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</si>
  <si>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</si>
  <si>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</si>
  <si>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</si>
  <si>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</si>
  <si>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</si>
  <si>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</si>
  <si>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</si>
  <si>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</si>
  <si>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</si>
  <si>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</si>
  <si>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</si>
  <si>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</si>
  <si>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</si>
  <si>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</si>
  <si>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</si>
  <si>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</si>
  <si>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</si>
  <si>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</si>
  <si>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</si>
  <si>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</si>
  <si>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</si>
  <si>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</si>
  <si>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</si>
  <si>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</si>
  <si>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</si>
  <si>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</si>
  <si>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</si>
  <si>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</si>
  <si>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</si>
  <si>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</si>
  <si>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</si>
  <si>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</si>
  <si>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</si>
  <si>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</si>
  <si>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</si>
  <si>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</si>
  <si>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</si>
  <si>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</si>
  <si>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</si>
  <si>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</si>
  <si>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</si>
  <si>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</si>
  <si>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</si>
  <si>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</si>
  <si>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</si>
  <si>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</si>
  <si>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</si>
  <si>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</si>
  <si>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</si>
  <si>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</si>
  <si>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</si>
  <si>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</si>
  <si>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</si>
  <si>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</si>
  <si>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</si>
  <si>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</si>
  <si>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</si>
  <si>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</si>
  <si>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</si>
  <si>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</si>
  <si>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</si>
  <si>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</si>
  <si>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</si>
  <si>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</si>
  <si>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</si>
  <si>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</si>
  <si>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</si>
  <si>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</si>
  <si>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</si>
  <si>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</si>
  <si>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</si>
  <si>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</si>
  <si>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</si>
  <si>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</si>
  <si>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</si>
  <si>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</si>
  <si>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</si>
  <si>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</si>
  <si>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</si>
  <si>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</si>
  <si>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</si>
  <si>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</si>
  <si>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</si>
  <si>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</si>
  <si>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</si>
  <si>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</si>
  <si>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</si>
  <si>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</si>
  <si>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</si>
  <si>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</si>
  <si>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</si>
  <si>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</si>
  <si>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</si>
  <si>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</si>
  <si>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</si>
  <si>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</si>
  <si>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</si>
  <si>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</si>
  <si>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</si>
  <si>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</si>
  <si>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</si>
  <si>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</si>
  <si>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</si>
  <si>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</si>
  <si>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</si>
  <si>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</si>
  <si>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</si>
  <si>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</si>
  <si>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</si>
  <si>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</si>
  <si>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</si>
  <si>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</si>
  <si>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</si>
  <si>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</si>
  <si>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</si>
  <si>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</si>
  <si>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</si>
  <si>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</si>
  <si>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</si>
  <si>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</si>
  <si>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</si>
  <si>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</si>
  <si>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</si>
  <si>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</si>
  <si>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</si>
  <si>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</si>
  <si>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</si>
  <si>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</si>
  <si>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</si>
  <si>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</si>
  <si>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</si>
  <si>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</si>
  <si>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</si>
  <si>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</si>
  <si>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</si>
  <si>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</si>
  <si>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</si>
  <si>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</si>
  <si>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</si>
  <si>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</si>
  <si>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</si>
  <si>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</si>
  <si>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</si>
  <si>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</si>
  <si>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</si>
  <si>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</si>
  <si>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</si>
  <si>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</si>
  <si>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</si>
  <si>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</si>
  <si>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</si>
  <si>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</si>
  <si>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</si>
  <si>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</si>
  <si>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</si>
  <si>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</si>
  <si>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</si>
  <si>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</si>
  <si>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</si>
  <si>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</si>
  <si>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</si>
  <si>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</si>
  <si>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</si>
  <si>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</si>
  <si>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</si>
  <si>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</si>
  <si>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</si>
  <si>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</si>
  <si>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</si>
  <si>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</si>
  <si>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</si>
  <si>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</si>
  <si>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</si>
  <si>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</si>
  <si>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</si>
  <si>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</si>
  <si>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</si>
  <si>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</si>
  <si>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</si>
  <si>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</si>
  <si>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</si>
  <si>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</si>
  <si>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</si>
  <si>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</si>
  <si>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</si>
  <si>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</si>
  <si>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</si>
  <si>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</si>
  <si>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</si>
  <si>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</si>
  <si>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</si>
  <si>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</si>
  <si>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</si>
  <si>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</si>
  <si>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</si>
  <si>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</si>
  <si>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</si>
  <si>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</si>
  <si>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</si>
  <si>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</si>
  <si>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</si>
  <si>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</si>
  <si>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</si>
  <si>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</si>
  <si>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</si>
  <si>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</si>
  <si>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</si>
  <si>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</si>
  <si>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</si>
  <si>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</si>
  <si>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</si>
  <si>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</si>
  <si>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</si>
  <si>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</si>
  <si>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</si>
  <si>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</si>
  <si>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</si>
  <si>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</si>
  <si>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</si>
  <si>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</si>
  <si>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</si>
  <si>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</si>
  <si>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</si>
  <si>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</si>
  <si>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</si>
  <si>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</si>
  <si>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</si>
  <si>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</si>
  <si>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</si>
  <si>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</si>
  <si>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</si>
  <si>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</si>
  <si>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</si>
  <si>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</si>
  <si>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</si>
  <si>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</si>
  <si>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</si>
  <si>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</si>
  <si>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</si>
  <si>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</si>
  <si>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</si>
  <si>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</si>
  <si>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</si>
  <si>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</si>
  <si>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</si>
  <si>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</si>
  <si>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</si>
  <si>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</si>
  <si>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</si>
  <si>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</si>
  <si>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</si>
  <si>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</si>
  <si>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</si>
  <si>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</si>
  <si>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</si>
  <si>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</si>
  <si>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</si>
  <si>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</si>
  <si>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</si>
  <si>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</si>
  <si>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</si>
  <si>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</si>
  <si>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</si>
  <si>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</si>
  <si>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</si>
  <si>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</si>
  <si>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</si>
  <si>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</si>
  <si>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</si>
  <si>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</si>
  <si>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</si>
  <si>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</si>
  <si>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</si>
  <si>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</si>
  <si>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</si>
  <si>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</si>
  <si>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</si>
  <si>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</si>
  <si>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</si>
  <si>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</si>
  <si>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</si>
  <si>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</si>
  <si>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</si>
  <si>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</si>
  <si>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</si>
  <si>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</si>
  <si>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</si>
  <si>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</si>
  <si>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</si>
  <si>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</si>
  <si>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</si>
  <si>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</si>
  <si>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</si>
  <si>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</si>
  <si>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</si>
  <si>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</si>
  <si>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</si>
  <si>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</si>
  <si>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</si>
  <si>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</si>
  <si>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</si>
  <si>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</si>
  <si>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</si>
  <si>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</si>
  <si>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</si>
  <si>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</si>
  <si>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</si>
  <si>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</si>
  <si>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</si>
  <si>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</si>
  <si>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</si>
  <si>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</si>
  <si>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</si>
  <si>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</si>
  <si>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</si>
  <si>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</si>
  <si>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</si>
  <si>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</si>
  <si>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</si>
  <si>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</si>
  <si>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</si>
  <si>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</si>
  <si>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</si>
  <si>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</si>
  <si>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</si>
  <si>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</si>
  <si>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</si>
  <si>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</si>
  <si>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</si>
  <si>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</si>
  <si>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</si>
  <si>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</si>
  <si>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</si>
  <si>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</si>
  <si>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</si>
  <si>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</si>
  <si>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</si>
  <si>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</si>
  <si>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</si>
  <si>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</si>
  <si>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</si>
  <si>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</si>
  <si>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</si>
  <si>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</si>
  <si>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</si>
  <si>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</si>
  <si>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</si>
  <si>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</si>
  <si>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</si>
  <si>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</si>
  <si>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</si>
  <si>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</si>
  <si>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</si>
  <si>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</si>
  <si>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</si>
  <si>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</si>
  <si>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</si>
  <si>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</si>
  <si>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</si>
  <si>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</si>
  <si>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</si>
  <si>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</si>
  <si>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</si>
  <si>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</si>
  <si>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</si>
  <si>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</si>
  <si>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</si>
  <si>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</si>
  <si>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</si>
  <si>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</si>
  <si>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</si>
  <si>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</si>
  <si>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</si>
  <si>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</si>
  <si>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</si>
  <si>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</si>
  <si>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</si>
  <si>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</si>
  <si>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</si>
  <si>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</si>
  <si>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</si>
  <si>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</si>
  <si>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</si>
  <si>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</si>
  <si>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</si>
  <si>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</si>
  <si>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</si>
  <si>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</si>
  <si>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</si>
  <si>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</si>
  <si>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</si>
  <si>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</si>
  <si>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</si>
  <si>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</si>
  <si>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</si>
  <si>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</si>
  <si>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</si>
  <si>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</si>
  <si>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</si>
  <si>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</si>
  <si>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</si>
  <si>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</si>
  <si>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</si>
  <si>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</si>
  <si>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</si>
  <si>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</si>
  <si>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</si>
  <si>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</si>
  <si>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</si>
  <si>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</si>
  <si>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</si>
  <si>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</si>
  <si>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</si>
  <si>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</si>
  <si>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</si>
  <si>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</si>
  <si>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</si>
  <si>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</si>
  <si>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</si>
  <si>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</si>
  <si>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</si>
  <si>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</si>
  <si>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</si>
  <si>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</si>
  <si>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</si>
  <si>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</si>
  <si>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</si>
  <si>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</si>
  <si>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</si>
  <si>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</si>
  <si>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</si>
  <si>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</si>
  <si>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</si>
  <si>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</si>
  <si>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</si>
  <si>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</si>
  <si>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</si>
  <si>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</si>
  <si>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</si>
  <si>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</si>
  <si>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</si>
  <si>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</si>
  <si>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</si>
  <si>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</si>
  <si>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</si>
  <si>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</si>
  <si>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</si>
  <si>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</si>
  <si>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</si>
  <si>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</si>
  <si>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</si>
  <si>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</si>
  <si>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</si>
  <si>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</si>
  <si>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</si>
  <si>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</si>
  <si>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</si>
  <si>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</si>
  <si>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</si>
  <si>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</si>
  <si>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</si>
  <si>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</si>
  <si>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</si>
  <si>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</si>
  <si>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</si>
  <si>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</si>
  <si>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</si>
  <si>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</si>
  <si>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</si>
  <si>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</si>
  <si>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</si>
  <si>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</si>
  <si>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</si>
  <si>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</si>
  <si>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</si>
  <si>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</si>
  <si>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</si>
  <si>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</si>
  <si>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</si>
  <si>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</si>
  <si>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</si>
  <si>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</si>
  <si>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</si>
  <si>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</si>
  <si>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</si>
  <si>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</si>
  <si>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</si>
  <si>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</si>
  <si>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</si>
  <si>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</si>
  <si>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</si>
  <si>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</si>
  <si>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</si>
  <si>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</si>
  <si>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</si>
  <si>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</si>
  <si>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</si>
  <si>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</si>
  <si>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</si>
  <si>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</si>
  <si>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</si>
  <si>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</si>
  <si>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</si>
  <si>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</si>
  <si>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</si>
  <si>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</si>
  <si>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</si>
  <si>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</si>
  <si>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</si>
  <si>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</si>
  <si>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</si>
  <si>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</si>
  <si>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</si>
  <si>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</si>
  <si>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</si>
  <si>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</si>
  <si>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</si>
  <si>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</si>
  <si>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</si>
  <si>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</si>
  <si>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</si>
  <si>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</si>
  <si>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</si>
  <si>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</si>
  <si>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</si>
  <si>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</si>
  <si>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</si>
  <si>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</si>
  <si>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</si>
  <si>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</si>
  <si>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</si>
  <si>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</si>
  <si>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</si>
  <si>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</si>
  <si>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</si>
  <si>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</si>
  <si>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</si>
  <si>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</si>
  <si>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</si>
  <si>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</si>
  <si>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</si>
  <si>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</si>
  <si>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</si>
  <si>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</si>
  <si>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</si>
  <si>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</si>
  <si>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</si>
  <si>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</si>
  <si>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</si>
  <si>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</si>
  <si>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</si>
  <si>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</si>
  <si>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</si>
  <si>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</si>
  <si>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</si>
  <si>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</si>
  <si>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</si>
  <si>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</si>
  <si>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</si>
  <si>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</si>
  <si>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</si>
  <si>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</si>
  <si>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</si>
  <si>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</si>
  <si>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</si>
  <si>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</si>
  <si>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</si>
  <si>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</si>
  <si>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</si>
  <si>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</si>
  <si>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</si>
  <si>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</si>
  <si>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</si>
  <si>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</si>
  <si>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</si>
  <si>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</si>
  <si>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</si>
  <si>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</si>
  <si>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</si>
  <si>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</si>
  <si>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</si>
  <si>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</si>
  <si>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</si>
  <si>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</si>
  <si>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</si>
  <si>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</si>
  <si>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</si>
  <si>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</si>
  <si>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</si>
  <si>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</si>
  <si>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</si>
  <si>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</si>
  <si>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</si>
  <si>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</si>
  <si>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</si>
  <si>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</si>
  <si>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</si>
  <si>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</si>
  <si>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</si>
  <si>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</si>
  <si>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</si>
  <si>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</si>
  <si>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</si>
  <si>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</si>
  <si>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</si>
  <si>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</si>
  <si>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</si>
  <si>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</si>
  <si>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</si>
  <si>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</si>
  <si>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</si>
  <si>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</si>
  <si>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</si>
  <si>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</si>
  <si>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</si>
  <si>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</si>
  <si>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</si>
  <si>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</si>
  <si>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</si>
  <si>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</si>
  <si>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</si>
  <si>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</si>
  <si>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</si>
  <si>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</si>
  <si>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</si>
  <si>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</si>
  <si>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</si>
  <si>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</si>
  <si>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</si>
  <si>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</si>
  <si>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</si>
  <si>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</si>
  <si>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</si>
  <si>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</si>
  <si>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</si>
  <si>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</si>
  <si>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</si>
  <si>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</si>
  <si>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</si>
  <si>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</si>
  <si>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</si>
  <si>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</si>
  <si>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</si>
  <si>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</si>
  <si>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</si>
  <si>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</si>
  <si>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</si>
  <si>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</si>
  <si>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</si>
  <si>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</si>
  <si>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</si>
  <si>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</si>
  <si>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</si>
  <si>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</si>
  <si>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</si>
  <si>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</si>
  <si>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</si>
  <si>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</si>
  <si>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</si>
  <si>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</si>
  <si>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</si>
  <si>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</si>
  <si>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</si>
  <si>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</si>
  <si>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</si>
  <si>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</si>
  <si>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</si>
  <si>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</si>
  <si>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</si>
  <si>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</si>
  <si>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</si>
  <si>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</si>
  <si>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</si>
  <si>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</si>
  <si>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</si>
  <si>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</si>
  <si>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</si>
  <si>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</si>
  <si>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</si>
  <si>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</si>
  <si>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</si>
  <si>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</si>
  <si>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</si>
  <si>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</si>
  <si>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</si>
  <si>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</si>
  <si>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</si>
  <si>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</si>
  <si>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</si>
  <si>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</si>
  <si>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</si>
  <si>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</si>
  <si>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</si>
  <si>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</si>
  <si>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</si>
  <si>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</si>
  <si>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</si>
  <si>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</si>
  <si>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</si>
  <si>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</si>
  <si>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</si>
  <si>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</si>
  <si>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</si>
  <si>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</si>
  <si>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</si>
  <si>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</si>
  <si>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</si>
  <si>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</si>
  <si>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</si>
  <si>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</si>
  <si>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</si>
  <si>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</si>
  <si>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</si>
  <si>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</si>
  <si>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</si>
  <si>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</si>
  <si>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</si>
  <si>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</si>
  <si>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</si>
  <si>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</si>
  <si>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</si>
  <si>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</si>
  <si>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</si>
  <si>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</si>
  <si>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</si>
  <si>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</si>
  <si>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</si>
  <si>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</si>
  <si>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</si>
  <si>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</si>
  <si>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</si>
  <si>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</si>
  <si>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</si>
  <si>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</si>
  <si>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</si>
  <si>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</si>
  <si>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</si>
  <si>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</si>
  <si>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</si>
  <si>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</si>
  <si>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</si>
  <si>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</si>
  <si>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</si>
  <si>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</si>
  <si>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</si>
  <si>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</si>
  <si>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</si>
  <si>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</si>
  <si>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</si>
  <si>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</si>
  <si>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</si>
  <si>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</si>
  <si>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</si>
  <si>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</si>
  <si>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</si>
  <si>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</si>
  <si>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</si>
  <si>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</si>
  <si>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</si>
  <si>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</si>
  <si>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</si>
  <si>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</si>
  <si>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</si>
  <si>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</si>
  <si>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</si>
  <si>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</si>
  <si>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</si>
  <si>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</si>
  <si>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</si>
  <si>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</si>
  <si>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</si>
  <si>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</si>
  <si>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</si>
  <si>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</si>
  <si>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</si>
  <si>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</si>
  <si>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</si>
  <si>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</si>
  <si>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</si>
  <si>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</si>
  <si>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</si>
  <si>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</si>
  <si>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</si>
  <si>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</si>
  <si>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</si>
  <si>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</si>
  <si>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</si>
  <si>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</si>
  <si>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</si>
  <si>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</si>
  <si>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</si>
  <si>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</si>
  <si>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</si>
  <si>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</si>
  <si>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</si>
  <si>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</si>
  <si>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</si>
  <si>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</si>
  <si>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</si>
  <si>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</si>
  <si>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</si>
  <si>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</si>
  <si>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</si>
  <si>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</si>
  <si>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</si>
  <si>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</si>
  <si>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</si>
  <si>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</si>
  <si>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</si>
  <si>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</si>
  <si>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</si>
  <si>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</si>
  <si>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</si>
  <si>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</si>
  <si>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</si>
  <si>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</si>
  <si>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</si>
  <si>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</si>
  <si>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</si>
  <si>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</si>
  <si>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</si>
  <si>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</si>
  <si>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</si>
  <si>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</si>
  <si>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</si>
  <si>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</si>
  <si>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</si>
  <si>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</si>
  <si>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</si>
  <si>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</si>
  <si>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</si>
  <si>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</si>
  <si>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</si>
  <si>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</si>
  <si>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</si>
  <si>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</si>
  <si>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</si>
  <si>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</si>
  <si>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</si>
  <si>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</si>
  <si>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</si>
  <si>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</si>
  <si>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</si>
  <si>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</si>
  <si>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</si>
  <si>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</si>
  <si>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</si>
  <si>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</si>
  <si>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</si>
  <si>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</si>
  <si>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</si>
  <si>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</si>
  <si>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</si>
  <si>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</si>
  <si>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</si>
  <si>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</si>
  <si>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</si>
  <si>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</si>
  <si>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</si>
  <si>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</si>
  <si>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</si>
  <si>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</si>
  <si>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</si>
  <si>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</si>
  <si>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</si>
  <si>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</si>
  <si>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</si>
  <si>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</si>
  <si>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</si>
  <si>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</si>
  <si>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</si>
  <si>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</si>
  <si>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</si>
  <si>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</si>
  <si>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</si>
  <si>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</si>
  <si>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</si>
  <si>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</si>
  <si>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</si>
  <si>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</si>
  <si>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</si>
  <si>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</si>
  <si>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</si>
  <si>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</si>
  <si>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</si>
  <si>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</si>
  <si>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</si>
  <si>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</si>
  <si>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</si>
  <si>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</si>
  <si>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</si>
  <si>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</si>
  <si>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</si>
  <si>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</si>
  <si>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</si>
  <si>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</si>
  <si>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</si>
  <si>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</si>
  <si>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</si>
  <si>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</si>
  <si>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</si>
  <si>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</si>
  <si>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</si>
  <si>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</si>
  <si>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</si>
  <si>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</si>
  <si>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</si>
  <si>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</si>
  <si>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</si>
  <si>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</si>
  <si>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</si>
  <si>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</si>
  <si>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</si>
  <si>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</si>
  <si>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</si>
  <si>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</si>
  <si>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</si>
  <si>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</si>
  <si>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</si>
  <si>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</si>
  <si>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</si>
  <si>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</si>
  <si>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</si>
  <si>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</si>
  <si>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</si>
  <si>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</si>
  <si>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</si>
  <si>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</si>
  <si>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</si>
  <si>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</si>
  <si>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</si>
  <si>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</si>
  <si>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</si>
  <si>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</si>
  <si>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</si>
  <si>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</si>
  <si>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</si>
  <si>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</si>
  <si>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</si>
  <si>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</si>
  <si>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</si>
  <si>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</si>
  <si>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</si>
  <si>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</si>
  <si>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</si>
  <si>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</si>
  <si>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</si>
  <si>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</si>
  <si>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</si>
  <si>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</si>
  <si>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</si>
  <si>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</si>
  <si>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</si>
  <si>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</si>
  <si>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</si>
  <si>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</si>
  <si>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</si>
  <si>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</si>
  <si>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</si>
  <si>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</si>
  <si>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</si>
  <si>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</si>
  <si>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</si>
  <si>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</si>
  <si>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</si>
  <si>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</si>
  <si>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</si>
  <si>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</si>
  <si>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</si>
  <si>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</si>
  <si>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</si>
  <si>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</si>
  <si>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</si>
  <si>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</si>
  <si>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</si>
  <si>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</si>
  <si>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</si>
  <si>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</si>
  <si>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</si>
  <si>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</si>
  <si>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</si>
  <si>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</si>
  <si>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</si>
  <si>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</si>
  <si>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</si>
  <si>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</si>
  <si>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</si>
  <si>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</si>
  <si>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</si>
  <si>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</si>
  <si>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</si>
  <si>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</si>
  <si>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</si>
  <si>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</si>
  <si>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</si>
  <si>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</si>
  <si>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</si>
  <si>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</si>
  <si>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</si>
  <si>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</si>
  <si>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</si>
  <si>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</si>
  <si>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</si>
  <si>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</si>
  <si>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</si>
  <si>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</si>
  <si>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</si>
  <si>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</si>
  <si>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</si>
  <si>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</si>
  <si>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</si>
  <si>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</si>
  <si>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</si>
  <si>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</si>
  <si>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</si>
  <si>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</si>
  <si>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</si>
  <si>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</si>
  <si>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</si>
  <si>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</si>
  <si>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</si>
  <si>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</si>
  <si>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</si>
  <si>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</si>
  <si>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</si>
  <si>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</si>
  <si>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</si>
  <si>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</si>
  <si>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</si>
  <si>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</si>
  <si>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</si>
  <si>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</si>
  <si>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</si>
  <si>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</si>
  <si>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</si>
  <si>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</si>
  <si>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</si>
  <si>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</si>
  <si>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</si>
  <si>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</si>
  <si>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</si>
  <si>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</si>
  <si>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</si>
  <si>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</si>
  <si>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</si>
  <si>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</si>
  <si>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</si>
  <si>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</si>
  <si>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</si>
  <si>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</si>
  <si>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</si>
  <si>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</si>
  <si>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</si>
  <si>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</si>
  <si>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</si>
  <si>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</si>
  <si>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</si>
  <si>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</si>
  <si>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</si>
  <si>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</si>
  <si>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</si>
  <si>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</si>
  <si>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</si>
  <si>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</si>
  <si>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</si>
  <si>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</si>
  <si>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</si>
  <si>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</si>
  <si>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</si>
  <si>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</si>
  <si>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</si>
  <si>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</si>
  <si>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</si>
  <si>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</si>
  <si>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</si>
  <si>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</si>
  <si>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</si>
  <si>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</si>
  <si>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</si>
  <si>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</si>
  <si>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</si>
  <si>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</si>
  <si>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</si>
  <si>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</si>
  <si>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</si>
  <si>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</si>
  <si>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</si>
  <si>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</si>
  <si>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</si>
  <si>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</si>
  <si>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</si>
  <si>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</si>
  <si>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</si>
  <si>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</si>
  <si>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</si>
  <si>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</si>
  <si>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</si>
  <si>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</si>
  <si>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</si>
  <si>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</si>
  <si>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</si>
  <si>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</si>
  <si>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</si>
  <si>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</si>
  <si>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</si>
  <si>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</si>
  <si>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</si>
  <si>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</si>
  <si>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</si>
  <si>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</si>
  <si>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</si>
  <si>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</si>
  <si>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</si>
  <si>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</si>
  <si>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</si>
  <si>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</si>
  <si>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</si>
  <si>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</si>
  <si>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</si>
  <si>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</si>
  <si>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</si>
  <si>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</si>
  <si>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</si>
  <si>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</si>
  <si>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</si>
  <si>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</si>
  <si>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</si>
  <si>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</si>
  <si>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</si>
  <si>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</si>
  <si>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</si>
  <si>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</si>
  <si>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</si>
  <si>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</si>
  <si>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</si>
  <si>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</si>
  <si>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</si>
  <si>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</si>
  <si>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</si>
  <si>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</si>
  <si>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</si>
  <si>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</si>
  <si>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</si>
  <si>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</si>
  <si>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</si>
  <si>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</si>
  <si>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</si>
  <si>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</si>
  <si>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</si>
  <si>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</si>
  <si>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</si>
  <si>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</si>
  <si>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</si>
  <si>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</si>
  <si>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</si>
  <si>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</si>
  <si>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</si>
  <si>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</si>
  <si>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</si>
  <si>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</si>
  <si>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</si>
  <si>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</si>
  <si>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</si>
  <si>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</si>
  <si>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</si>
  <si>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</si>
  <si>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</si>
  <si>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</si>
  <si>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</si>
  <si>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</si>
  <si>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</si>
  <si>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</si>
  <si>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</si>
  <si>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</si>
  <si>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</si>
  <si>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</si>
  <si>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</si>
  <si>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</si>
  <si>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</si>
  <si>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</si>
  <si>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</si>
  <si>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</si>
  <si>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</si>
  <si>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</si>
  <si>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</si>
  <si>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</si>
  <si>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</si>
  <si>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</si>
  <si>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</si>
  <si>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</si>
  <si>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</si>
  <si>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</si>
  <si>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</si>
  <si>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</si>
  <si>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</si>
  <si>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</si>
  <si>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</si>
  <si>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</si>
  <si>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</si>
  <si>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</si>
  <si>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</si>
  <si>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</si>
  <si>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</si>
  <si>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</si>
  <si>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</si>
  <si>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</si>
  <si>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</si>
  <si>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</si>
  <si>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</si>
  <si>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</si>
  <si>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</si>
  <si>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</si>
  <si>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</si>
  <si>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</si>
  <si>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</si>
  <si>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</si>
  <si>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</si>
  <si>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</si>
  <si>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</si>
  <si>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</si>
  <si>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</si>
  <si>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</si>
  <si>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</si>
  <si>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</si>
  <si>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</si>
  <si>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</si>
  <si>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</si>
  <si>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</si>
  <si>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</si>
  <si>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</si>
  <si>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</si>
  <si>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</si>
  <si>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</si>
  <si>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</si>
  <si>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</si>
  <si>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</si>
  <si>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</si>
  <si>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</si>
  <si>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</si>
  <si>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</si>
  <si>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</si>
  <si>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</si>
  <si>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</si>
  <si>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</si>
  <si>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</si>
  <si>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</si>
  <si>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</si>
  <si>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</si>
  <si>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</si>
  <si>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</si>
  <si>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</si>
  <si>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</si>
  <si>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</si>
  <si>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</si>
  <si>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</si>
  <si>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</si>
  <si>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</si>
  <si>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</si>
  <si>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</si>
  <si>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</si>
  <si>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</si>
  <si>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</si>
  <si>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</si>
  <si>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</si>
  <si>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</si>
  <si>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</si>
  <si>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</si>
  <si>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</si>
  <si>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</si>
  <si>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</si>
  <si>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</si>
  <si>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</si>
  <si>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</si>
  <si>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</si>
  <si>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</si>
  <si>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</si>
  <si>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</si>
  <si>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</si>
  <si>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</si>
  <si>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</si>
  <si>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</si>
  <si>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</si>
  <si>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</si>
  <si>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</si>
  <si>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</si>
  <si>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</si>
  <si>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</si>
  <si>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</si>
  <si>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</si>
  <si>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</si>
  <si>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</si>
  <si>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</si>
  <si>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</si>
  <si>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</si>
  <si>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</si>
  <si>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</si>
  <si>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</si>
  <si>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</si>
  <si>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</si>
  <si>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</si>
  <si>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</si>
  <si>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</si>
  <si>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</si>
  <si>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</si>
  <si>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</si>
  <si>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</si>
  <si>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</si>
  <si>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</si>
  <si>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</si>
  <si>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</si>
  <si>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</si>
  <si>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</si>
  <si>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</si>
  <si>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</si>
  <si>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</si>
  <si>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</si>
  <si>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</si>
  <si>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</si>
  <si>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</si>
  <si>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</si>
  <si>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</si>
  <si>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</si>
  <si>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</si>
  <si>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</si>
  <si>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</si>
  <si>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</si>
  <si>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</si>
  <si>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</si>
  <si>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</si>
  <si>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</si>
  <si>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</si>
  <si>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</si>
  <si>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</si>
  <si>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</si>
  <si>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</si>
  <si>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</si>
  <si>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</si>
  <si>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</si>
  <si>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</si>
  <si>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</si>
  <si>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</si>
  <si>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</si>
  <si>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</si>
  <si>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</si>
  <si>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</si>
  <si>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</si>
  <si>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</si>
  <si>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</si>
  <si>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</si>
  <si>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</si>
  <si>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</si>
  <si>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</si>
  <si>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</si>
  <si>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</si>
  <si>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</si>
  <si>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</si>
  <si>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</si>
  <si>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</si>
  <si>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</si>
  <si>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</si>
  <si>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</si>
  <si>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</si>
  <si>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</si>
  <si>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</si>
  <si>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</si>
  <si>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</si>
  <si>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</si>
  <si>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</si>
  <si>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</si>
  <si>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</si>
  <si>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</si>
  <si>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</si>
  <si>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</si>
  <si>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</si>
  <si>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</si>
  <si>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</si>
  <si>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</si>
  <si>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</si>
  <si>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</si>
  <si>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</si>
  <si>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</si>
  <si>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</si>
  <si>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</si>
  <si>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</si>
  <si>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</si>
  <si>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</si>
  <si>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</si>
  <si>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</si>
  <si>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</si>
  <si>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</si>
  <si>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</si>
  <si>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</si>
  <si>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</si>
  <si>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</si>
  <si>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</si>
  <si>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</si>
  <si>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</si>
  <si>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</si>
  <si>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</si>
  <si>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</si>
  <si>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</si>
  <si>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</si>
  <si>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</si>
  <si>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</si>
  <si>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</si>
  <si>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</si>
  <si>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</si>
  <si>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</si>
  <si>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</si>
  <si>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</si>
  <si>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</si>
  <si>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</si>
  <si>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</si>
  <si>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</si>
  <si>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</si>
  <si>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</si>
  <si>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</si>
  <si>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</si>
  <si>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</si>
  <si>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</si>
  <si>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</si>
  <si>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</si>
  <si>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</si>
  <si>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</si>
  <si>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</si>
  <si>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</si>
  <si>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</si>
  <si>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</si>
  <si>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</si>
  <si>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</si>
  <si>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</si>
  <si>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</si>
  <si>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</si>
  <si>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</si>
  <si>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</si>
  <si>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</si>
  <si>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</si>
  <si>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</si>
  <si>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</si>
  <si>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</si>
  <si>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</si>
  <si>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</si>
  <si>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</si>
  <si>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</si>
  <si>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</si>
  <si>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</si>
  <si>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</si>
  <si>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</si>
  <si>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</si>
  <si>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</si>
  <si>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</si>
  <si>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</si>
  <si>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</si>
  <si>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</si>
  <si>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</si>
  <si>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</si>
  <si>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</si>
  <si>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</si>
  <si>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</si>
  <si>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</si>
  <si>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</si>
  <si>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</si>
  <si>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</si>
  <si>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</si>
  <si>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</si>
  <si>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</si>
  <si>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</si>
  <si>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</si>
  <si>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</si>
  <si>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</si>
  <si>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</si>
  <si>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</si>
  <si>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</si>
  <si>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</si>
  <si>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</si>
  <si>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</si>
  <si>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</si>
  <si>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</si>
  <si>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</si>
  <si>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</si>
  <si>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</si>
  <si>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</si>
  <si>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</si>
  <si>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</si>
  <si>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</si>
  <si>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</si>
  <si>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</si>
  <si>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</si>
  <si>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</si>
  <si>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</si>
  <si>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</si>
  <si>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</si>
  <si>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</si>
  <si>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</si>
  <si>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</si>
  <si>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</si>
  <si>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</si>
  <si>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</si>
  <si>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</si>
  <si>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</si>
  <si>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</si>
  <si>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</si>
  <si>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</si>
  <si>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</si>
  <si>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</si>
  <si>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</si>
  <si>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</si>
  <si>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</si>
  <si>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</si>
  <si>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</si>
  <si>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</si>
  <si>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</si>
  <si>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</si>
  <si>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</si>
  <si>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</si>
  <si>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</si>
  <si>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</si>
  <si>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</si>
  <si>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</si>
  <si>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</si>
  <si>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</si>
  <si>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</si>
  <si>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</si>
  <si>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</si>
  <si>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</si>
  <si>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</si>
  <si>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</si>
  <si>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</si>
  <si>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</si>
  <si>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</si>
  <si>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</si>
  <si>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</si>
  <si>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</si>
  <si>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</si>
  <si>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</si>
  <si>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</si>
  <si>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</si>
  <si>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</si>
  <si>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</si>
  <si>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</si>
  <si>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</si>
  <si>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</si>
  <si>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</si>
  <si>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</si>
  <si>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</si>
  <si>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</si>
  <si>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</si>
  <si>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</si>
  <si>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</si>
  <si>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</si>
  <si>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</si>
  <si>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</si>
  <si>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</si>
  <si>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</si>
  <si>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</si>
  <si>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</si>
  <si>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</si>
  <si>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</si>
  <si>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</si>
  <si>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</si>
  <si>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</si>
  <si>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</si>
  <si>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</si>
  <si>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</si>
  <si>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</si>
  <si>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</si>
  <si>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</si>
  <si>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</si>
  <si>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</si>
  <si>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</si>
  <si>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</si>
  <si>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</si>
  <si>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</si>
  <si>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</si>
  <si>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</si>
  <si>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</si>
  <si>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</si>
  <si>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</si>
  <si>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</si>
  <si>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</si>
  <si>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</si>
  <si>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</si>
  <si>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</si>
  <si>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</si>
  <si>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</si>
  <si>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</si>
  <si>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</si>
  <si>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</si>
  <si>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</si>
  <si>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</si>
  <si>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</si>
  <si>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</si>
  <si>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</si>
  <si>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</si>
  <si>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</si>
  <si>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</si>
  <si>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</si>
  <si>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</si>
  <si>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</si>
  <si>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</si>
  <si>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</si>
  <si>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</si>
  <si>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</si>
  <si>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</si>
  <si>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</si>
  <si>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</si>
  <si>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</si>
  <si>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</si>
  <si>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</si>
  <si>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</si>
  <si>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</si>
  <si>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</si>
  <si>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</si>
  <si>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</si>
  <si>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</si>
  <si>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</si>
  <si>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</si>
  <si>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</si>
  <si>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</si>
  <si>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</si>
  <si>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</si>
  <si>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</si>
  <si>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</si>
  <si>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</si>
  <si>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</si>
  <si>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</si>
  <si>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</si>
  <si>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</si>
  <si>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</si>
  <si>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</si>
  <si>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</si>
  <si>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</si>
  <si>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</si>
  <si>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</si>
  <si>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</si>
  <si>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</si>
  <si>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</si>
  <si>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</si>
  <si>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</si>
  <si>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</si>
  <si>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</si>
  <si>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</si>
  <si>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</si>
  <si>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</si>
  <si>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</si>
  <si>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</si>
  <si>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</si>
  <si>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</si>
  <si>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</si>
  <si>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</si>
  <si>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</si>
  <si>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</si>
  <si>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</si>
  <si>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</si>
  <si>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</si>
  <si>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</si>
  <si>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</si>
  <si>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</si>
  <si>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</si>
  <si>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</si>
  <si>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</si>
  <si>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</si>
  <si>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</si>
  <si>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</si>
  <si>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</si>
  <si>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</si>
  <si>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</si>
  <si>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</si>
  <si>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</si>
  <si>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</si>
  <si>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</si>
  <si>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</si>
  <si>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</si>
  <si>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</si>
  <si>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</si>
  <si>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</si>
  <si>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</si>
  <si>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</si>
  <si>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</si>
  <si>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</si>
  <si>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</si>
  <si>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</si>
  <si>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</si>
  <si>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</si>
  <si>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</si>
  <si>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</si>
  <si>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</si>
  <si>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</si>
  <si>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</si>
  <si>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</si>
  <si>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</si>
  <si>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</si>
  <si>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</si>
  <si>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</si>
  <si>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</si>
  <si>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</si>
  <si>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</si>
  <si>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</si>
  <si>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</si>
  <si>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</si>
  <si>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</si>
  <si>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</si>
  <si>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</si>
  <si>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</si>
  <si>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</si>
  <si>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</si>
  <si>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</si>
  <si>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</si>
  <si>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</si>
  <si>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</si>
  <si>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</si>
  <si>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</si>
  <si>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</si>
  <si>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</si>
  <si>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</si>
  <si>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</si>
  <si>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</si>
  <si>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</si>
  <si>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</si>
  <si>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</si>
  <si>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</si>
  <si>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</si>
  <si>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</si>
  <si>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</si>
  <si>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</si>
  <si>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</si>
  <si>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</si>
  <si>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</si>
  <si>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</si>
  <si>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</si>
  <si>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</si>
  <si>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</si>
  <si>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</si>
  <si>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</si>
  <si>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</si>
  <si>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</si>
  <si>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</si>
  <si>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</si>
  <si>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</si>
  <si>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</si>
  <si>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</si>
  <si>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</si>
  <si>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</si>
  <si>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</si>
  <si>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</si>
  <si>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</si>
  <si>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</si>
  <si>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</si>
  <si>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</si>
  <si>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</si>
  <si>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</si>
  <si>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</si>
  <si>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</si>
  <si>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</si>
  <si>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</si>
  <si>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</si>
  <si>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</si>
  <si>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</si>
  <si>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</si>
  <si>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</si>
  <si>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</si>
  <si>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</si>
  <si>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</si>
  <si>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</si>
  <si>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</si>
  <si>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</si>
  <si>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</si>
  <si>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</si>
  <si>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</si>
  <si>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</si>
  <si>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</si>
  <si>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</si>
  <si>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</si>
  <si>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</si>
  <si>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</si>
  <si>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</si>
  <si>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</si>
  <si>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</si>
  <si>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</si>
  <si>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</si>
  <si>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</si>
  <si>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</si>
  <si>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</si>
  <si>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</si>
  <si>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</si>
  <si>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</si>
  <si>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</si>
  <si>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</si>
  <si>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</si>
  <si>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</si>
  <si>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</si>
  <si>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</si>
  <si>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</si>
  <si>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</si>
  <si>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</si>
  <si>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</si>
  <si>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</si>
  <si>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</si>
  <si>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</si>
  <si>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</si>
  <si>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</si>
  <si>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</si>
  <si>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</si>
  <si>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</si>
  <si>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</si>
  <si>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</si>
  <si>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</si>
  <si>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</si>
  <si>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</si>
  <si>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</si>
  <si>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</si>
  <si>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</si>
  <si>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</si>
  <si>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</si>
  <si>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</si>
  <si>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</si>
  <si>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</si>
  <si>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</si>
  <si>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</si>
  <si>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</si>
  <si>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</si>
  <si>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</si>
  <si>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</si>
  <si>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</si>
  <si>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</si>
  <si>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</si>
  <si>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</si>
  <si>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</si>
  <si>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</si>
  <si>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</si>
  <si>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</si>
  <si>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</si>
  <si>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</si>
  <si>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</si>
  <si>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</si>
  <si>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</si>
  <si>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</si>
  <si>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</si>
  <si>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</si>
  <si>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</si>
  <si>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</si>
  <si>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</si>
  <si>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</si>
  <si>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</si>
  <si>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</si>
  <si>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</si>
  <si>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</si>
  <si>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</si>
  <si>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</si>
  <si>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</si>
  <si>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</si>
  <si>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</si>
  <si>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</si>
  <si>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</si>
  <si>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</si>
  <si>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</si>
  <si>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</si>
  <si>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</si>
  <si>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</si>
  <si>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</si>
  <si>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</si>
  <si>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</si>
  <si>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</si>
  <si>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</si>
  <si>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</si>
  <si>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</si>
  <si>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</si>
  <si>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</si>
  <si>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</si>
  <si>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</si>
  <si>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</si>
  <si>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</si>
  <si>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</si>
  <si>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</si>
  <si>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</si>
  <si>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</si>
  <si>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</si>
  <si>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</si>
  <si>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</si>
  <si>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</si>
  <si>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</si>
  <si>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</si>
  <si>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</si>
  <si>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</si>
  <si>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</si>
  <si>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</si>
  <si>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</si>
  <si>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</si>
  <si>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</si>
  <si>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</si>
  <si>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</si>
  <si>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</si>
  <si>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</si>
  <si>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</si>
  <si>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</si>
  <si>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</si>
  <si>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</si>
  <si>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</si>
  <si>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</si>
  <si>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</si>
  <si>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</si>
  <si>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</si>
  <si>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</si>
  <si>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</si>
  <si>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</si>
  <si>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</si>
  <si>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</si>
  <si>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</si>
  <si>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</si>
  <si>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</si>
  <si>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</si>
  <si>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</si>
  <si>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</si>
  <si>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</si>
  <si>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</si>
  <si>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</si>
  <si>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</si>
  <si>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</si>
  <si>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</si>
  <si>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</si>
  <si>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</si>
  <si>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</si>
  <si>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</si>
  <si>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</si>
  <si>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</si>
  <si>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</si>
  <si>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</si>
  <si>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</si>
  <si>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</si>
  <si>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</si>
  <si>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</si>
  <si>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</si>
  <si>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</si>
  <si>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</si>
  <si>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</si>
  <si>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</si>
  <si>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</si>
  <si>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</si>
  <si>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</si>
  <si>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</si>
  <si>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</si>
  <si>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</si>
  <si>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</si>
  <si>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</si>
  <si>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</si>
  <si>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</si>
  <si>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</si>
  <si>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</si>
  <si>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</si>
  <si>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</si>
  <si>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</si>
  <si>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</si>
  <si>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</si>
  <si>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</si>
  <si>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</si>
  <si>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</si>
  <si>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</si>
  <si>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</si>
  <si>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</si>
  <si>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</si>
  <si>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</si>
  <si>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</si>
  <si>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</si>
  <si>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</si>
  <si>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</si>
  <si>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</si>
  <si>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</si>
  <si>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</si>
  <si>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</si>
  <si>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</si>
  <si>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</si>
  <si>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</si>
  <si>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</si>
  <si>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</si>
  <si>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</si>
  <si>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</si>
  <si>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</si>
  <si>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</si>
  <si>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</si>
  <si>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</si>
  <si>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</si>
  <si>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</si>
  <si>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</si>
  <si>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</si>
  <si>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</si>
  <si>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</si>
  <si>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</si>
  <si>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</si>
  <si>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</si>
  <si>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</si>
  <si>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</si>
  <si>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</si>
  <si>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</si>
  <si>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</si>
  <si>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</si>
  <si>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</si>
  <si>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</si>
  <si>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</si>
  <si>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</si>
  <si>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</si>
  <si>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</si>
  <si>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</si>
  <si>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</si>
  <si>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</si>
  <si>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</si>
  <si>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</si>
  <si>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</si>
  <si>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</si>
  <si>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</si>
  <si>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</si>
  <si>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</si>
  <si>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</si>
  <si>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</si>
  <si>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</si>
  <si>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</si>
  <si>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</si>
  <si>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</si>
  <si>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</si>
  <si>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</si>
  <si>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</si>
  <si>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</si>
  <si>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</si>
  <si>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</si>
  <si>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</si>
  <si>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</si>
  <si>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</si>
  <si>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</si>
  <si>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</si>
  <si>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</si>
  <si>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</si>
  <si>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</si>
  <si>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</si>
  <si>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</si>
  <si>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</si>
  <si>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</si>
  <si>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</si>
  <si>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</si>
  <si>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</si>
  <si>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</si>
  <si>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</si>
  <si>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</si>
  <si>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</si>
  <si>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</si>
  <si>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</si>
  <si>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</si>
  <si>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</si>
  <si>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</si>
  <si>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</si>
  <si>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</si>
  <si>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</si>
  <si>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</si>
  <si>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</si>
  <si>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</si>
  <si>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</si>
  <si>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</si>
  <si>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</si>
  <si>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</si>
  <si>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</si>
  <si>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</si>
  <si>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</si>
  <si>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</si>
  <si>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</si>
  <si>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</si>
  <si>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</si>
  <si>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</si>
  <si>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</si>
  <si>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</si>
  <si>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</si>
  <si>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</si>
  <si>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</si>
  <si>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</si>
  <si>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</si>
  <si>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</si>
  <si>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</si>
  <si>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</si>
  <si>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</si>
  <si>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</si>
  <si>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</si>
  <si>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</si>
  <si>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</si>
  <si>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</si>
  <si>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</si>
  <si>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</si>
  <si>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</si>
  <si>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</si>
  <si>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</si>
  <si>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</si>
  <si>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</si>
  <si>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</si>
  <si>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</si>
  <si>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</si>
  <si>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</si>
  <si>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</si>
  <si>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</si>
  <si>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</si>
  <si>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</si>
  <si>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</si>
  <si>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</si>
  <si>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</si>
  <si>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</si>
  <si>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</si>
  <si>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</si>
  <si>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</si>
  <si>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</si>
  <si>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</si>
  <si>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</si>
  <si>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</si>
  <si>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</si>
  <si>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</si>
  <si>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</si>
  <si>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</si>
  <si>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</si>
  <si>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</si>
  <si>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</si>
  <si>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</si>
  <si>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</si>
  <si>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</si>
  <si>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</si>
  <si>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</si>
  <si>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</si>
  <si>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</si>
  <si>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</si>
  <si>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</si>
  <si>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</si>
  <si>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</si>
  <si>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</si>
  <si>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</si>
  <si>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</si>
  <si>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</si>
  <si>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</si>
  <si>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</si>
  <si>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</si>
  <si>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</si>
  <si>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</si>
  <si>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</si>
  <si>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</si>
  <si>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</si>
  <si>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</si>
  <si>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</si>
  <si>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</si>
  <si>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</si>
  <si>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</si>
  <si>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</si>
  <si>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</si>
  <si>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</si>
  <si>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</si>
  <si>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</si>
  <si>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</si>
  <si>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</si>
  <si>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</si>
  <si>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</si>
  <si>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</si>
  <si>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</si>
  <si>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</si>
  <si>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</si>
  <si>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</si>
  <si>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</si>
  <si>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</si>
  <si>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</si>
  <si>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</si>
  <si>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</si>
  <si>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</si>
  <si>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</si>
  <si>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</si>
  <si>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</si>
  <si>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</si>
  <si>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</si>
  <si>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</si>
  <si>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</si>
  <si>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</si>
  <si>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</si>
  <si>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</si>
  <si>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</si>
  <si>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</si>
  <si>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</si>
  <si>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</si>
  <si>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</si>
  <si>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</si>
  <si>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</si>
  <si>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</si>
  <si>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</si>
  <si>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</si>
  <si>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</si>
  <si>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</si>
  <si>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</si>
  <si>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</si>
  <si>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</si>
  <si>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</si>
  <si>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</si>
  <si>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</si>
  <si>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</si>
  <si>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</si>
  <si>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</si>
  <si>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</si>
  <si>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</si>
  <si>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</si>
  <si>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</si>
  <si>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</si>
  <si>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</si>
  <si>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</si>
  <si>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</si>
  <si>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</si>
  <si>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</si>
  <si>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</si>
  <si>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</si>
  <si>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</si>
  <si>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</si>
  <si>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</si>
  <si>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</si>
  <si>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</si>
  <si>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</si>
  <si>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</si>
  <si>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</si>
  <si>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</si>
  <si>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</si>
  <si>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</si>
  <si>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</si>
  <si>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</si>
  <si>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</si>
  <si>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</si>
  <si>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</si>
  <si>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</si>
  <si>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</si>
  <si>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</si>
  <si>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</si>
  <si>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</si>
  <si>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</si>
  <si>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</si>
  <si>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</si>
  <si>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</si>
  <si>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</si>
  <si>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</si>
  <si>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</si>
  <si>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</si>
  <si>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</si>
  <si>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</si>
  <si>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</si>
  <si>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</si>
  <si>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</si>
  <si>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</si>
  <si>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</si>
  <si>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</si>
  <si>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</si>
  <si>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</si>
  <si>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</si>
  <si>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</si>
  <si>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</si>
  <si>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</si>
  <si>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</si>
  <si>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</si>
  <si>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</si>
  <si>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</si>
  <si>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</si>
  <si>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</si>
  <si>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</si>
  <si>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</si>
  <si>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</si>
  <si>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</si>
  <si>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</si>
  <si>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</si>
  <si>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</si>
  <si>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</si>
  <si>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</si>
  <si>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</si>
  <si>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</si>
  <si>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</si>
  <si>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</si>
  <si>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</si>
  <si>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</si>
  <si>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</si>
  <si>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</si>
  <si>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</si>
  <si>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</si>
  <si>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</si>
  <si>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</si>
  <si>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</si>
  <si>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</si>
  <si>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</si>
  <si>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</si>
  <si>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</si>
  <si>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</si>
  <si>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</si>
  <si>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</si>
  <si>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</si>
  <si>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</si>
  <si>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</si>
  <si>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</si>
  <si>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</si>
  <si>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</si>
  <si>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</si>
  <si>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</si>
  <si>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</si>
  <si>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</si>
  <si>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</si>
  <si>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</si>
  <si>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</si>
  <si>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</si>
  <si>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</si>
  <si>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</si>
  <si>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</si>
  <si>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</si>
  <si>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</si>
  <si>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</si>
  <si>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</si>
  <si>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</si>
  <si>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</si>
  <si>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</si>
  <si>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</si>
  <si>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</si>
  <si>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</si>
  <si>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</si>
  <si>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</si>
  <si>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</si>
  <si>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</si>
  <si>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</si>
  <si>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</si>
  <si>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</si>
  <si>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</si>
  <si>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</si>
  <si>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</si>
  <si>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</si>
  <si>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</si>
  <si>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</si>
  <si>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</si>
  <si>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</si>
  <si>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</si>
  <si>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</si>
  <si>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</si>
  <si>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</si>
  <si>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</si>
  <si>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</si>
  <si>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</si>
  <si>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</si>
  <si>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</si>
  <si>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</si>
  <si>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</si>
  <si>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</si>
  <si>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</si>
  <si>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</si>
  <si>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</si>
  <si>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</si>
  <si>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</si>
  <si>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</si>
  <si>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</si>
  <si>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</si>
  <si>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</si>
  <si>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</si>
  <si>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</si>
  <si>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</si>
  <si>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</si>
  <si>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</si>
  <si>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</si>
  <si>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</si>
  <si>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</si>
  <si>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</si>
  <si>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</si>
  <si>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</si>
  <si>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</si>
  <si>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</si>
  <si>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</si>
  <si>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</si>
  <si>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</si>
  <si>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</si>
  <si>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</si>
  <si>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</si>
  <si>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</si>
  <si>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</si>
  <si>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</si>
  <si>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</si>
  <si>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</si>
  <si>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</si>
  <si>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</si>
  <si>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</si>
  <si>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</si>
  <si>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</si>
  <si>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</si>
  <si>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</si>
  <si>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</si>
  <si>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</si>
  <si>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</si>
  <si>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</si>
  <si>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</si>
  <si>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</si>
  <si>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</si>
  <si>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</si>
  <si>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</si>
  <si>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</si>
  <si>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</si>
  <si>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</si>
  <si>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</si>
  <si>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</si>
  <si>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</si>
  <si>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</si>
  <si>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</si>
  <si>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</si>
  <si>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</si>
  <si>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</si>
  <si>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</si>
  <si>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</si>
  <si>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</si>
  <si>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</si>
  <si>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</si>
  <si>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</si>
  <si>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</si>
  <si>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</si>
  <si>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</si>
  <si>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</si>
  <si>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</si>
  <si>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</si>
  <si>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</si>
  <si>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</si>
  <si>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</si>
  <si>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</si>
  <si>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</si>
  <si>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</si>
  <si>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</si>
  <si>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</si>
  <si>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</si>
  <si>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</si>
  <si>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</si>
  <si>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</si>
  <si>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</si>
  <si>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</si>
  <si>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</si>
  <si>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</si>
  <si>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</si>
  <si>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</si>
  <si>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</si>
  <si>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</si>
  <si>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</si>
  <si>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</si>
  <si>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</si>
  <si>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</si>
  <si>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</si>
  <si>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</si>
  <si>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</si>
  <si>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</si>
  <si>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</si>
  <si>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</si>
  <si>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</si>
  <si>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</si>
  <si>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</si>
  <si>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</si>
  <si>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</si>
  <si>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</si>
  <si>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</si>
  <si>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</si>
  <si>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</si>
  <si>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</si>
  <si>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</si>
  <si>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</si>
  <si>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</si>
  <si>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</si>
  <si>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</si>
  <si>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</si>
  <si>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</si>
  <si>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</si>
  <si>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</si>
  <si>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</si>
  <si>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</si>
  <si>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</si>
  <si>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</si>
  <si>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</si>
  <si>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</si>
  <si>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</si>
  <si>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</si>
  <si>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</si>
  <si>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</si>
  <si>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</si>
  <si>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</si>
  <si>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</si>
  <si>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</si>
  <si>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</si>
  <si>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</si>
  <si>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</si>
  <si>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</si>
  <si>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</si>
  <si>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</si>
  <si>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</si>
  <si>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</si>
  <si>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</si>
  <si>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</si>
  <si>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</si>
  <si>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</si>
  <si>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</si>
  <si>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</si>
  <si>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</si>
  <si>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</si>
  <si>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</si>
  <si>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</si>
  <si>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</si>
  <si>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</si>
  <si>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</si>
  <si>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</si>
  <si>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</si>
  <si>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</si>
  <si>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</si>
  <si>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</si>
  <si>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</si>
  <si>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</si>
  <si>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</si>
  <si>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</si>
  <si>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</si>
  <si>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</si>
  <si>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</si>
  <si>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</si>
  <si>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</si>
  <si>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</si>
  <si>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</si>
  <si>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</si>
  <si>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</si>
  <si>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</si>
  <si>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</si>
  <si>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</si>
  <si>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</si>
  <si>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</si>
  <si>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</si>
  <si>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</si>
  <si>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</si>
  <si>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</si>
  <si>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</si>
  <si>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</si>
  <si>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</si>
  <si>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</si>
  <si>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</si>
  <si>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</si>
  <si>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</si>
  <si>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</si>
  <si>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</si>
  <si>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</si>
  <si>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</si>
  <si>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</si>
  <si>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</si>
  <si>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</si>
  <si>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</si>
  <si>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</si>
  <si>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</si>
  <si>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</si>
  <si>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</si>
  <si>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</si>
  <si>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</si>
  <si>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</si>
  <si>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</si>
  <si>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</si>
  <si>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</si>
  <si>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</si>
  <si>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</si>
  <si>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</si>
  <si>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</si>
  <si>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</si>
  <si>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</si>
  <si>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</si>
  <si>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</si>
  <si>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</si>
  <si>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</si>
  <si>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</si>
  <si>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</si>
  <si>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</si>
  <si>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</si>
  <si>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</si>
  <si>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</si>
  <si>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</si>
  <si>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</si>
  <si>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</si>
  <si>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</si>
  <si>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</si>
  <si>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</si>
  <si>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</si>
  <si>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</si>
  <si>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</si>
  <si>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</si>
  <si>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</si>
  <si>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</si>
  <si>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</si>
  <si>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</si>
  <si>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</si>
  <si>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</si>
  <si>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</si>
  <si>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</si>
  <si>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</si>
  <si>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</si>
  <si>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</si>
  <si>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</si>
  <si>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</si>
  <si>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</si>
  <si>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</si>
  <si>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</si>
  <si>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</si>
  <si>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</si>
  <si>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</si>
  <si>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</si>
  <si>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</si>
  <si>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</si>
  <si>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</si>
  <si>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</si>
  <si>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</si>
  <si>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</si>
  <si>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</si>
  <si>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</si>
  <si>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</si>
  <si>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</si>
  <si>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</si>
  <si>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</si>
  <si>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</si>
  <si>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</si>
  <si>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</si>
  <si>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</si>
  <si>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</si>
  <si>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</si>
  <si>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</si>
  <si>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</si>
  <si>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</si>
  <si>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</si>
  <si>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</si>
  <si>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</si>
  <si>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</si>
  <si>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</si>
  <si>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</si>
  <si>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</si>
  <si>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</si>
  <si>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</si>
  <si>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</si>
  <si>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</si>
  <si>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</si>
  <si>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</si>
  <si>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</si>
  <si>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</si>
  <si>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</si>
  <si>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</si>
  <si>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</si>
  <si>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</si>
  <si>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</si>
  <si>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</si>
  <si>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</si>
  <si>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</si>
  <si>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</si>
  <si>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</si>
  <si>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</si>
  <si>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</si>
  <si>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</si>
  <si>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</si>
  <si>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</si>
  <si>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</si>
  <si>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</si>
  <si>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</si>
  <si>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</si>
  <si>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</si>
  <si>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</si>
  <si>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</si>
  <si>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</si>
  <si>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</si>
  <si>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</si>
  <si>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</si>
  <si>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</si>
  <si>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</si>
  <si>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</si>
  <si>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</si>
  <si>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</si>
  <si>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</si>
  <si>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</si>
  <si>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</si>
  <si>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</si>
  <si>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</si>
  <si>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</si>
  <si>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</si>
  <si>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</si>
  <si>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</si>
  <si>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</si>
  <si>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</si>
  <si>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</si>
  <si>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</si>
  <si>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</si>
  <si>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</si>
  <si>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</si>
  <si>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</si>
  <si>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</si>
  <si>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</si>
  <si>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</si>
  <si>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</si>
  <si>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</si>
  <si>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</si>
  <si>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</si>
  <si>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</si>
  <si>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</si>
  <si>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</si>
  <si>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</si>
  <si>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</si>
  <si>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</si>
  <si>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</si>
  <si>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</si>
  <si>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</si>
  <si>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</si>
  <si>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</si>
  <si>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</si>
  <si>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</si>
  <si>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</si>
  <si>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</si>
  <si>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</si>
  <si>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</si>
  <si>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</si>
  <si>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</si>
  <si>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</si>
  <si>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</si>
  <si>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</si>
  <si>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</si>
  <si>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</si>
  <si>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</si>
  <si>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</si>
  <si>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</si>
  <si>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</si>
  <si>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</si>
  <si>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</si>
  <si>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</si>
  <si>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</si>
  <si>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</si>
  <si>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</si>
  <si>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</si>
  <si>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</si>
  <si>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</si>
  <si>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</si>
  <si>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</si>
  <si>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</si>
  <si>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</si>
  <si>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</si>
  <si>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</si>
  <si>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</si>
  <si>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</si>
  <si>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</si>
  <si>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</si>
  <si>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</si>
  <si>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</si>
  <si>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</si>
  <si>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</si>
  <si>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</si>
  <si>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</si>
  <si>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</si>
  <si>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</si>
  <si>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</si>
  <si>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</si>
  <si>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</si>
  <si>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</si>
  <si>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</si>
  <si>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</si>
  <si>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</si>
  <si>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</si>
  <si>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</si>
  <si>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</si>
  <si>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</si>
  <si>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</si>
  <si>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</si>
  <si>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</si>
  <si>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</si>
  <si>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</si>
  <si>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</si>
  <si>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</si>
  <si>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</si>
  <si>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</si>
  <si>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</si>
  <si>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</si>
  <si>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</si>
  <si>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</si>
  <si>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</si>
  <si>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</si>
  <si>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</si>
  <si>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</si>
  <si>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</si>
  <si>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</si>
  <si>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</si>
  <si>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</si>
  <si>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</si>
  <si>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</si>
  <si>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</si>
  <si>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</si>
  <si>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</si>
  <si>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</si>
  <si>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</si>
  <si>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</si>
  <si>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</si>
  <si>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</si>
  <si>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</si>
  <si>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</si>
  <si>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</si>
  <si>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</si>
  <si>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</si>
  <si>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</si>
  <si>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</si>
  <si>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</si>
  <si>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</si>
  <si>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</si>
  <si>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</si>
  <si>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</si>
  <si>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</si>
  <si>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</si>
  <si>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</si>
  <si>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</si>
  <si>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</si>
  <si>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</si>
  <si>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</si>
  <si>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</si>
  <si>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</si>
  <si>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</si>
  <si>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</si>
  <si>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</si>
  <si>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</si>
  <si>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</si>
  <si>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</si>
  <si>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</si>
  <si>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</si>
  <si>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</si>
  <si>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</si>
  <si>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</si>
  <si>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</si>
  <si>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</si>
  <si>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</si>
  <si>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</si>
  <si>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</si>
  <si>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</si>
  <si>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</si>
  <si>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</si>
  <si>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</si>
  <si>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</si>
  <si>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</si>
  <si>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</si>
  <si>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</si>
  <si>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</si>
  <si>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</si>
  <si>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</si>
  <si>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</si>
  <si>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</si>
  <si>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</si>
  <si>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</si>
  <si>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</si>
  <si>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</si>
  <si>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</si>
  <si>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</si>
  <si>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</si>
  <si>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</si>
  <si>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</si>
  <si>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</si>
  <si>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</si>
  <si>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</si>
  <si>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</si>
  <si>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</si>
  <si>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</si>
  <si>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</si>
  <si>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</si>
  <si>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</si>
  <si>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</si>
  <si>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</si>
  <si>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</si>
  <si>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</si>
  <si>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</si>
  <si>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</si>
  <si>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</si>
  <si>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</si>
  <si>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</si>
  <si>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</si>
  <si>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</si>
  <si>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</si>
  <si>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</si>
  <si>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</si>
  <si>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</si>
  <si>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</si>
  <si>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</si>
  <si>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</si>
  <si>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</si>
  <si>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</si>
  <si>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</si>
  <si>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</si>
  <si>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</si>
  <si>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</si>
  <si>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</si>
  <si>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</si>
  <si>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</si>
  <si>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</si>
  <si>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</si>
  <si>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</si>
  <si>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</si>
  <si>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</si>
  <si>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</si>
  <si>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</si>
  <si>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</si>
  <si>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</si>
  <si>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</si>
  <si>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</si>
  <si>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</si>
  <si>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</si>
  <si>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</si>
  <si>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</si>
  <si>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</si>
  <si>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</si>
  <si>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</si>
  <si>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</si>
  <si>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</si>
  <si>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</si>
  <si>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</si>
  <si>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</si>
  <si>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</si>
  <si>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</si>
  <si>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</si>
  <si>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</si>
  <si>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</si>
  <si>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</si>
  <si>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</si>
  <si>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</si>
  <si>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</si>
  <si>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</si>
  <si>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</si>
  <si>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</si>
  <si>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</si>
  <si>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</si>
  <si>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</si>
  <si>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</si>
  <si>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</si>
  <si>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</si>
  <si>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</si>
  <si>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</si>
  <si>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</si>
  <si>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</si>
  <si>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</si>
  <si>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</si>
  <si>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</si>
  <si>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</si>
  <si>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</si>
  <si>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</si>
  <si>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</si>
  <si>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</si>
  <si>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</si>
  <si>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</si>
  <si>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</si>
  <si>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</si>
  <si>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</si>
  <si>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</si>
  <si>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</si>
  <si>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</si>
  <si>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</si>
  <si>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</si>
  <si>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</si>
  <si>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</si>
  <si>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</si>
  <si>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</si>
  <si>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</si>
  <si>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</si>
  <si>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</si>
  <si>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</si>
  <si>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</si>
  <si>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</si>
  <si>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</si>
  <si>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</si>
  <si>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</si>
  <si>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</si>
  <si>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</si>
  <si>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</si>
  <si>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</si>
  <si>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</si>
  <si>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</si>
  <si>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</si>
  <si>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</si>
  <si>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</si>
  <si>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</si>
  <si>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</si>
  <si>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</si>
  <si>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</si>
  <si>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</si>
  <si>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</si>
  <si>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</si>
  <si>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</si>
  <si>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</si>
  <si>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</si>
  <si>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</si>
  <si>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</si>
  <si>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</si>
  <si>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</si>
  <si>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</si>
  <si>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</si>
  <si>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</si>
  <si>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</si>
  <si>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</si>
  <si>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</si>
  <si>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</si>
  <si>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</si>
  <si>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</si>
  <si>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</si>
  <si>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</si>
  <si>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</si>
  <si>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</si>
  <si>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</si>
  <si>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</si>
  <si>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</si>
  <si>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</si>
  <si>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</si>
  <si>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</si>
  <si>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</si>
  <si>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</si>
  <si>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</si>
  <si>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</si>
  <si>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</si>
  <si>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</si>
  <si>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</si>
  <si>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</si>
  <si>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</si>
  <si>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</si>
  <si>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</si>
  <si>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</si>
  <si>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</si>
  <si>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</si>
  <si>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</si>
  <si>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</si>
  <si>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</si>
  <si>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</si>
  <si>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</si>
  <si>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</si>
  <si>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</si>
  <si>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</si>
  <si>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</si>
  <si>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</si>
  <si>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</si>
  <si>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</si>
  <si>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</si>
  <si>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</si>
  <si>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</si>
  <si>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</si>
  <si>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</si>
  <si>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</si>
  <si>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</si>
  <si>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</si>
  <si>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</si>
  <si>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</si>
  <si>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</si>
  <si>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</si>
  <si>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</si>
  <si>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</si>
  <si>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</si>
  <si>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</si>
  <si>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</si>
  <si>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</si>
  <si>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</si>
  <si>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</si>
  <si>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</si>
  <si>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</si>
  <si>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</si>
  <si>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</si>
  <si>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</si>
  <si>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</si>
  <si>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</si>
  <si>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</si>
  <si>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</si>
  <si>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</si>
  <si>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</si>
  <si>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</si>
  <si>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</si>
  <si>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</si>
  <si>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</si>
  <si>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</si>
  <si>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</si>
  <si>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</si>
  <si>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</si>
  <si>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</si>
  <si>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</si>
  <si>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</si>
  <si>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</si>
  <si>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</si>
  <si>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</si>
  <si>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</si>
  <si>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</si>
  <si>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</si>
  <si>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</si>
  <si>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</si>
  <si>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</si>
  <si>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</si>
  <si>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</si>
  <si>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</si>
  <si>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</si>
  <si>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</si>
  <si>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</si>
  <si>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</si>
  <si>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</si>
  <si>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</si>
  <si>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</si>
  <si>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</si>
  <si>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</si>
  <si>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</si>
  <si>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</si>
  <si>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</si>
  <si>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</si>
  <si>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</si>
  <si>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</si>
  <si>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</si>
  <si>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</si>
  <si>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</si>
  <si>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</si>
  <si>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</si>
  <si>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</si>
  <si>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</si>
  <si>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</si>
  <si>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</si>
  <si>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</si>
  <si>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</si>
  <si>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</si>
  <si>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</si>
  <si>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</si>
  <si>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</si>
  <si>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</si>
  <si>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</si>
  <si>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</si>
  <si>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</si>
  <si>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</si>
  <si>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</si>
  <si>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</si>
  <si>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</si>
  <si>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</si>
  <si>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</si>
  <si>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</si>
  <si>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</si>
  <si>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</si>
  <si>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</si>
  <si>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</si>
  <si>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</si>
  <si>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</si>
  <si>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</si>
  <si>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</si>
  <si>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</si>
  <si>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</si>
  <si>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</si>
  <si>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</si>
  <si>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</si>
  <si>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</si>
  <si>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</si>
  <si>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</si>
  <si>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</si>
  <si>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</si>
  <si>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</si>
  <si>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</si>
  <si>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</si>
  <si>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</si>
  <si>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</si>
  <si>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</si>
  <si>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</si>
  <si>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</si>
  <si>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</si>
  <si>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</si>
  <si>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</si>
  <si>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</si>
  <si>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</si>
  <si>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</si>
  <si>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</si>
  <si>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</si>
  <si>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</si>
  <si>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</si>
  <si>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</si>
  <si>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</si>
  <si>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</si>
  <si>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</si>
  <si>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</si>
  <si>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</si>
  <si>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</si>
  <si>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</si>
  <si>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</si>
  <si>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</si>
  <si>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</si>
  <si>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</si>
  <si>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</si>
  <si>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</si>
  <si>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</si>
  <si>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</si>
  <si>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</si>
  <si>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</si>
  <si>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</si>
  <si>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</si>
  <si>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</si>
  <si>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</si>
  <si>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</si>
  <si>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</si>
  <si>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</si>
  <si>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</si>
  <si>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</si>
  <si>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</si>
  <si>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</si>
  <si>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</si>
  <si>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</si>
  <si>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</si>
  <si>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</si>
  <si>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</si>
  <si>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</si>
  <si>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</si>
  <si>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</si>
  <si>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</si>
  <si>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</si>
  <si>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</si>
  <si>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</si>
  <si>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</si>
  <si>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</si>
  <si>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</si>
  <si>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</si>
  <si>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</si>
  <si>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</si>
  <si>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</si>
  <si>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</si>
  <si>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</si>
  <si>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</si>
  <si>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</si>
  <si>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</si>
  <si>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</si>
  <si>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</si>
  <si>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</si>
  <si>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</si>
  <si>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</si>
  <si>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</si>
  <si>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</si>
  <si>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</si>
  <si>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</si>
  <si>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</si>
  <si>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</si>
  <si>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</si>
  <si>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</si>
  <si>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</si>
  <si>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</si>
  <si>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</si>
  <si>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</si>
  <si>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</si>
  <si>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</si>
  <si>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</si>
  <si>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</si>
  <si>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</si>
  <si>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</si>
  <si>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</si>
  <si>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</si>
  <si>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</si>
  <si>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</si>
  <si>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</si>
  <si>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</si>
  <si>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</si>
  <si>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</si>
  <si>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</si>
  <si>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</si>
  <si>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</si>
  <si>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</si>
  <si>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</si>
  <si>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</si>
  <si>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</si>
  <si>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</si>
  <si>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</si>
  <si>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</si>
  <si>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</si>
  <si>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</si>
  <si>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</si>
  <si>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</si>
  <si>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</si>
  <si>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</si>
  <si>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</si>
  <si>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</si>
  <si>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</si>
  <si>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</si>
  <si>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</si>
  <si>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</si>
  <si>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</si>
  <si>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</si>
  <si>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</si>
  <si>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</si>
  <si>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</si>
  <si>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</si>
  <si>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</si>
  <si>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</si>
  <si>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</si>
  <si>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</si>
  <si>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</si>
  <si>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</si>
  <si>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</si>
  <si>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</si>
  <si>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</si>
  <si>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</si>
  <si>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</si>
  <si>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</si>
  <si>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</si>
  <si>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</si>
  <si>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</si>
  <si>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</si>
  <si>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</si>
  <si>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</si>
  <si>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</si>
  <si>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</si>
  <si>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</si>
  <si>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</si>
  <si>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</si>
  <si>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</si>
  <si>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</si>
  <si>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</si>
  <si>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</si>
  <si>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</si>
  <si>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</si>
  <si>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</si>
  <si>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</si>
  <si>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</si>
  <si>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</si>
  <si>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</si>
  <si>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</si>
  <si>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</si>
  <si>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</si>
  <si>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</si>
  <si>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</si>
  <si>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</si>
  <si>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</si>
  <si>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</si>
  <si>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</si>
  <si>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</si>
  <si>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</si>
  <si>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</si>
  <si>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</si>
  <si>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</si>
  <si>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</si>
  <si>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</si>
  <si>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</si>
  <si>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</si>
  <si>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</si>
  <si>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</si>
  <si>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</si>
  <si>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</si>
  <si>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</si>
  <si>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</si>
  <si>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</si>
  <si>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</si>
  <si>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</si>
  <si>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</si>
  <si>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</si>
  <si>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</si>
  <si>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</si>
  <si>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</si>
  <si>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</si>
  <si>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</si>
  <si>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</si>
  <si>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</si>
  <si>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</si>
  <si>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</si>
  <si>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</si>
  <si>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</si>
  <si>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</si>
  <si>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</si>
  <si>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</si>
  <si>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</si>
  <si>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</si>
  <si>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</si>
  <si>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</si>
  <si>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</si>
  <si>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</si>
  <si>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</si>
  <si>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</si>
  <si>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</si>
  <si>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</si>
  <si>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</si>
  <si>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</si>
  <si>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</si>
  <si>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</si>
  <si>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</si>
  <si>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</si>
  <si>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</si>
  <si>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</si>
  <si>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</si>
  <si>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</si>
  <si>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</si>
  <si>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</si>
  <si>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</si>
  <si>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</si>
  <si>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</si>
  <si>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</si>
  <si>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</si>
  <si>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</si>
  <si>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</si>
  <si>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</si>
  <si>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</si>
  <si>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</si>
  <si>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</si>
  <si>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</si>
  <si>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</si>
  <si>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</si>
  <si>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</si>
  <si>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</si>
  <si>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</si>
  <si>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</si>
  <si>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</si>
  <si>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</si>
  <si>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</si>
  <si>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</si>
  <si>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</si>
  <si>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</si>
  <si>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</si>
  <si>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</si>
  <si>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</si>
  <si>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</si>
  <si>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</si>
  <si>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</si>
  <si>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</si>
  <si>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</si>
  <si>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</si>
  <si>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</si>
  <si>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</si>
  <si>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</si>
  <si>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</si>
  <si>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</si>
  <si>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</si>
  <si>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</si>
  <si>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</si>
  <si>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</si>
  <si>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</si>
  <si>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</si>
  <si>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</si>
  <si>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</si>
  <si>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</si>
  <si>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</si>
  <si>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</si>
  <si>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</si>
  <si>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</si>
  <si>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</si>
  <si>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</si>
  <si>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</si>
  <si>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</si>
  <si>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</si>
  <si>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</si>
  <si>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</si>
  <si>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</si>
  <si>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</si>
  <si>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</si>
  <si>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</si>
  <si>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</si>
  <si>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</si>
  <si>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</si>
  <si>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</si>
  <si>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</si>
  <si>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</si>
  <si>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</si>
  <si>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</si>
  <si>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</si>
  <si>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</si>
  <si>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</si>
  <si>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</si>
  <si>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</si>
  <si>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</si>
  <si>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</si>
  <si>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</si>
  <si>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</si>
  <si>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</si>
  <si>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</si>
  <si>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</si>
  <si>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</si>
  <si>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</si>
  <si>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</si>
  <si>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</si>
  <si>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</si>
  <si>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</si>
  <si>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</si>
  <si>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</si>
  <si>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</si>
  <si>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</si>
  <si>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</si>
  <si>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</si>
  <si>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</si>
  <si>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</si>
  <si>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</si>
  <si>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</si>
  <si>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</si>
  <si>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</si>
  <si>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</si>
  <si>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</si>
  <si>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</si>
  <si>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</si>
  <si>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</si>
  <si>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</si>
  <si>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</si>
  <si>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</si>
  <si>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</si>
  <si>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</si>
  <si>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</si>
  <si>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</si>
  <si>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</si>
  <si>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</si>
  <si>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</si>
  <si>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</si>
  <si>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</si>
  <si>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</si>
  <si>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</si>
  <si>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</si>
  <si>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</si>
  <si>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</si>
  <si>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</si>
  <si>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</si>
  <si>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</si>
  <si>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</si>
  <si>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</si>
  <si>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</si>
  <si>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</si>
  <si>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</si>
  <si>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</si>
  <si>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</si>
  <si>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</si>
  <si>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</si>
  <si>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</si>
  <si>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</si>
  <si>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</si>
  <si>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</si>
  <si>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</si>
  <si>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</si>
  <si>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</si>
  <si>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</si>
  <si>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</si>
  <si>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</si>
  <si>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</si>
  <si>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</si>
  <si>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</si>
  <si>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</si>
  <si>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</si>
  <si>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</si>
  <si>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</si>
  <si>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</si>
  <si>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</si>
  <si>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</si>
  <si>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</si>
  <si>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</si>
  <si>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</si>
  <si>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</si>
  <si>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</si>
  <si>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</si>
  <si>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</si>
  <si>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</si>
  <si>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</si>
  <si>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</si>
  <si>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</si>
  <si>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</si>
  <si>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</si>
  <si>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</si>
  <si>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</si>
  <si>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</si>
  <si>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</si>
  <si>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</si>
  <si>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</si>
  <si>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</si>
  <si>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</si>
  <si>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</si>
  <si>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</si>
  <si>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</si>
  <si>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</si>
  <si>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</si>
  <si>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</si>
  <si>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</si>
  <si>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</si>
  <si>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</si>
  <si>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</si>
  <si>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</si>
  <si>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</si>
  <si>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</si>
  <si>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</si>
  <si>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</si>
  <si>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</si>
  <si>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</si>
  <si>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</si>
  <si>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</si>
  <si>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</si>
  <si>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</si>
  <si>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</si>
  <si>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</si>
  <si>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</si>
  <si>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</si>
  <si>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</si>
  <si>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</si>
  <si>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</si>
  <si>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</si>
  <si>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</si>
  <si>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</si>
  <si>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</si>
  <si>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</si>
  <si>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</si>
  <si>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</si>
  <si>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</si>
  <si>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</si>
  <si>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</si>
  <si>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</si>
  <si>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</si>
  <si>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</si>
  <si>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</si>
  <si>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</si>
  <si>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</si>
  <si>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</si>
  <si>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</si>
  <si>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</si>
  <si>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</si>
  <si>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</si>
  <si>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</si>
  <si>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</si>
  <si>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</si>
  <si>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</si>
  <si>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</si>
  <si>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</si>
  <si>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</si>
  <si>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</si>
  <si>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</si>
  <si>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</si>
  <si>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</si>
  <si>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</si>
  <si>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</si>
  <si>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</si>
  <si>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</si>
  <si>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</si>
  <si>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</si>
  <si>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</si>
  <si>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</si>
  <si>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</si>
  <si>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</si>
  <si>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</si>
  <si>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</si>
  <si>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</si>
  <si>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</si>
  <si>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</si>
  <si>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</si>
  <si>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</si>
  <si>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</si>
  <si>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</si>
  <si>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</si>
  <si>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</si>
  <si>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</si>
  <si>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</si>
  <si>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</si>
  <si>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</si>
  <si>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</si>
  <si>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</si>
  <si>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</si>
  <si>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</si>
  <si>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</si>
  <si>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</si>
  <si>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</si>
  <si>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</si>
  <si>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</si>
  <si>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</si>
  <si>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</si>
  <si>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</si>
  <si>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</si>
  <si>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</si>
  <si>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</si>
  <si>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</si>
  <si>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</si>
  <si>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</si>
  <si>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</si>
  <si>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</si>
  <si>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</si>
  <si>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</si>
  <si>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</si>
  <si>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</si>
  <si>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</si>
  <si>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</si>
  <si>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</si>
  <si>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</si>
  <si>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</si>
  <si>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</si>
  <si>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</si>
  <si>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</si>
  <si>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</si>
  <si>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</si>
  <si>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</si>
  <si>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</si>
  <si>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</si>
  <si>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</si>
  <si>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</si>
  <si>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</si>
  <si>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</si>
  <si>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</si>
  <si>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</si>
  <si>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</si>
  <si>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</si>
  <si>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</si>
  <si>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</si>
  <si>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</si>
  <si>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</si>
  <si>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</si>
  <si>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</si>
  <si>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</si>
  <si>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</si>
  <si>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</si>
  <si>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</si>
  <si>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</si>
  <si>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</si>
  <si>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</si>
  <si>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</si>
  <si>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</si>
  <si>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</si>
  <si>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</si>
  <si>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</si>
  <si>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</si>
  <si>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</si>
  <si>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</si>
  <si>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</si>
  <si>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</si>
  <si>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</si>
  <si>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</si>
  <si>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</si>
  <si>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</si>
  <si>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</si>
  <si>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</si>
  <si>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</si>
  <si>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</si>
  <si>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</si>
  <si>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</si>
  <si>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</si>
  <si>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</si>
  <si>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</si>
  <si>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</si>
  <si>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</si>
  <si>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</si>
  <si>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</si>
  <si>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</si>
  <si>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</si>
  <si>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</si>
  <si>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</si>
  <si>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</si>
  <si>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</si>
  <si>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</si>
  <si>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</si>
  <si>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</si>
  <si>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</si>
  <si>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</si>
  <si>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</si>
  <si>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</si>
  <si>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</si>
  <si>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</si>
  <si>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</si>
  <si>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</si>
  <si>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</si>
  <si>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</si>
  <si>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</si>
  <si>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</si>
  <si>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</si>
  <si>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</si>
  <si>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</si>
  <si>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</si>
  <si>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</si>
  <si>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</si>
  <si>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</si>
  <si>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</si>
  <si>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</si>
  <si>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</si>
  <si>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</si>
  <si>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</si>
  <si>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</si>
  <si>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</si>
  <si>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</si>
  <si>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</si>
  <si>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</si>
  <si>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</si>
  <si>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</si>
  <si>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</si>
  <si>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</si>
  <si>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</si>
  <si>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</si>
  <si>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</si>
  <si>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</si>
  <si>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</si>
  <si>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</si>
  <si>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</si>
  <si>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</si>
  <si>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</si>
  <si>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</si>
  <si>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</si>
  <si>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</si>
  <si>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</si>
  <si>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</si>
  <si>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</si>
  <si>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</si>
  <si>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</si>
  <si>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</si>
  <si>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</si>
  <si>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</si>
  <si>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</si>
  <si>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</si>
  <si>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</si>
  <si>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</si>
  <si>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</si>
  <si>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</si>
  <si>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</si>
  <si>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</si>
  <si>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</si>
  <si>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</si>
  <si>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</si>
  <si>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</si>
  <si>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</si>
  <si>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</si>
  <si>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</si>
  <si>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</si>
  <si>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</si>
  <si>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</si>
  <si>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</si>
  <si>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</si>
  <si>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</si>
  <si>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</si>
  <si>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</si>
  <si>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</si>
  <si>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</si>
  <si>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</si>
  <si>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</si>
  <si>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</si>
  <si>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</si>
  <si>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</si>
  <si>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</si>
  <si>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</si>
  <si>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</si>
  <si>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</si>
  <si>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</si>
  <si>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</si>
  <si>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</si>
  <si>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</si>
  <si>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</si>
  <si>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</si>
  <si>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</si>
  <si>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</si>
  <si>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</si>
  <si>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</si>
  <si>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</si>
  <si>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</si>
  <si>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</si>
  <si>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</si>
  <si>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</si>
  <si>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</si>
  <si>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</si>
  <si>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</si>
  <si>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</si>
  <si>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</si>
  <si>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</si>
  <si>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</si>
  <si>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</si>
  <si>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</si>
  <si>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</si>
  <si>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</si>
  <si>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</si>
  <si>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</si>
  <si>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</si>
  <si>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</si>
  <si>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</si>
  <si>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</si>
  <si>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</si>
  <si>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</si>
  <si>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</si>
  <si>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</si>
  <si>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</si>
  <si>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</si>
  <si>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</si>
  <si>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</si>
  <si>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</si>
  <si>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</si>
  <si>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</si>
  <si>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</si>
  <si>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</si>
  <si>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</si>
  <si>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</si>
  <si>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</si>
  <si>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</si>
  <si>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</si>
  <si>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</si>
  <si>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</si>
  <si>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</si>
  <si>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</si>
  <si>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</si>
  <si>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</si>
  <si>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</si>
  <si>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</si>
  <si>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</si>
  <si>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</si>
  <si>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</si>
  <si>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</si>
  <si>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</si>
  <si>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</si>
  <si>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</si>
  <si>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</si>
  <si>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</si>
  <si>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</si>
  <si>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</si>
  <si>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</si>
  <si>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</si>
  <si>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</si>
  <si>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</si>
  <si>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</si>
  <si>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</si>
  <si>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</si>
  <si>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</si>
  <si>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</si>
  <si>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</si>
  <si>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</si>
  <si>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</si>
  <si>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</si>
  <si>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</si>
  <si>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</si>
  <si>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</si>
  <si>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</si>
  <si>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</si>
  <si>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</si>
  <si>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</si>
  <si>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</si>
  <si>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</si>
  <si>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</si>
  <si>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</si>
  <si>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</si>
  <si>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</si>
  <si>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</si>
  <si>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</si>
  <si>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</si>
  <si>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</si>
  <si>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</si>
  <si>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</si>
  <si>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</si>
  <si>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</si>
  <si>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</si>
  <si>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</si>
  <si>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</si>
  <si>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</si>
  <si>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</si>
  <si>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</si>
  <si>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</si>
  <si>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</si>
  <si>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</si>
  <si>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</si>
  <si>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</si>
  <si>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</si>
  <si>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</si>
  <si>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</si>
  <si>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</si>
  <si>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</si>
  <si>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</si>
  <si>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</si>
  <si>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</si>
  <si>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</si>
  <si>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</si>
  <si>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</si>
  <si>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</si>
  <si>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</si>
  <si>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</si>
  <si>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</si>
  <si>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</si>
  <si>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</si>
  <si>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</si>
  <si>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</si>
  <si>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</si>
  <si>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</si>
  <si>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</si>
  <si>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</si>
  <si>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</si>
  <si>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</si>
  <si>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</si>
  <si>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</si>
  <si>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</si>
  <si>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</si>
  <si>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</si>
  <si>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</si>
  <si>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</si>
  <si>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</si>
  <si>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</si>
  <si>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</si>
  <si>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</si>
  <si>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</si>
  <si>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</si>
  <si>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</si>
  <si>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</si>
  <si>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</si>
  <si>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</si>
  <si>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</si>
  <si>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</si>
  <si>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</si>
  <si>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</si>
  <si>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</si>
  <si>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</si>
  <si>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</si>
  <si>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</si>
  <si>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</si>
  <si>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</si>
  <si>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</si>
  <si>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</si>
  <si>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</si>
  <si>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</si>
  <si>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</si>
  <si>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</si>
  <si>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</si>
  <si>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</si>
  <si>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</si>
  <si>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</si>
  <si>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</si>
  <si>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</si>
  <si>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</si>
  <si>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</si>
  <si>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</si>
  <si>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</si>
  <si>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</si>
  <si>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</si>
  <si>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</si>
  <si>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</si>
  <si>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</si>
  <si>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</si>
  <si>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</si>
  <si>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</si>
  <si>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</si>
  <si>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</si>
  <si>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</si>
  <si>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</si>
  <si>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</si>
  <si>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</si>
  <si>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</si>
  <si>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</si>
  <si>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</si>
  <si>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</si>
  <si>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</si>
  <si>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</si>
  <si>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</si>
  <si>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</si>
  <si>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</si>
  <si>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</si>
  <si>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</si>
  <si>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</si>
  <si>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</si>
  <si>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</si>
  <si>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</si>
  <si>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</si>
  <si>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</si>
  <si>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</si>
  <si>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</si>
  <si>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</si>
  <si>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</si>
  <si>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</si>
  <si>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</si>
  <si>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</si>
  <si>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</si>
  <si>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</si>
  <si>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</si>
  <si>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</si>
  <si>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</si>
  <si>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</si>
  <si>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</si>
  <si>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</si>
  <si>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</si>
  <si>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</si>
  <si>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</si>
  <si>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</si>
  <si>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</si>
  <si>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</si>
  <si>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</si>
  <si>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</si>
  <si>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</si>
  <si>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</si>
  <si>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</si>
  <si>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</si>
  <si>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</si>
  <si>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</si>
  <si>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</si>
  <si>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</si>
  <si>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</si>
  <si>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</si>
  <si>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</si>
  <si>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</si>
  <si>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</si>
  <si>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</si>
  <si>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</si>
  <si>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</si>
  <si>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</si>
  <si>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</si>
  <si>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</si>
  <si>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</si>
  <si>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</si>
  <si>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</si>
  <si>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</si>
  <si>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</si>
  <si>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</si>
  <si>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</si>
  <si>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</si>
  <si>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</si>
  <si>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</si>
  <si>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</si>
  <si>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</si>
  <si>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</si>
  <si>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</si>
  <si>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</si>
  <si>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</si>
  <si>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</si>
  <si>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</si>
  <si>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</si>
  <si>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</si>
  <si>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</si>
  <si>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</si>
  <si>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</si>
  <si>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</si>
  <si>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</si>
  <si>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</si>
  <si>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</si>
  <si>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</si>
  <si>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</si>
  <si>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</si>
  <si>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</si>
  <si>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</si>
  <si>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</si>
  <si>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</si>
  <si>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</si>
  <si>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</si>
  <si>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</si>
  <si>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</si>
  <si>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</si>
  <si>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</si>
  <si>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</si>
  <si>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</si>
  <si>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</si>
  <si>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</si>
  <si>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</si>
  <si>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</si>
  <si>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</si>
  <si>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</si>
  <si>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</si>
  <si>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</si>
  <si>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</si>
  <si>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</si>
  <si>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</si>
  <si>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</si>
  <si>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</si>
  <si>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</si>
  <si>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</si>
  <si>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</si>
  <si>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</si>
  <si>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</si>
  <si>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</si>
  <si>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</si>
  <si>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</si>
  <si>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</si>
  <si>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</si>
  <si>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</si>
  <si>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</si>
  <si>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</si>
  <si>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</si>
  <si>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</si>
  <si>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</si>
  <si>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</si>
  <si>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</si>
  <si>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</si>
  <si>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</si>
  <si>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</si>
  <si>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</si>
  <si>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</si>
  <si>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</si>
  <si>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</si>
  <si>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</si>
  <si>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</si>
  <si>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</si>
  <si>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</si>
  <si>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</si>
  <si>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</si>
  <si>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</si>
  <si>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</si>
  <si>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</si>
  <si>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</si>
  <si>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</si>
  <si>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</si>
  <si>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</si>
  <si>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</si>
  <si>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</si>
  <si>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</si>
  <si>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</si>
  <si>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</si>
  <si>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</si>
  <si>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</si>
  <si>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</si>
  <si>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</si>
  <si>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</si>
  <si>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</si>
  <si>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</si>
  <si>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</si>
  <si>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</si>
  <si>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</si>
  <si>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</si>
  <si>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</si>
  <si>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</si>
  <si>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</si>
  <si>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</si>
  <si>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</si>
  <si>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</si>
  <si>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</si>
  <si>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</si>
  <si>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</si>
  <si>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</si>
  <si>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</si>
  <si>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</si>
  <si>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</si>
  <si>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</si>
  <si>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</si>
  <si>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</si>
  <si>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</si>
  <si>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</si>
  <si>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</si>
  <si>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</si>
  <si>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</si>
  <si>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</si>
  <si>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</si>
  <si>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</si>
  <si>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</si>
  <si>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</si>
  <si>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</si>
  <si>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</si>
  <si>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</si>
  <si>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</si>
  <si>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</si>
  <si>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</si>
  <si>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</si>
  <si>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</si>
  <si>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</si>
  <si>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</si>
  <si>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</si>
  <si>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</si>
  <si>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</si>
  <si>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</si>
  <si>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</si>
  <si>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</si>
  <si>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</si>
  <si>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</si>
  <si>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</si>
  <si>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</si>
  <si>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</si>
  <si>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</si>
  <si>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</si>
  <si>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</si>
  <si>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</si>
  <si>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</si>
  <si>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</si>
  <si>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</si>
  <si>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</si>
  <si>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</si>
  <si>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</si>
  <si>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</si>
  <si>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</si>
  <si>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</si>
  <si>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</si>
  <si>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</si>
  <si>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</si>
  <si>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</si>
  <si>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</si>
  <si>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</si>
  <si>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</si>
  <si>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</si>
  <si>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</si>
  <si>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</si>
  <si>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</si>
  <si>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</si>
  <si>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</si>
  <si>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</si>
  <si>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</si>
  <si>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</si>
  <si>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</si>
  <si>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</si>
  <si>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</si>
  <si>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</si>
  <si>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</si>
  <si>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</si>
  <si>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</si>
  <si>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</si>
  <si>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</si>
  <si>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</si>
  <si>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</si>
  <si>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</si>
  <si>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</si>
  <si>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</si>
  <si>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</si>
  <si>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</si>
  <si>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</si>
  <si>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</si>
  <si>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</si>
  <si>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</si>
  <si>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</si>
  <si>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</si>
  <si>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</si>
  <si>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</si>
  <si>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</si>
  <si>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</si>
  <si>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</si>
  <si>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</si>
  <si>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</si>
  <si>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</si>
  <si>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</si>
  <si>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</si>
  <si>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</si>
  <si>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</si>
  <si>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</si>
  <si>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</si>
  <si>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</si>
  <si>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</si>
  <si>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</si>
  <si>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</si>
  <si>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</si>
  <si>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</si>
  <si>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</si>
  <si>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</si>
  <si>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</si>
  <si>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</si>
  <si>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</si>
  <si>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</si>
  <si>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</si>
  <si>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</si>
  <si>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</si>
  <si>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</si>
  <si>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</si>
  <si>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</si>
  <si>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</si>
  <si>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</si>
  <si>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</si>
  <si>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</si>
  <si>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</si>
  <si>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</si>
  <si>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</si>
  <si>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</si>
  <si>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</si>
  <si>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</si>
  <si>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</si>
  <si>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</si>
  <si>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</si>
  <si>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</si>
  <si>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</si>
  <si>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</si>
  <si>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</si>
  <si>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</si>
  <si>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</si>
  <si>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</si>
  <si>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</si>
  <si>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</si>
  <si>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</si>
  <si>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</si>
  <si>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</si>
  <si>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</si>
  <si>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</si>
  <si>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</si>
  <si>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</si>
  <si>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</si>
  <si>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</si>
  <si>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</si>
  <si>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</si>
  <si>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</si>
  <si>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</si>
  <si>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</si>
  <si>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</si>
  <si>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</si>
  <si>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</si>
  <si>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</si>
  <si>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</si>
  <si>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</si>
  <si>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</si>
  <si>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</si>
  <si>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</si>
  <si>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</si>
  <si>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</si>
  <si>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</si>
  <si>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</si>
  <si>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</si>
  <si>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</si>
  <si>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</si>
  <si>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</si>
  <si>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</si>
  <si>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</si>
  <si>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</si>
  <si>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</si>
  <si>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</si>
  <si>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</si>
  <si>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</si>
  <si>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</si>
  <si>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</si>
  <si>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</si>
  <si>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</si>
  <si>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</si>
  <si>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</si>
  <si>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</si>
  <si>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</si>
  <si>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</si>
  <si>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</si>
  <si>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</si>
  <si>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</si>
  <si>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</si>
  <si>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</si>
  <si>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</si>
  <si>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</si>
  <si>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</si>
  <si>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</si>
  <si>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</si>
  <si>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</si>
  <si>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</si>
  <si>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</si>
  <si>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</si>
  <si>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</si>
  <si>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</si>
  <si>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</si>
  <si>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</si>
  <si>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</si>
  <si>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</si>
  <si>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</si>
  <si>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</si>
  <si>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</si>
  <si>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</si>
  <si>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</si>
  <si>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</si>
  <si>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</si>
  <si>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</si>
  <si>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</si>
  <si>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</si>
  <si>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</si>
  <si>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</si>
  <si>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</si>
  <si>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</si>
  <si>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</si>
  <si>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</si>
  <si>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</si>
  <si>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</si>
  <si>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</si>
  <si>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</si>
  <si>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</si>
  <si>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</si>
  <si>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</si>
  <si>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</si>
  <si>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</si>
  <si>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</si>
  <si>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</si>
  <si>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</si>
  <si>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</si>
  <si>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</si>
  <si>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</si>
  <si>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</si>
  <si>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</si>
  <si>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</si>
  <si>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</si>
  <si>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</si>
  <si>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</si>
  <si>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</si>
  <si>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</si>
  <si>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</si>
  <si>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</si>
  <si>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</si>
  <si>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</si>
  <si>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</si>
  <si>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</si>
  <si>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</si>
  <si>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</si>
  <si>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</si>
  <si>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</si>
  <si>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</si>
  <si>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</si>
  <si>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</si>
  <si>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</si>
  <si>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</si>
  <si>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</si>
  <si>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</si>
  <si>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</si>
  <si>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</si>
  <si>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</si>
  <si>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</si>
  <si>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</si>
  <si>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</si>
  <si>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</si>
  <si>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</si>
  <si>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</si>
  <si>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</si>
  <si>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</si>
  <si>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</si>
  <si>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</si>
  <si>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</si>
  <si>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</si>
  <si>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</si>
  <si>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</si>
  <si>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</si>
  <si>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</si>
  <si>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</si>
  <si>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</si>
  <si>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</si>
  <si>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</si>
  <si>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</si>
  <si>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</si>
  <si>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</si>
  <si>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</si>
  <si>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</si>
  <si>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</si>
  <si>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</si>
  <si>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</si>
  <si>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</si>
  <si>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</si>
  <si>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</si>
  <si>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</si>
  <si>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</si>
  <si>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</si>
  <si>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</si>
  <si>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</si>
  <si>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</si>
  <si>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</si>
  <si>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</si>
  <si>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</si>
  <si>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</si>
  <si>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</si>
  <si>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</si>
  <si>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</si>
  <si>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</si>
  <si>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</si>
  <si>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</si>
  <si>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</si>
  <si>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</si>
  <si>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</si>
  <si>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</si>
  <si>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</si>
  <si>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</si>
  <si>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</si>
  <si>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</si>
  <si>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</si>
  <si>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</si>
  <si>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</si>
  <si>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</si>
  <si>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</si>
  <si>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</si>
  <si>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</si>
  <si>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</si>
  <si>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</si>
  <si>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</si>
  <si>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</si>
  <si>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</si>
  <si>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</si>
  <si>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</si>
  <si>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</si>
  <si>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</si>
  <si>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</si>
  <si>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</si>
  <si>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</si>
  <si>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</si>
  <si>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</si>
  <si>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</si>
  <si>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</si>
  <si>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</si>
  <si>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</si>
  <si>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</si>
  <si>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</si>
  <si>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</si>
  <si>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</si>
  <si>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</si>
  <si>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</si>
  <si>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</si>
  <si>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</si>
  <si>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</si>
  <si>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</si>
  <si>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</si>
  <si>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</si>
  <si>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</si>
  <si>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</si>
  <si>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</si>
  <si>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</si>
  <si>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</si>
  <si>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</si>
  <si>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</si>
  <si>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</si>
  <si>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</si>
  <si>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</si>
  <si>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</si>
  <si>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</si>
  <si>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</si>
  <si>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</si>
  <si>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</si>
  <si>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</si>
  <si>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</si>
  <si>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</si>
  <si>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</si>
  <si>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</si>
  <si>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</si>
  <si>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</si>
  <si>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</si>
  <si>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</si>
  <si>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</si>
  <si>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</si>
  <si>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</si>
  <si>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</si>
  <si>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</si>
  <si>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</si>
  <si>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</si>
  <si>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</si>
  <si>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</si>
  <si>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</si>
  <si>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</si>
  <si>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</si>
  <si>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</si>
  <si>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</si>
  <si>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</si>
  <si>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</si>
  <si>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</si>
  <si>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</si>
  <si>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</si>
  <si>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</si>
  <si>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</si>
  <si>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</si>
  <si>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</si>
  <si>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</si>
  <si>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</si>
  <si>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</si>
  <si>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</si>
  <si>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</si>
  <si>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</si>
  <si>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</si>
  <si>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</si>
  <si>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</si>
  <si>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</si>
  <si>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</si>
  <si>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</si>
  <si>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</si>
  <si>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</si>
  <si>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</si>
  <si>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</si>
  <si>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</si>
  <si>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</si>
  <si>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</si>
  <si>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</si>
  <si>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</si>
  <si>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</si>
  <si>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</si>
  <si>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</si>
  <si>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</si>
  <si>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</si>
  <si>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</si>
  <si>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</si>
  <si>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</si>
  <si>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</si>
  <si>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</si>
  <si>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</si>
  <si>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</si>
  <si>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</si>
  <si>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</si>
  <si>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</si>
  <si>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</si>
  <si>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</si>
  <si>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</si>
  <si>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</si>
  <si>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</si>
  <si>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</si>
  <si>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</si>
  <si>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</si>
  <si>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</si>
  <si>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</si>
  <si>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</si>
  <si>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</si>
  <si>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</si>
  <si>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</si>
  <si>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</si>
  <si>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</si>
  <si>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</si>
  <si>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</si>
  <si>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</si>
  <si>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</si>
  <si>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</si>
  <si>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</si>
  <si>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</si>
  <si>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</si>
  <si>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</si>
  <si>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</si>
  <si>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</si>
  <si>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</si>
  <si>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</si>
  <si>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</si>
  <si>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</si>
  <si>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</si>
  <si>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</si>
  <si>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</si>
  <si>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</si>
  <si>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</si>
  <si>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</si>
  <si>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</si>
  <si>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</si>
  <si>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</si>
  <si>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</si>
  <si>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</si>
  <si>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</si>
  <si>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</si>
  <si>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</si>
  <si>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</si>
  <si>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</si>
  <si>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</si>
  <si>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</si>
  <si>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</si>
  <si>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</si>
  <si>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</si>
  <si>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</si>
  <si>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</si>
  <si>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</si>
  <si>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</si>
  <si>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</si>
  <si>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</si>
  <si>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</si>
  <si>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</si>
  <si>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</si>
  <si>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</si>
  <si>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</si>
  <si>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</si>
  <si>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</si>
  <si>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</si>
  <si>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</si>
  <si>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</si>
  <si>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</si>
  <si>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</si>
  <si>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</si>
  <si>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</si>
  <si>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</si>
  <si>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</si>
  <si>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</si>
  <si>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</si>
  <si>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</si>
  <si>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</si>
  <si>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</si>
  <si>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</si>
  <si>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</si>
  <si>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</si>
  <si>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</si>
  <si>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</si>
  <si>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</si>
  <si>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</si>
  <si>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</si>
  <si>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</si>
  <si>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</si>
  <si>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</si>
  <si>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</si>
  <si>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</si>
  <si>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</si>
  <si>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</si>
  <si>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</si>
  <si>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</si>
  <si>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</si>
  <si>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</si>
  <si>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</si>
  <si>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</si>
  <si>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</si>
  <si>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</si>
  <si>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</si>
  <si>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</si>
  <si>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</si>
  <si>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</si>
  <si>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</si>
  <si>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</si>
  <si>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</si>
  <si>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</si>
  <si>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</si>
  <si>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</si>
  <si>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</si>
  <si>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</si>
  <si>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</si>
  <si>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</si>
  <si>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</si>
  <si>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</si>
  <si>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</si>
  <si>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</si>
  <si>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</si>
  <si>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</si>
  <si>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</si>
  <si>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</si>
  <si>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</si>
  <si>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</si>
  <si>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</si>
  <si>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</si>
  <si>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</si>
  <si>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</si>
  <si>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</si>
  <si>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</si>
  <si>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</si>
  <si>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</si>
  <si>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</si>
  <si>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</si>
  <si>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</si>
  <si>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</si>
  <si>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</si>
  <si>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</si>
  <si>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</si>
  <si>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</si>
  <si>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</si>
  <si>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</si>
  <si>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</si>
  <si>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</si>
  <si>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</si>
  <si>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</si>
  <si>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</si>
  <si>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</si>
  <si>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</si>
  <si>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</si>
  <si>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</si>
  <si>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</si>
  <si>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</si>
  <si>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</si>
  <si>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</si>
  <si>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</si>
  <si>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</si>
  <si>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</si>
  <si>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</si>
  <si>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</si>
  <si>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</si>
  <si>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</si>
  <si>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</si>
  <si>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</si>
  <si>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</si>
  <si>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</si>
  <si>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</si>
  <si>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</si>
  <si>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</si>
  <si>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</si>
  <si>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</si>
  <si>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</si>
  <si>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</si>
  <si>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</si>
  <si>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</si>
  <si>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</si>
  <si>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</si>
  <si>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</si>
  <si>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</si>
  <si>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</si>
  <si>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</si>
  <si>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</si>
  <si>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</si>
  <si>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</si>
  <si>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</si>
  <si>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</si>
  <si>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</si>
  <si>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</si>
  <si>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</si>
  <si>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</si>
  <si>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</si>
  <si>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</si>
  <si>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</si>
  <si>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</si>
  <si>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</si>
  <si>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</si>
  <si>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</si>
  <si>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</si>
  <si>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</si>
  <si>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</si>
  <si>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</si>
  <si>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</si>
  <si>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</si>
  <si>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</si>
  <si>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</si>
  <si>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</si>
  <si>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</si>
  <si>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</si>
  <si>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</si>
  <si>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</si>
  <si>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</si>
  <si>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</si>
  <si>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</si>
  <si>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</si>
  <si>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</si>
  <si>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</si>
  <si>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</si>
  <si>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</si>
  <si>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</si>
  <si>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</si>
  <si>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</si>
  <si>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</si>
  <si>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</si>
  <si>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</si>
  <si>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</si>
  <si>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</si>
  <si>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</si>
  <si>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</si>
  <si>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</si>
  <si>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</si>
  <si>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</si>
  <si>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</si>
  <si>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</si>
  <si>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</si>
  <si>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</si>
  <si>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</si>
  <si>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</si>
  <si>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</si>
  <si>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</si>
  <si>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</si>
  <si>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</si>
  <si>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</si>
  <si>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</si>
  <si>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</si>
  <si>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</si>
  <si>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</si>
  <si>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</si>
  <si>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</si>
  <si>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</si>
  <si>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</si>
  <si>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</si>
  <si>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</si>
  <si>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</si>
  <si>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</si>
  <si>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</si>
  <si>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</si>
  <si>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</si>
  <si>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</si>
  <si>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</si>
  <si>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</si>
  <si>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</si>
  <si>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</si>
  <si>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</si>
  <si>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</si>
  <si>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</si>
  <si>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</si>
  <si>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</si>
  <si>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</si>
  <si>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</si>
  <si>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</si>
  <si>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</si>
  <si>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</si>
  <si>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</si>
  <si>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</si>
  <si>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</si>
  <si>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</si>
  <si>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</si>
  <si>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</si>
  <si>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</si>
  <si>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</si>
  <si>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</si>
  <si>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</si>
  <si>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</si>
  <si>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</si>
  <si>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</si>
  <si>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</si>
  <si>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</si>
  <si>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</si>
  <si>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</si>
  <si>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</si>
  <si>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</si>
  <si>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</si>
  <si>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</si>
  <si>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</si>
  <si>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</si>
  <si>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</si>
  <si>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</si>
  <si>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</si>
  <si>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</si>
  <si>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</si>
  <si>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</si>
  <si>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</si>
  <si>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</si>
  <si>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</si>
  <si>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</si>
  <si>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</si>
  <si>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</si>
  <si>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</si>
  <si>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</si>
  <si>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</si>
  <si>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</si>
  <si>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</si>
  <si>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</si>
  <si>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</si>
  <si>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</si>
  <si>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</si>
  <si>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</si>
  <si>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</si>
  <si>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</si>
  <si>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</si>
  <si>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</si>
  <si>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</si>
  <si>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</si>
  <si>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</si>
  <si>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</si>
  <si>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</si>
  <si>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</si>
  <si>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</si>
  <si>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</si>
  <si>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</si>
  <si>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</si>
  <si>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</si>
  <si>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</si>
  <si>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</si>
  <si>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</si>
  <si>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</si>
  <si>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</si>
  <si>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</si>
  <si>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</si>
  <si>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</si>
  <si>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</si>
  <si>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</si>
  <si>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</si>
  <si>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</si>
  <si>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</si>
  <si>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</si>
  <si>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</si>
  <si>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</si>
  <si>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</si>
  <si>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</si>
  <si>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</si>
  <si>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</si>
  <si>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</si>
  <si>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</si>
  <si>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</si>
  <si>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</si>
  <si>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</si>
  <si>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</si>
  <si>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</si>
  <si>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</si>
  <si>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</si>
  <si>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</si>
  <si>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</si>
  <si>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</si>
  <si>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</si>
  <si>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</si>
  <si>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</si>
  <si>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</si>
  <si>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</si>
  <si>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</si>
  <si>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</si>
  <si>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</si>
  <si>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</si>
  <si>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</si>
  <si>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</si>
  <si>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</si>
  <si>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</si>
  <si>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</si>
  <si>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</si>
  <si>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</si>
  <si>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</si>
  <si>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</si>
  <si>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</si>
  <si>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</si>
  <si>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</si>
  <si>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</si>
  <si>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</si>
  <si>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</si>
  <si>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</si>
  <si>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</si>
  <si>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</si>
  <si>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</si>
  <si>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</si>
  <si>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</si>
  <si>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</si>
  <si>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</si>
  <si>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</si>
  <si>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</si>
  <si>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</si>
  <si>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</si>
  <si>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</si>
  <si>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</si>
  <si>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</si>
  <si>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</si>
  <si>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</si>
  <si>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</si>
  <si>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</si>
  <si>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</si>
  <si>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</si>
  <si>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</si>
  <si>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</si>
  <si>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</si>
  <si>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</si>
  <si>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</si>
  <si>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</si>
  <si>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</si>
  <si>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</si>
  <si>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</si>
  <si>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</si>
  <si>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</si>
  <si>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</si>
  <si>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</si>
  <si>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</si>
  <si>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</si>
  <si>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</si>
  <si>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</si>
  <si>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</si>
  <si>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</si>
  <si>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</si>
  <si>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</si>
  <si>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</si>
  <si>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</si>
  <si>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</si>
  <si>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</si>
  <si>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</si>
  <si>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</si>
  <si>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</si>
  <si>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</si>
  <si>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</si>
  <si>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</si>
  <si>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</si>
  <si>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</si>
  <si>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</si>
  <si>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</si>
  <si>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</si>
  <si>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</si>
  <si>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</si>
  <si>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</si>
  <si>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</si>
  <si>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</si>
  <si>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</si>
  <si>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</si>
  <si>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</si>
  <si>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</si>
  <si>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</si>
  <si>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</si>
  <si>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</si>
  <si>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</si>
  <si>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</si>
  <si>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</si>
  <si>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</si>
  <si>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</si>
  <si>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</si>
  <si>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</si>
  <si>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</si>
  <si>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</si>
  <si>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</si>
  <si>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</si>
  <si>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</si>
  <si>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</si>
  <si>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</si>
  <si>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</si>
  <si>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</si>
  <si>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</si>
  <si>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</si>
  <si>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</si>
  <si>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</si>
  <si>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</si>
  <si>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</si>
  <si>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</si>
  <si>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</si>
  <si>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</si>
  <si>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</si>
  <si>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</si>
  <si>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</si>
  <si>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</si>
  <si>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</si>
  <si>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</si>
  <si>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</si>
  <si>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</si>
  <si>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</si>
  <si>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</si>
  <si>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</si>
  <si>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</si>
  <si>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</si>
  <si>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</si>
  <si>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</si>
  <si>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</si>
  <si>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</si>
  <si>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</si>
  <si>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</si>
  <si>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</si>
  <si>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</si>
  <si>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</si>
  <si>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</si>
  <si>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</si>
  <si>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</si>
  <si>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</si>
  <si>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</si>
  <si>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</si>
  <si>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</si>
  <si>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</si>
  <si>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</si>
  <si>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</si>
  <si>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</si>
  <si>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</si>
  <si>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</si>
  <si>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</si>
  <si>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</si>
  <si>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</si>
  <si>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</si>
  <si>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</si>
  <si>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</si>
  <si>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</si>
  <si>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</si>
  <si>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</si>
  <si>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</si>
  <si>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</si>
  <si>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</si>
  <si>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</si>
  <si>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</si>
  <si>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</si>
  <si>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</si>
  <si>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</si>
  <si>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</si>
  <si>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</si>
  <si>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</si>
  <si>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</si>
  <si>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</si>
  <si>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</si>
  <si>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</si>
  <si>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</si>
  <si>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</si>
  <si>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</si>
  <si>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</si>
  <si>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</si>
  <si>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</si>
  <si>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</si>
  <si>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</si>
  <si>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</si>
  <si>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</si>
  <si>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</si>
  <si>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</si>
  <si>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</si>
  <si>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</si>
  <si>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</si>
  <si>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</si>
  <si>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</si>
  <si>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</si>
  <si>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</si>
  <si>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</si>
  <si>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</si>
  <si>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</si>
  <si>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</si>
  <si>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</si>
  <si>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</si>
  <si>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</si>
  <si>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</si>
  <si>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</si>
  <si>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</si>
  <si>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</si>
  <si>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</si>
  <si>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</si>
  <si>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</si>
  <si>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</si>
  <si>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</si>
  <si>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</si>
  <si>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</si>
  <si>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</si>
  <si>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</si>
  <si>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</si>
  <si>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</si>
  <si>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</si>
  <si>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</si>
  <si>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</si>
  <si>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</si>
  <si>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</si>
  <si>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</si>
  <si>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</si>
  <si>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</si>
  <si>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</si>
  <si>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</si>
  <si>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</si>
  <si>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</si>
  <si>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</si>
  <si>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</si>
  <si>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</si>
  <si>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</si>
  <si>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</si>
  <si>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</si>
  <si>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</si>
  <si>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</si>
  <si>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</si>
  <si>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</si>
  <si>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</si>
  <si>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</si>
  <si>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</si>
  <si>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</si>
  <si>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</si>
  <si>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</si>
  <si>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</si>
  <si>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</si>
  <si>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</si>
  <si>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</si>
  <si>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</si>
  <si>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</si>
  <si>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</si>
  <si>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</si>
  <si>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</si>
  <si>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</si>
  <si>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</si>
  <si>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</si>
  <si>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</si>
  <si>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</si>
  <si>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</si>
  <si>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</si>
  <si>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</si>
  <si>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</si>
  <si>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</si>
  <si>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</si>
  <si>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</si>
  <si>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</si>
  <si>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</si>
  <si>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</si>
  <si>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</si>
  <si>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</si>
  <si>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</si>
  <si>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</si>
  <si>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</si>
  <si>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</si>
  <si>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</si>
  <si>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</si>
  <si>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</si>
  <si>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</si>
  <si>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</si>
  <si>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</si>
  <si>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</si>
  <si>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</si>
  <si>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</si>
  <si>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</si>
  <si>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</si>
  <si>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</si>
  <si>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</si>
  <si>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</si>
  <si>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</si>
  <si>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</si>
  <si>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</si>
  <si>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</si>
  <si>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</si>
  <si>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</si>
  <si>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</si>
  <si>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</si>
  <si>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</si>
  <si>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</si>
  <si>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</si>
  <si>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</si>
  <si>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</si>
  <si>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</si>
  <si>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</si>
  <si>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</si>
  <si>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</si>
  <si>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</si>
  <si>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</si>
  <si>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</si>
  <si>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</si>
  <si>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</si>
  <si>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</si>
  <si>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</si>
  <si>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</si>
  <si>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</si>
  <si>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</si>
  <si>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</si>
  <si>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</si>
  <si>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</si>
  <si>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</si>
  <si>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</si>
  <si>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</si>
  <si>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</si>
  <si>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</si>
  <si>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</si>
  <si>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</si>
  <si>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</si>
  <si>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</si>
  <si>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</si>
  <si>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</si>
  <si>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</si>
  <si>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</si>
  <si>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</si>
  <si>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</si>
  <si>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</si>
  <si>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</si>
  <si>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</si>
  <si>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</si>
  <si>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</si>
  <si>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</si>
  <si>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</si>
  <si>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</si>
  <si>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</si>
  <si>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</si>
  <si>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</si>
  <si>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</si>
  <si>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</si>
  <si>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</si>
  <si>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</si>
  <si>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</si>
  <si>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</si>
  <si>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</si>
  <si>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</si>
  <si>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</si>
  <si>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</si>
  <si>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</si>
  <si>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</si>
  <si>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</si>
  <si>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</si>
  <si>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</si>
  <si>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</si>
  <si>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</si>
  <si>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</si>
  <si>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</si>
  <si>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</si>
  <si>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</si>
  <si>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</si>
  <si>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</si>
  <si>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</si>
  <si>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</si>
  <si>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</si>
  <si>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</si>
  <si>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</si>
  <si>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</si>
  <si>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</si>
  <si>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</si>
  <si>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</si>
  <si>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</si>
  <si>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</si>
  <si>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</si>
  <si>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</si>
  <si>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</si>
  <si>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</si>
  <si>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</si>
  <si>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</si>
  <si>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</si>
  <si>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</si>
  <si>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</si>
  <si>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</si>
  <si>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</si>
  <si>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</si>
  <si>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</si>
  <si>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</si>
  <si>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</si>
  <si>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</si>
  <si>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</si>
  <si>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</si>
  <si>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</si>
  <si>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</si>
  <si>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</si>
  <si>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</si>
  <si>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</si>
  <si>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</si>
  <si>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</si>
  <si>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</si>
  <si>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</si>
  <si>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</si>
  <si>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</si>
  <si>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</si>
  <si>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</si>
  <si>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</si>
  <si>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</si>
  <si>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</si>
  <si>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</si>
  <si>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</si>
  <si>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</si>
  <si>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</si>
  <si>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</si>
  <si>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</si>
  <si>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</si>
  <si>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</si>
  <si>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</si>
  <si>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</si>
  <si>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</si>
  <si>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</si>
  <si>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</si>
  <si>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</si>
  <si>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</si>
  <si>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</si>
  <si>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</si>
  <si>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</si>
  <si>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</si>
  <si>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</si>
  <si>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</si>
  <si>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</si>
  <si>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</si>
  <si>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</si>
  <si>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</si>
  <si>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</si>
  <si>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</si>
  <si>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</si>
  <si>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</si>
  <si>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</si>
  <si>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</si>
  <si>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</si>
  <si>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</si>
  <si>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</si>
  <si>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</si>
  <si>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</si>
  <si>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</si>
  <si>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</si>
  <si>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</si>
  <si>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</si>
  <si>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</si>
  <si>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</si>
  <si>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</si>
  <si>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</si>
  <si>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</si>
  <si>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</si>
  <si>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</si>
  <si>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</si>
  <si>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</si>
  <si>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</si>
  <si>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</si>
  <si>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</si>
  <si>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</si>
  <si>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</si>
  <si>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</si>
  <si>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</si>
  <si>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</si>
  <si>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</si>
  <si>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</si>
  <si>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</si>
  <si>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</si>
  <si>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</si>
  <si>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</si>
  <si>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</si>
  <si>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</si>
  <si>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</si>
  <si>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</si>
  <si>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</si>
  <si>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</si>
  <si>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</si>
  <si>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</si>
  <si>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</si>
  <si>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</si>
  <si>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</si>
  <si>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</si>
  <si>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</si>
  <si>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</si>
  <si>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</si>
  <si>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</si>
  <si>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</si>
  <si>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</si>
  <si>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</si>
  <si>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</si>
  <si>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</si>
  <si>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</si>
  <si>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</si>
  <si>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</si>
  <si>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</si>
  <si>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</si>
  <si>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</si>
  <si>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</si>
  <si>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</si>
  <si>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</si>
  <si>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</si>
  <si>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</si>
  <si>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</si>
  <si>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</si>
  <si>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</si>
  <si>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</si>
  <si>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</si>
  <si>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</si>
  <si>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</si>
  <si>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</si>
  <si>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</si>
  <si>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</si>
  <si>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</si>
  <si>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</si>
  <si>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</si>
  <si>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</si>
  <si>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</si>
  <si>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</si>
  <si>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</si>
  <si>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</si>
  <si>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</si>
  <si>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</si>
  <si>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</si>
  <si>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</si>
  <si>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</si>
  <si>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</si>
  <si>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</si>
  <si>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</si>
  <si>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</si>
  <si>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</si>
  <si>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</si>
  <si>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</si>
  <si>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</si>
  <si>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</si>
  <si>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</si>
  <si>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</si>
  <si>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</si>
  <si>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</si>
  <si>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</si>
  <si>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</si>
  <si>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</si>
  <si>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</si>
  <si>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</si>
  <si>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</si>
  <si>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</si>
  <si>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</si>
  <si>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</si>
  <si>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</si>
  <si>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</si>
  <si>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</si>
  <si>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</si>
  <si>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</si>
  <si>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</si>
  <si>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</si>
  <si>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</si>
  <si>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</si>
  <si>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</si>
  <si>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</si>
  <si>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</si>
  <si>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</si>
  <si>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</si>
  <si>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</si>
  <si>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</si>
  <si>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</si>
  <si>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</si>
  <si>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</si>
  <si>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</si>
  <si>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</si>
  <si>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</si>
  <si>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</si>
  <si>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</si>
  <si>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</si>
  <si>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</si>
  <si>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</si>
  <si>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</si>
  <si>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</si>
  <si>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</si>
  <si>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</si>
  <si>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</si>
  <si>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</si>
  <si>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</si>
  <si>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</si>
  <si>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</si>
  <si>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</si>
  <si>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</si>
  <si>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</si>
  <si>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</si>
  <si>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</si>
  <si>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</si>
  <si>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</si>
  <si>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</si>
  <si>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</si>
  <si>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</si>
  <si>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</si>
  <si>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</si>
  <si>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</si>
  <si>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</si>
  <si>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</si>
  <si>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</si>
  <si>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</si>
  <si>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</si>
  <si>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</si>
  <si>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</si>
  <si>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</si>
  <si>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</si>
  <si>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</si>
  <si>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</si>
  <si>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</si>
  <si>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</si>
  <si>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</si>
  <si>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</si>
  <si>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</si>
  <si>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</si>
  <si>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</si>
  <si>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</si>
  <si>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</si>
  <si>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</si>
  <si>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</si>
  <si>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</si>
  <si>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</si>
  <si>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</si>
  <si>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</si>
  <si>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</si>
  <si>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</si>
  <si>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</si>
  <si>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</si>
  <si>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</si>
  <si>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</si>
  <si>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</si>
  <si>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</si>
  <si>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</si>
  <si>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</si>
  <si>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</si>
  <si>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</si>
  <si>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</si>
  <si>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</si>
  <si>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</si>
  <si>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</si>
  <si>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</si>
  <si>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</si>
  <si>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</si>
  <si>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</si>
  <si>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</si>
  <si>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</si>
  <si>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</si>
  <si>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</si>
  <si>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</si>
  <si>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</si>
  <si>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</si>
  <si>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</si>
  <si>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</si>
  <si>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</si>
  <si>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</si>
  <si>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</si>
  <si>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</si>
  <si>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</si>
  <si>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</si>
  <si>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</si>
  <si>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</si>
  <si>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</si>
  <si>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</si>
  <si>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</si>
  <si>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</si>
  <si>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</si>
  <si>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</si>
  <si>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</si>
  <si>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</si>
  <si>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</si>
  <si>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</si>
  <si>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</si>
  <si>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</si>
  <si>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</si>
  <si>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</si>
  <si>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</si>
  <si>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</si>
  <si>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</si>
  <si>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</si>
  <si>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</si>
  <si>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</si>
  <si>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</si>
  <si>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</si>
  <si>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</si>
  <si>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</si>
  <si>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</si>
  <si>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</si>
  <si>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</si>
  <si>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</si>
  <si>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</si>
  <si>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</si>
  <si>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</si>
  <si>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</si>
  <si>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</si>
  <si>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</si>
  <si>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</si>
  <si>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</si>
  <si>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</si>
  <si>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</si>
  <si>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</si>
  <si>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</si>
  <si>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</si>
  <si>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</si>
  <si>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</si>
  <si>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</si>
  <si>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</si>
  <si>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</si>
  <si>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</si>
  <si>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</si>
  <si>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</si>
  <si>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</si>
  <si>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</si>
  <si>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</si>
  <si>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</si>
  <si>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</si>
  <si>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</si>
  <si>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</si>
  <si>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</si>
  <si>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</si>
  <si>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</si>
  <si>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</si>
  <si>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</si>
  <si>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</si>
  <si>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</si>
  <si>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</si>
  <si>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</si>
  <si>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</si>
  <si>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</si>
  <si>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</si>
  <si>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</si>
  <si>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</si>
  <si>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</si>
  <si>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</si>
  <si>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</si>
  <si>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</si>
  <si>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</si>
  <si>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</si>
  <si>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</si>
  <si>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</si>
  <si>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</si>
  <si>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</si>
  <si>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</si>
  <si>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</si>
  <si>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</si>
  <si>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</si>
  <si>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</si>
  <si>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</si>
  <si>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</si>
  <si>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</si>
  <si>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</si>
  <si>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</si>
  <si>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</si>
  <si>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</si>
  <si>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</si>
  <si>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</si>
  <si>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</si>
  <si>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</si>
  <si>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</si>
  <si>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</si>
  <si>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</si>
  <si>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</si>
  <si>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</si>
  <si>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</si>
  <si>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</si>
  <si>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</si>
  <si>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</si>
  <si>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</si>
  <si>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</si>
  <si>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</si>
  <si>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</si>
  <si>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</si>
  <si>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</si>
  <si>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</si>
  <si>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</si>
  <si>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</si>
  <si>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</si>
  <si>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</si>
  <si>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</si>
  <si>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</si>
  <si>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</si>
  <si>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</si>
  <si>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</si>
  <si>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</si>
  <si>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</si>
  <si>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</si>
  <si>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</si>
  <si>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</si>
  <si>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</si>
  <si>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</si>
  <si>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</si>
  <si>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</si>
  <si>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</si>
  <si>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</si>
  <si>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</si>
  <si>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</si>
  <si>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</si>
  <si>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</si>
  <si>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</si>
  <si>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</si>
  <si>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</si>
  <si>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</si>
  <si>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</si>
  <si>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</si>
  <si>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</si>
  <si>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</si>
  <si>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</si>
  <si>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</si>
  <si>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</si>
  <si>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</si>
  <si>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</si>
  <si>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</si>
  <si>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</si>
  <si>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</si>
  <si>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</si>
  <si>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</si>
  <si>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</si>
  <si>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</si>
  <si>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</si>
  <si>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</si>
  <si>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</si>
  <si>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</si>
  <si>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</si>
  <si>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</si>
  <si>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</si>
  <si>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</si>
  <si>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</si>
  <si>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</si>
  <si>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</si>
  <si>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</si>
  <si>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</si>
  <si>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</si>
  <si>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</si>
  <si>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</si>
  <si>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</si>
  <si>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</si>
  <si>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</si>
  <si>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</si>
  <si>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</si>
  <si>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</si>
  <si>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</si>
  <si>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</si>
  <si>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</si>
  <si>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</si>
  <si>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</si>
  <si>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</si>
  <si>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</si>
  <si>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</si>
  <si>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</si>
  <si>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</si>
  <si>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</si>
  <si>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</si>
  <si>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</si>
  <si>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</si>
  <si>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</si>
  <si>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</si>
  <si>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</si>
  <si>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</si>
  <si>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</si>
  <si>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</si>
  <si>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</si>
  <si>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</si>
  <si>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</si>
  <si>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</si>
  <si>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</si>
  <si>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</si>
  <si>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</si>
  <si>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</si>
  <si>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</si>
  <si>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</si>
  <si>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</si>
  <si>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</si>
  <si>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</si>
  <si>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</si>
  <si>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</si>
  <si>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</si>
  <si>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</si>
  <si>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</si>
  <si>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</si>
  <si>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</si>
  <si>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</si>
  <si>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</si>
  <si>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</si>
  <si>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</si>
  <si>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</si>
  <si>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</si>
  <si>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</si>
  <si>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</si>
  <si>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</si>
  <si>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</si>
  <si>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</si>
  <si>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</si>
  <si>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</si>
  <si>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</si>
  <si>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</si>
  <si>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</si>
  <si>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</si>
  <si>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</si>
  <si>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</si>
  <si>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</si>
  <si>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</si>
  <si>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</si>
  <si>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</si>
  <si>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</si>
  <si>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</si>
  <si>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</si>
  <si>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</si>
  <si>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</si>
  <si>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</si>
  <si>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</si>
  <si>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</si>
  <si>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</si>
  <si>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</si>
  <si>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</si>
  <si>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</si>
  <si>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</si>
  <si>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</si>
  <si>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</si>
  <si>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</si>
  <si>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</si>
  <si>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</si>
  <si>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</si>
  <si>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</si>
  <si>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</si>
  <si>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</si>
  <si>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</si>
  <si>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</si>
  <si>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</si>
  <si>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</si>
  <si>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</si>
  <si>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</si>
  <si>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</si>
  <si>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</si>
  <si>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</si>
  <si>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</si>
  <si>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</si>
  <si>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</si>
  <si>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</si>
  <si>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</si>
  <si>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</si>
  <si>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</si>
  <si>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</si>
  <si>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</si>
  <si>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</si>
  <si>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</si>
  <si>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</si>
  <si>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</si>
  <si>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</si>
  <si>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</si>
  <si>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</si>
  <si>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</si>
  <si>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</si>
  <si>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</si>
  <si>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</si>
  <si>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</si>
  <si>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</si>
  <si>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</si>
  <si>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</si>
  <si>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</si>
  <si>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</si>
  <si>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</si>
  <si>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</si>
  <si>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</si>
  <si>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</si>
  <si>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</si>
  <si>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</si>
  <si>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</si>
  <si>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</si>
  <si>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</si>
  <si>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</si>
  <si>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</si>
  <si>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</si>
  <si>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</si>
  <si>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</si>
  <si>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</si>
  <si>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</si>
  <si>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</si>
  <si>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</si>
  <si>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</si>
  <si>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</si>
  <si>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</si>
  <si>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</si>
  <si>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</si>
  <si>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</si>
  <si>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</si>
  <si>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</si>
  <si>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</si>
  <si>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</si>
  <si>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</si>
  <si>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</si>
  <si>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</si>
  <si>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</si>
  <si>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</si>
  <si>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</si>
  <si>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</si>
  <si>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</si>
  <si>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</si>
  <si>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</si>
  <si>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</si>
  <si>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</si>
  <si>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</si>
  <si>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</si>
  <si>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</si>
  <si>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</si>
  <si>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</si>
  <si>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</si>
  <si>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</si>
  <si>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</si>
  <si>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</si>
  <si>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</si>
  <si>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</si>
  <si>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</si>
  <si>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</si>
  <si>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</si>
  <si>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</si>
  <si>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</si>
  <si>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</si>
  <si>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</si>
  <si>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</si>
  <si>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</si>
  <si>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</si>
  <si>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</si>
  <si>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</si>
  <si>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</si>
  <si>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</si>
  <si>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</si>
  <si>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</si>
  <si>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</si>
  <si>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</si>
  <si>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</si>
  <si>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</si>
  <si>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</si>
  <si>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</si>
  <si>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</si>
  <si>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</si>
  <si>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</si>
  <si>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</si>
  <si>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</si>
  <si>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</si>
  <si>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</si>
  <si>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</si>
  <si>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</si>
  <si>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</si>
  <si>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</si>
  <si>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</si>
  <si>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</si>
  <si>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</si>
  <si>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</si>
  <si>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</si>
  <si>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</si>
  <si>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</si>
  <si>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</si>
  <si>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</si>
  <si>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</si>
  <si>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</si>
  <si>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</si>
  <si>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</si>
  <si>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</si>
  <si>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</si>
  <si>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</si>
  <si>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</si>
  <si>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</si>
  <si>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</si>
  <si>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</si>
  <si>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</si>
  <si>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</si>
  <si>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</si>
  <si>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</si>
  <si>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</si>
  <si>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</si>
  <si>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</si>
  <si>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</si>
  <si>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</si>
  <si>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</si>
  <si>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</si>
  <si>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</si>
  <si>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</si>
  <si>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</si>
  <si>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</si>
  <si>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</si>
  <si>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</si>
  <si>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</si>
  <si>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</si>
  <si>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</si>
  <si>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</si>
  <si>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</si>
  <si>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</si>
  <si>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</si>
  <si>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</si>
  <si>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</si>
  <si>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</si>
  <si>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</si>
  <si>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</si>
  <si>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</si>
  <si>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</si>
  <si>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</si>
  <si>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</si>
  <si>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</si>
  <si>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</si>
  <si>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</si>
  <si>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</si>
  <si>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</si>
  <si>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</si>
  <si>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</si>
  <si>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</si>
  <si>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</si>
  <si>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</si>
  <si>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</si>
  <si>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</si>
  <si>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</si>
  <si>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</si>
  <si>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</si>
  <si>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</si>
  <si>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</si>
  <si>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</si>
  <si>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</si>
  <si>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</si>
  <si>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</si>
  <si>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</si>
  <si>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</si>
  <si>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</si>
  <si>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</si>
  <si>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</si>
  <si>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</si>
  <si>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</si>
  <si>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</si>
  <si>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</si>
  <si>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</si>
  <si>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</si>
  <si>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</si>
  <si>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</si>
  <si>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</si>
  <si>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</si>
  <si>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</si>
  <si>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</si>
  <si>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</si>
  <si>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</si>
  <si>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</si>
  <si>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</si>
  <si>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</si>
  <si>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</si>
  <si>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</si>
  <si>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</si>
  <si>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</si>
  <si>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</si>
  <si>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</si>
  <si>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</si>
  <si>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</si>
  <si>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</si>
  <si>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</si>
  <si>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</si>
  <si>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</si>
  <si>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</si>
  <si>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</si>
  <si>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</si>
  <si>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</si>
  <si>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</si>
  <si>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</si>
  <si>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</si>
  <si>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</si>
  <si>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</si>
  <si>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</si>
  <si>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</si>
  <si>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</si>
  <si>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</si>
  <si>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</si>
  <si>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</si>
  <si>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</si>
  <si>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</si>
  <si>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</si>
  <si>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</si>
  <si>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</si>
  <si>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</si>
  <si>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</si>
  <si>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</si>
  <si>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</si>
  <si>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</si>
  <si>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</si>
  <si>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</si>
  <si>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</si>
  <si>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</si>
  <si>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</si>
  <si>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</si>
  <si>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</si>
  <si>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</si>
  <si>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</si>
  <si>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</si>
  <si>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</si>
  <si>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</si>
  <si>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</si>
  <si>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</si>
  <si>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</si>
  <si>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</si>
  <si>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</si>
  <si>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</si>
  <si>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</si>
  <si>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</si>
  <si>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</si>
  <si>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</si>
  <si>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</si>
  <si>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</si>
  <si>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</si>
  <si>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</si>
  <si>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</si>
  <si>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</si>
  <si>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</si>
  <si>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</si>
  <si>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</si>
  <si>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</si>
  <si>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</si>
  <si>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</si>
  <si>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</si>
  <si>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</si>
  <si>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</si>
  <si>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</si>
  <si>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</si>
  <si>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</si>
  <si>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</si>
  <si>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</si>
  <si>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</si>
  <si>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</si>
  <si>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</si>
  <si>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</si>
  <si>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</si>
  <si>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</si>
  <si>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</si>
  <si>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</si>
  <si>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</si>
  <si>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</si>
  <si>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</si>
  <si>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</si>
  <si>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</si>
  <si>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</si>
  <si>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</si>
  <si>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</si>
  <si>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</si>
  <si>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</si>
  <si>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</si>
  <si>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</si>
  <si>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</si>
  <si>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</si>
  <si>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</si>
  <si>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</si>
  <si>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</si>
  <si>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</si>
  <si>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</si>
  <si>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</si>
  <si>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</si>
  <si>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</si>
  <si>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</si>
  <si>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</si>
  <si>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</si>
  <si>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</si>
  <si>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</si>
  <si>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</si>
  <si>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</si>
  <si>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</si>
  <si>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</si>
  <si>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</si>
  <si>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</si>
  <si>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</si>
  <si>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</si>
  <si>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</si>
  <si>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</si>
  <si>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</si>
  <si>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</si>
  <si>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</si>
  <si>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</si>
  <si>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</si>
  <si>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</si>
  <si>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</si>
  <si>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</si>
  <si>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</si>
  <si>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</si>
  <si>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</si>
  <si>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</si>
  <si>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</si>
  <si>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</si>
  <si>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</si>
  <si>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</si>
  <si>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</si>
  <si>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</si>
  <si>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</si>
  <si>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</si>
  <si>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</si>
  <si>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</si>
  <si>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</si>
  <si>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</si>
  <si>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</si>
  <si>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</si>
  <si>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</si>
  <si>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</si>
  <si>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</si>
  <si>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</si>
  <si>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</si>
  <si>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</si>
  <si>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</si>
  <si>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</si>
  <si>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</si>
  <si>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</si>
  <si>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</si>
  <si>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</si>
  <si>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</si>
  <si>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</si>
  <si>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</si>
  <si>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</si>
  <si>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</si>
  <si>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</si>
  <si>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</si>
  <si>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</si>
  <si>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</si>
  <si>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</si>
  <si>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</si>
  <si>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</si>
  <si>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</si>
  <si>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</si>
  <si>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</si>
  <si>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</si>
  <si>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</si>
  <si>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</si>
  <si>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</si>
  <si>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</si>
  <si>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</si>
  <si>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</si>
  <si>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</si>
  <si>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</si>
  <si>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</si>
  <si>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</si>
  <si>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</si>
  <si>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</si>
  <si>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</si>
  <si>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</si>
  <si>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</si>
  <si>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</si>
  <si>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</si>
  <si>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</si>
  <si>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</si>
  <si>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</si>
  <si>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</si>
  <si>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</si>
  <si>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</si>
  <si>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</si>
  <si>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</si>
  <si>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</si>
  <si>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</si>
  <si>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</si>
  <si>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</si>
  <si>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</si>
  <si>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</si>
  <si>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</si>
  <si>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</si>
  <si>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</si>
  <si>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</si>
  <si>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</si>
  <si>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</si>
  <si>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</si>
  <si>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</si>
  <si>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</si>
  <si>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</si>
  <si>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</si>
  <si>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</si>
  <si>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</si>
  <si>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</si>
  <si>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</si>
  <si>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</si>
  <si>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</si>
  <si>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</si>
  <si>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</si>
  <si>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</si>
  <si>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</si>
  <si>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</si>
  <si>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</si>
  <si>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</si>
  <si>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</si>
  <si>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</si>
  <si>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</si>
  <si>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</si>
  <si>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</si>
  <si>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</si>
  <si>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</si>
  <si>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</si>
  <si>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</si>
  <si>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</si>
  <si>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</si>
  <si>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</si>
  <si>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</si>
  <si>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</si>
  <si>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</si>
  <si>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</si>
  <si>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</si>
  <si>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</si>
  <si>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</si>
  <si>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</si>
  <si>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</si>
  <si>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</si>
  <si>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</si>
  <si>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</si>
  <si>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</si>
  <si>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</si>
  <si>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</si>
  <si>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</si>
  <si>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</si>
  <si>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</si>
  <si>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</si>
  <si>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</si>
  <si>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</si>
  <si>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</si>
  <si>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</si>
  <si>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</si>
  <si>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</si>
  <si>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</si>
  <si>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</si>
  <si>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</si>
  <si>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</si>
  <si>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</si>
  <si>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</si>
  <si>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</si>
  <si>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</si>
  <si>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</si>
  <si>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</si>
  <si>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</si>
  <si>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</si>
  <si>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</si>
  <si>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</si>
  <si>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</si>
  <si>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</si>
  <si>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</si>
  <si>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</si>
  <si>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</si>
  <si>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</si>
  <si>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</si>
  <si>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</si>
  <si>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</si>
  <si>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</si>
  <si>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</si>
  <si>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</si>
  <si>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</si>
  <si>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</si>
  <si>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</si>
  <si>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</si>
  <si>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</si>
  <si>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</si>
  <si>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</si>
  <si>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</si>
  <si>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</si>
  <si>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</si>
  <si>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</si>
  <si>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</si>
  <si>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</si>
  <si>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</si>
  <si>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</si>
  <si>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</si>
  <si>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</si>
  <si>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</si>
  <si>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</si>
  <si>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</si>
  <si>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</si>
  <si>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</si>
  <si>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</si>
  <si>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</si>
  <si>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</si>
  <si>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</si>
  <si>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</si>
  <si>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</si>
  <si>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</si>
  <si>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</si>
  <si>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</si>
  <si>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</si>
  <si>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</si>
  <si>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</si>
  <si>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</si>
  <si>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</si>
  <si>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</si>
  <si>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</si>
  <si>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</si>
  <si>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</si>
  <si>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</si>
  <si>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</si>
  <si>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</si>
  <si>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</si>
  <si>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</si>
  <si>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</si>
  <si>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</si>
  <si>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</si>
  <si>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</si>
  <si>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</si>
  <si>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</si>
  <si>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</si>
  <si>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</si>
  <si>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</si>
  <si>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</si>
  <si>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</si>
  <si>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</si>
  <si>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</si>
  <si>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</si>
  <si>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</si>
  <si>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</si>
  <si>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</si>
  <si>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</si>
  <si>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</si>
  <si>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</si>
  <si>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</si>
  <si>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</si>
  <si>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</si>
  <si>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</si>
  <si>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</si>
  <si>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</si>
  <si>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</si>
  <si>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</si>
  <si>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</si>
  <si>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</si>
  <si>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</si>
  <si>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</si>
  <si>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</si>
  <si>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</si>
  <si>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</si>
  <si>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</si>
  <si>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</si>
  <si>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</si>
  <si>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</si>
  <si>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</si>
  <si>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</si>
  <si>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</si>
  <si>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</si>
  <si>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</si>
  <si>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</si>
  <si>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</si>
  <si>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</si>
  <si>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</si>
  <si>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</si>
  <si>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</si>
  <si>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</si>
  <si>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</si>
  <si>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</si>
  <si>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</si>
  <si>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</si>
  <si>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</si>
  <si>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</si>
  <si>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</si>
  <si>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</si>
  <si>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</si>
  <si>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</si>
  <si>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</si>
  <si>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</si>
  <si>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</si>
  <si>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</si>
  <si>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</si>
  <si>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</si>
  <si>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</si>
  <si>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</si>
  <si>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</si>
  <si>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</si>
  <si>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</si>
  <si>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</si>
  <si>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</si>
  <si>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</si>
  <si>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</si>
  <si>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</si>
  <si>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</si>
  <si>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</si>
  <si>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</si>
  <si>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</si>
  <si>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</si>
  <si>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</si>
  <si>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</si>
  <si>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</si>
  <si>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</si>
  <si>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</si>
  <si>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</si>
  <si>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</si>
  <si>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</si>
  <si>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</si>
  <si>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</si>
  <si>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</si>
  <si>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</si>
  <si>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</si>
  <si>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</si>
  <si>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</si>
  <si>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</si>
  <si>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</si>
  <si>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</si>
  <si>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</si>
  <si>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</si>
  <si>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</si>
  <si>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</si>
  <si>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</si>
  <si>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</si>
  <si>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</si>
  <si>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</si>
  <si>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</si>
  <si>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</si>
  <si>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</si>
  <si>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</si>
  <si>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</si>
  <si>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</si>
  <si>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</si>
  <si>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</si>
  <si>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</si>
  <si>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</si>
  <si>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</si>
  <si>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</si>
  <si>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</si>
  <si>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</si>
  <si>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</si>
  <si>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</si>
  <si>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</si>
  <si>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</si>
  <si>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</si>
  <si>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</si>
  <si>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</si>
  <si>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</si>
  <si>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</si>
  <si>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</si>
  <si>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</si>
  <si>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</si>
  <si>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</si>
  <si>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</si>
  <si>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</si>
  <si>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</si>
  <si>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</si>
  <si>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</si>
  <si>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</si>
  <si>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</si>
  <si>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</si>
  <si>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</si>
  <si>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</si>
  <si>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</si>
  <si>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</si>
  <si>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</si>
  <si>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</si>
  <si>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</si>
  <si>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</si>
  <si>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</si>
  <si>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</si>
  <si>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</si>
  <si>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</si>
  <si>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</si>
  <si>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</si>
  <si>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</si>
  <si>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</si>
  <si>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</si>
  <si>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</si>
  <si>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</si>
  <si>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</si>
  <si>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</si>
  <si>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</si>
  <si>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</si>
  <si>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</si>
  <si>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</si>
  <si>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</si>
  <si>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</si>
  <si>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</si>
  <si>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</si>
  <si>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</si>
  <si>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</si>
  <si>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</si>
  <si>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</si>
  <si>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</si>
  <si>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</si>
  <si>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</si>
  <si>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</si>
  <si>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</si>
  <si>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</si>
  <si>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</si>
  <si>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</si>
  <si>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</si>
  <si>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</si>
  <si>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</si>
  <si>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</si>
  <si>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</si>
  <si>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</si>
  <si>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</si>
  <si>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</si>
  <si>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</si>
  <si>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</si>
  <si>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</si>
  <si>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</si>
  <si>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</si>
  <si>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</si>
  <si>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</si>
  <si>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</si>
  <si>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</si>
  <si>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</si>
  <si>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</si>
  <si>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</si>
  <si>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</si>
  <si>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</si>
  <si>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</si>
  <si>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</si>
  <si>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</si>
  <si>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</si>
  <si>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</si>
  <si>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</si>
  <si>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</si>
  <si>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</si>
  <si>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</si>
  <si>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</si>
  <si>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</si>
  <si>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</si>
  <si>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</si>
  <si>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</si>
  <si>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</si>
  <si>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</si>
  <si>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</si>
  <si>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</si>
  <si>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</si>
  <si>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</si>
  <si>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</si>
  <si>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</si>
  <si>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</si>
  <si>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</si>
  <si>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</si>
  <si>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</si>
  <si>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</si>
  <si>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</si>
  <si>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</si>
  <si>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</si>
  <si>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</si>
  <si>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</si>
  <si>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</si>
  <si>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</si>
  <si>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</si>
  <si>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</si>
  <si>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</si>
  <si>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</si>
  <si>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</si>
  <si>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</si>
  <si>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</si>
  <si>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</si>
  <si>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</si>
  <si>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</si>
  <si>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</si>
  <si>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</si>
  <si>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</si>
  <si>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</si>
  <si>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</si>
  <si>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</si>
  <si>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</si>
  <si>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</si>
  <si>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</si>
  <si>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</si>
  <si>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</si>
  <si>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</si>
  <si>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</si>
  <si>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</si>
  <si>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</si>
  <si>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</si>
  <si>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</si>
  <si>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</si>
  <si>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</si>
  <si>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</si>
  <si>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</si>
  <si>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</si>
  <si>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</si>
  <si>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</si>
  <si>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</si>
  <si>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</si>
  <si>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</si>
  <si>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</si>
  <si>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</si>
  <si>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</si>
  <si>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</si>
  <si>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</si>
  <si>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</si>
  <si>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</si>
  <si>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</si>
  <si>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</si>
  <si>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</si>
  <si>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</si>
  <si>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</si>
  <si>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</si>
  <si>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</si>
  <si>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</si>
  <si>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</si>
  <si>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</si>
  <si>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</si>
  <si>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</si>
  <si>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</si>
  <si>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</si>
  <si>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</si>
  <si>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</si>
  <si>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</si>
  <si>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</si>
  <si>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</si>
  <si>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</si>
  <si>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</si>
  <si>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</si>
  <si>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</si>
  <si>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</si>
  <si>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</si>
  <si>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</si>
  <si>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</si>
  <si>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</si>
  <si>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</si>
  <si>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</si>
  <si>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</si>
  <si>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</si>
  <si>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</si>
  <si>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</si>
  <si>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</si>
  <si>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</si>
  <si>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</si>
  <si>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</si>
  <si>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</si>
  <si>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</si>
  <si>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</si>
  <si>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</si>
  <si>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</si>
  <si>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</si>
  <si>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</si>
  <si>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</si>
  <si>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</si>
  <si>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</si>
  <si>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</si>
  <si>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</si>
  <si>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</si>
  <si>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</si>
  <si>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</si>
  <si>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</si>
  <si>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</si>
  <si>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</si>
  <si>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</si>
  <si>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</si>
  <si>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</si>
  <si>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</si>
  <si>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</si>
  <si>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</si>
  <si>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</si>
  <si>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</si>
  <si>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</si>
  <si>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</si>
  <si>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</si>
  <si>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</si>
  <si>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</si>
  <si>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</si>
  <si>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</si>
  <si>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</si>
  <si>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</si>
  <si>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</si>
  <si>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</si>
  <si>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</si>
  <si>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</si>
  <si>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</si>
  <si>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</si>
  <si>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</si>
  <si>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</si>
  <si>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</si>
  <si>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</si>
  <si>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</si>
  <si>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</si>
  <si>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</si>
  <si>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</si>
  <si>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</si>
  <si>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</si>
  <si>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</si>
  <si>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</si>
  <si>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</si>
  <si>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</si>
  <si>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</si>
  <si>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</si>
  <si>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</si>
  <si>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</si>
  <si>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</si>
  <si>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</si>
  <si>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</si>
  <si>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</si>
  <si>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</si>
  <si>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</si>
  <si>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</si>
  <si>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</si>
  <si>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</si>
  <si>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</si>
  <si>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</si>
  <si>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</si>
  <si>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</si>
  <si>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</si>
  <si>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</si>
  <si>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</si>
  <si>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</si>
  <si>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</si>
  <si>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</si>
  <si>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</si>
  <si>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</si>
  <si>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</si>
  <si>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</si>
  <si>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</si>
  <si>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</si>
  <si>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</si>
  <si>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</si>
  <si>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</si>
  <si>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</si>
  <si>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</si>
  <si>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</si>
  <si>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</si>
  <si>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</si>
  <si>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</si>
  <si>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</si>
  <si>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</si>
  <si>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</si>
  <si>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</si>
  <si>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</si>
  <si>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</si>
  <si>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</si>
  <si>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</si>
  <si>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</si>
  <si>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</si>
  <si>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</si>
  <si>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</si>
  <si>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</si>
  <si>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</si>
  <si>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</si>
  <si>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</si>
  <si>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</si>
  <si>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</si>
  <si>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</si>
  <si>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</si>
  <si>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</si>
  <si>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</si>
  <si>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</si>
  <si>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</si>
  <si>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</si>
  <si>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</si>
  <si>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</si>
  <si>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</si>
  <si>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</si>
  <si>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</si>
  <si>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</si>
  <si>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</si>
  <si>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</si>
  <si>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</si>
  <si>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</si>
  <si>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</si>
  <si>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</si>
  <si>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</si>
  <si>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</si>
  <si>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</si>
  <si>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</si>
  <si>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</si>
  <si>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</si>
  <si>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</si>
  <si>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</si>
  <si>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</si>
  <si>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</si>
  <si>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</si>
  <si>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</si>
  <si>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</si>
  <si>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</si>
  <si>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</si>
  <si>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</si>
  <si>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</si>
  <si>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</si>
  <si>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</si>
  <si>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</si>
  <si>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</si>
  <si>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</si>
  <si>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</si>
  <si>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</si>
  <si>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</si>
  <si>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</si>
  <si>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</si>
  <si>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</si>
  <si>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</si>
  <si>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</si>
  <si>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</si>
  <si>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</si>
  <si>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</si>
  <si>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</si>
  <si>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</si>
  <si>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</si>
  <si>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</si>
  <si>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</si>
  <si>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</si>
  <si>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</si>
  <si>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</si>
  <si>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</si>
  <si>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</si>
  <si>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</si>
  <si>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</si>
  <si>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</si>
  <si>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</si>
  <si>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</si>
  <si>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</si>
  <si>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</si>
  <si>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</si>
  <si>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</si>
  <si>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</si>
  <si>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</si>
  <si>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</si>
  <si>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</si>
  <si>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</si>
  <si>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</si>
  <si>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</si>
  <si>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</si>
  <si>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</si>
  <si>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</si>
  <si>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</si>
  <si>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</si>
  <si>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</si>
  <si>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</si>
  <si>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</si>
  <si>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</si>
  <si>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</si>
  <si>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</si>
  <si>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</si>
  <si>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</si>
  <si>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</si>
  <si>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</si>
  <si>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</si>
  <si>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</si>
  <si>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</si>
  <si>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</si>
  <si>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</si>
  <si>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</si>
  <si>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</si>
  <si>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</si>
  <si>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</si>
  <si>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</si>
  <si>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</si>
  <si>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</si>
  <si>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</si>
  <si>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</si>
  <si>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</si>
  <si>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</si>
  <si>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</si>
  <si>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</si>
  <si>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</si>
  <si>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</si>
  <si>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</si>
  <si>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</si>
  <si>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</si>
  <si>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</si>
  <si>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</si>
  <si>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</si>
  <si>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</si>
  <si>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</si>
  <si>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</si>
  <si>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</si>
  <si>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</si>
  <si>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</si>
  <si>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</si>
  <si>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</si>
  <si>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</si>
  <si>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</si>
  <si>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</si>
  <si>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</si>
  <si>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</si>
  <si>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</si>
  <si>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</si>
  <si>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</si>
  <si>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</si>
  <si>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</si>
  <si>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</si>
  <si>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</si>
  <si>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</si>
  <si>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</si>
  <si>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</si>
  <si>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</si>
  <si>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</si>
  <si>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</si>
  <si>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</si>
  <si>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</si>
  <si>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</si>
  <si>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</si>
  <si>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</si>
  <si>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</si>
  <si>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</si>
  <si>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</si>
  <si>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</si>
  <si>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</si>
  <si>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</si>
  <si>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</si>
  <si>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</si>
  <si>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</si>
  <si>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</si>
  <si>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</si>
  <si>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</si>
  <si>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</si>
  <si>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</si>
  <si>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</si>
  <si>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</si>
  <si>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</si>
  <si>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</si>
  <si>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</si>
  <si>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</si>
  <si>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</si>
  <si>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</si>
  <si>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</si>
  <si>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</si>
  <si>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</si>
  <si>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</si>
  <si>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</si>
  <si>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</si>
  <si>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</si>
  <si>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</si>
  <si>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</si>
  <si>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</si>
  <si>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</si>
  <si>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</si>
  <si>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</si>
  <si>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</si>
  <si>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</si>
  <si>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</si>
  <si>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</si>
  <si>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</si>
  <si>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</si>
  <si>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</si>
  <si>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</si>
  <si>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</si>
  <si>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</si>
  <si>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</si>
  <si>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</si>
  <si>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</si>
  <si>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</si>
  <si>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</si>
  <si>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</si>
  <si>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</si>
  <si>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</si>
  <si>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</si>
  <si>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</si>
  <si>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</si>
  <si>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</si>
  <si>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</si>
  <si>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</si>
  <si>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</si>
  <si>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</si>
  <si>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</si>
  <si>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</si>
  <si>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</si>
  <si>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</si>
  <si>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</si>
  <si>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</si>
  <si>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</si>
  <si>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</si>
  <si>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</si>
  <si>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</si>
  <si>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</si>
  <si>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</si>
  <si>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</si>
  <si>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</si>
  <si>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</si>
  <si>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</si>
  <si>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</si>
  <si>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</si>
  <si>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</si>
  <si>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</si>
  <si>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</si>
  <si>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</si>
  <si>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</si>
  <si>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</si>
  <si>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</si>
  <si>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</si>
  <si>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</si>
  <si>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</si>
  <si>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</si>
  <si>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</si>
  <si>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</si>
  <si>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</si>
  <si>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</si>
  <si>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</si>
  <si>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</si>
  <si>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</si>
  <si>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</si>
  <si>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</si>
  <si>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</si>
  <si>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</si>
  <si>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</si>
  <si>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</si>
  <si>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</si>
  <si>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</si>
  <si>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</si>
  <si>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</si>
  <si>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</si>
  <si>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</si>
  <si>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</si>
  <si>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</si>
  <si>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</si>
  <si>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</si>
  <si>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</si>
  <si>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</si>
  <si>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</si>
  <si>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</si>
  <si>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</si>
  <si>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</si>
  <si>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</si>
  <si>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</si>
  <si>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</si>
  <si>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</si>
  <si>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</si>
  <si>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</si>
  <si>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</si>
  <si>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</si>
  <si>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</si>
  <si>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</si>
  <si>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</si>
  <si>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</si>
  <si>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</si>
  <si>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</si>
  <si>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</si>
  <si>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</si>
  <si>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</si>
  <si>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</si>
  <si>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</si>
  <si>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</si>
  <si>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</si>
  <si>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</si>
  <si>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</si>
  <si>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</si>
  <si>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</si>
  <si>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</si>
  <si>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</si>
  <si>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</si>
  <si>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</si>
  <si>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</si>
  <si>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</si>
  <si>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</si>
  <si>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</si>
  <si>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</si>
  <si>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</si>
  <si>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</si>
  <si>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</si>
  <si>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</si>
  <si>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</si>
  <si>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</si>
  <si>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</si>
  <si>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</si>
  <si>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</si>
  <si>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</si>
  <si>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</si>
  <si>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</si>
  <si>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</si>
  <si>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</si>
  <si>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</si>
  <si>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</si>
  <si>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</si>
  <si>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</si>
  <si>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</si>
  <si>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</si>
  <si>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</si>
  <si>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</si>
  <si>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</si>
  <si>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</si>
  <si>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</si>
  <si>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</si>
  <si>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</si>
  <si>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</si>
  <si>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</si>
  <si>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</si>
  <si>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</si>
  <si>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</si>
  <si>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</si>
  <si>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</si>
  <si>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</si>
  <si>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</si>
  <si>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</si>
  <si>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</si>
  <si>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</si>
  <si>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</si>
  <si>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</si>
  <si>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</si>
  <si>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</si>
  <si>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</si>
  <si>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</si>
  <si>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</si>
  <si>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</si>
  <si>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</si>
  <si>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</si>
  <si>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</si>
  <si>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</si>
  <si>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</si>
  <si>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</si>
  <si>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</si>
  <si>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</si>
  <si>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</si>
  <si>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</si>
  <si>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</si>
  <si>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</si>
  <si>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</si>
  <si>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</si>
  <si>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</si>
  <si>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</si>
  <si>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</si>
  <si>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</si>
  <si>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</si>
  <si>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</si>
  <si>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</si>
  <si>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</si>
  <si>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</si>
  <si>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</si>
  <si>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</si>
  <si>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</si>
  <si>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</si>
  <si>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</si>
  <si>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</si>
  <si>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</si>
  <si>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</si>
  <si>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</si>
  <si>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</si>
  <si>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</si>
  <si>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</si>
  <si>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</si>
  <si>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</si>
  <si>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</si>
  <si>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</si>
  <si>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</si>
  <si>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</si>
  <si>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</si>
  <si>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</si>
  <si>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</si>
  <si>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</si>
  <si>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</si>
  <si>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</si>
  <si>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</si>
  <si>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</si>
  <si>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</si>
  <si>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</si>
  <si>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</si>
  <si>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</si>
  <si>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</si>
  <si>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</si>
  <si>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</si>
  <si>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</si>
  <si>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</si>
  <si>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</si>
  <si>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</si>
  <si>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</si>
  <si>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</si>
  <si>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</si>
  <si>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</si>
  <si>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</si>
  <si>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</si>
  <si>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</si>
  <si>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</si>
  <si>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</si>
  <si>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</si>
  <si>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</si>
  <si>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</si>
  <si>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</si>
  <si>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</si>
  <si>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</si>
  <si>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</si>
  <si>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</si>
  <si>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</si>
  <si>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</si>
  <si>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</si>
  <si>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</si>
  <si>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</si>
  <si>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</si>
  <si>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</si>
  <si>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</si>
  <si>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</si>
  <si>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</si>
  <si>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</si>
  <si>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</si>
  <si>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</si>
  <si>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</si>
  <si>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</si>
  <si>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</si>
  <si>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</si>
  <si>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</si>
  <si>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</si>
  <si>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</si>
  <si>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</si>
  <si>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</si>
  <si>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</si>
  <si>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</si>
  <si>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</si>
  <si>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</si>
  <si>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</si>
  <si>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</si>
  <si>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</si>
  <si>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</si>
  <si>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</si>
  <si>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</si>
  <si>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</si>
  <si>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</si>
  <si>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</si>
  <si>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</si>
  <si>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</si>
  <si>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</si>
  <si>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</si>
  <si>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</si>
  <si>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</si>
  <si>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</si>
  <si>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</si>
  <si>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</si>
  <si>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</si>
  <si>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</si>
  <si>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</si>
  <si>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</si>
  <si>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</si>
  <si>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</si>
  <si>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</si>
  <si>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</si>
  <si>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</si>
  <si>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</si>
  <si>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</si>
  <si>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</si>
  <si>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</si>
  <si>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</si>
  <si>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</si>
  <si>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</si>
  <si>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</si>
  <si>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</si>
  <si>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</si>
  <si>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</si>
  <si>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</si>
  <si>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</si>
  <si>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</si>
  <si>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</si>
  <si>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</si>
  <si>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</si>
  <si>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</si>
  <si>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</si>
  <si>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</si>
  <si>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</si>
  <si>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</si>
  <si>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</si>
  <si>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</si>
  <si>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</si>
  <si>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</si>
  <si>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</si>
  <si>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</si>
  <si>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</si>
  <si>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</si>
  <si>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</si>
  <si>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</si>
  <si>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</si>
  <si>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</si>
  <si>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</si>
  <si>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</si>
  <si>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</si>
  <si>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</si>
  <si>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</si>
  <si>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</si>
  <si>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</si>
  <si>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</si>
  <si>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</si>
  <si>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</si>
  <si>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</si>
  <si>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</si>
  <si>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</si>
  <si>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</si>
  <si>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</si>
  <si>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</si>
  <si>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</si>
  <si>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</si>
  <si>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</si>
  <si>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</si>
  <si>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</si>
  <si>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</si>
  <si>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</si>
  <si>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</si>
  <si>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</si>
  <si>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</si>
  <si>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</si>
  <si>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</si>
  <si>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</si>
  <si>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</si>
  <si>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</si>
  <si>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</si>
  <si>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</si>
  <si>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</si>
  <si>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</si>
  <si>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</si>
  <si>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</si>
  <si>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</si>
  <si>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</si>
  <si>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</si>
  <si>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</si>
  <si>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</si>
  <si>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</si>
  <si>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</si>
  <si>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</si>
  <si>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</si>
  <si>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</si>
  <si>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</si>
  <si>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</si>
  <si>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</si>
  <si>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</si>
  <si>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</si>
  <si>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</si>
  <si>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</si>
  <si>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</si>
  <si>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</si>
  <si>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</si>
  <si>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</si>
  <si>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</si>
  <si>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</si>
  <si>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</si>
  <si>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</si>
  <si>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</si>
  <si>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</si>
  <si>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</si>
  <si>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</si>
  <si>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</si>
  <si>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</si>
  <si>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</si>
  <si>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</si>
  <si>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</si>
  <si>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</si>
  <si>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</si>
  <si>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</si>
  <si>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</si>
  <si>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</si>
  <si>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</si>
  <si>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</si>
  <si>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</si>
  <si>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</si>
  <si>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</si>
  <si>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</si>
  <si>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</si>
  <si>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</si>
  <si>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</si>
  <si>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</si>
  <si>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</si>
  <si>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</si>
  <si>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</si>
  <si>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</si>
  <si>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</si>
  <si>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</si>
  <si>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</si>
  <si>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</si>
  <si>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</si>
  <si>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</si>
  <si>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</si>
  <si>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</si>
  <si>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</si>
  <si>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</si>
  <si>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</si>
  <si>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</si>
  <si>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</si>
  <si>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</si>
  <si>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</si>
  <si>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</si>
  <si>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</si>
  <si>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</si>
  <si>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</si>
  <si>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</si>
  <si>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</si>
  <si>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</si>
  <si>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</si>
  <si>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</si>
  <si>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</si>
  <si>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</si>
  <si>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</si>
  <si>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</si>
  <si>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</si>
  <si>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</si>
  <si>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</si>
  <si>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</si>
  <si>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</si>
  <si>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</si>
  <si>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</si>
  <si>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</si>
  <si>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</si>
  <si>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</si>
  <si>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</si>
  <si>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</si>
  <si>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</si>
  <si>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</si>
  <si>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</si>
  <si>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</si>
  <si>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</si>
  <si>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</si>
  <si>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</si>
  <si>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</si>
  <si>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</si>
  <si>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</si>
  <si>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</si>
  <si>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</si>
  <si>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</si>
  <si>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</si>
  <si>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</si>
  <si>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</si>
  <si>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</si>
  <si>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</si>
  <si>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</si>
  <si>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</si>
  <si>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</si>
  <si>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</si>
  <si>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</si>
  <si>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</si>
  <si>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</si>
  <si>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</si>
  <si>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</si>
  <si>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</si>
  <si>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</si>
  <si>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</si>
  <si>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</si>
  <si>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</si>
  <si>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</si>
  <si>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</si>
  <si>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</si>
  <si>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</si>
  <si>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</si>
  <si>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</si>
  <si>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</si>
  <si>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</si>
  <si>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</si>
  <si>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</si>
  <si>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</si>
  <si>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</si>
  <si>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</si>
  <si>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</si>
  <si>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</si>
  <si>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</si>
  <si>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</si>
  <si>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</si>
  <si>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</si>
  <si>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</si>
  <si>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</si>
  <si>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</si>
  <si>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</si>
  <si>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</si>
  <si>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</si>
  <si>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</si>
  <si>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</si>
  <si>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</si>
  <si>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</si>
  <si>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</si>
  <si>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</si>
  <si>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</si>
  <si>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</si>
  <si>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</si>
  <si>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</si>
  <si>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</si>
  <si>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</si>
  <si>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</si>
  <si>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</si>
  <si>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</si>
  <si>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</si>
  <si>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</si>
  <si>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</si>
  <si>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</si>
  <si>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</si>
  <si>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</si>
  <si>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</si>
  <si>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</si>
  <si>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</si>
  <si>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</si>
  <si>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</si>
  <si>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</si>
  <si>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</si>
  <si>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</si>
  <si>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</si>
  <si>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</si>
  <si>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</si>
  <si>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</si>
  <si>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</si>
  <si>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</si>
  <si>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</si>
  <si>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</si>
  <si>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</si>
  <si>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</si>
  <si>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</si>
  <si>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</si>
  <si>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</si>
  <si>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</si>
  <si>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</si>
  <si>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</si>
  <si>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</si>
  <si>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</si>
  <si>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</si>
  <si>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</si>
  <si>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</si>
  <si>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</si>
  <si>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</si>
  <si>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</si>
  <si>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</si>
  <si>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</si>
  <si>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</si>
  <si>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</si>
  <si>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A1SA1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</si>
  <si>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</si>
  <si>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</si>
  <si>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</si>
  <si>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</si>
  <si>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</si>
  <si>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</si>
  <si>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</si>
  <si>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</si>
  <si>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</si>
  <si>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</si>
  <si>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</si>
  <si>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</si>
  <si>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</si>
  <si>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</si>
  <si>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</si>
  <si>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</si>
  <si>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</si>
  <si>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</si>
  <si>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</si>
  <si>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</si>
  <si>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</si>
  <si>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</si>
  <si>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</si>
  <si>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</si>
  <si>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</si>
  <si>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</si>
  <si>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</si>
  <si>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</si>
  <si>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</si>
  <si>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</si>
  <si>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</si>
  <si>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</si>
  <si>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</si>
  <si>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</si>
  <si>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</si>
  <si>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</si>
  <si>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</si>
  <si>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</si>
  <si>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</si>
  <si>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</si>
  <si>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</si>
  <si>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</si>
  <si>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</si>
  <si>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</si>
  <si>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</si>
  <si>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</si>
  <si>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</si>
  <si>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</si>
  <si>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</si>
  <si>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</si>
  <si>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</si>
  <si>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</si>
  <si>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</si>
  <si>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</si>
  <si>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</si>
  <si>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</si>
  <si>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</si>
  <si>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</si>
  <si>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</si>
  <si>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</si>
  <si>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</si>
  <si>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</si>
  <si>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</si>
  <si>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</si>
  <si>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</si>
  <si>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</si>
  <si>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</si>
  <si>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</si>
  <si>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</si>
  <si>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</si>
  <si>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</si>
  <si>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</si>
  <si>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</si>
  <si>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</si>
  <si>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</si>
  <si>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</si>
  <si>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</si>
  <si>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</si>
  <si>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</si>
  <si>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</si>
  <si>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</si>
  <si>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</si>
  <si>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</si>
  <si>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</si>
  <si>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</si>
  <si>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</si>
  <si>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</si>
  <si>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</si>
  <si>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</si>
  <si>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A2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</si>
  <si>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</si>
  <si>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</si>
  <si>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</si>
  <si>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</si>
  <si>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</si>
  <si>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</si>
  <si>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</si>
  <si>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</si>
  <si>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</si>
  <si>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</si>
  <si>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</si>
  <si>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</si>
  <si>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</si>
  <si>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</si>
  <si>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</si>
  <si>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</si>
  <si>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</si>
  <si>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</si>
  <si>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</si>
  <si>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A4SA1</t>
  </si>
  <si>
    <t>frmStepFive</t>
  </si>
  <si>
    <t>FFASDSADAS</t>
  </si>
  <si>
    <t>A</t>
  </si>
  <si>
    <t>B</t>
  </si>
  <si>
    <t>C</t>
  </si>
  <si>
    <t>Litoral Paranaense</t>
  </si>
  <si>
    <t>C:\Users\cristiansimioni\Desktop</t>
  </si>
  <si>
    <t>C:\Users\cristiansimioni\AppData\Local\Programs\Python\Python311\python.exe</t>
  </si>
  <si>
    <t>[['Antonina', 'Pontal do Paraná', 'Matinhos', 'Guaratuba']]</t>
  </si>
  <si>
    <t>Sumário</t>
  </si>
  <si>
    <t>['Antonina', 'Pontal do Paraná', 'Matinhos', 'Guaratuba']</t>
  </si>
  <si>
    <t>Antonina'</t>
  </si>
  <si>
    <t>Guaratuba'</t>
  </si>
  <si>
    <t>A2SA1</t>
  </si>
  <si>
    <t>[['Antonina'], ['Pontal do Paraná', 'Matinhos', 'Guaratuba']]</t>
  </si>
  <si>
    <t>A3SA1</t>
  </si>
  <si>
    <t>['Antonina']</t>
  </si>
  <si>
    <t>A3SA2</t>
  </si>
  <si>
    <t>['Pontal do Paraná', 'Matinhos', 'Guaratuba']</t>
  </si>
  <si>
    <t>A4SA2</t>
  </si>
  <si>
    <t>A5</t>
  </si>
  <si>
    <t>[['Antonina', 'Pontal do Paraná', 'Matinhos'], ['Guaratuba']]</t>
  </si>
  <si>
    <t>A5SA1</t>
  </si>
  <si>
    <t>['Antonina', 'Pontal do Paraná', 'Matinhos']</t>
  </si>
  <si>
    <t>A5SA2</t>
  </si>
  <si>
    <t>['Guaratuba']</t>
  </si>
  <si>
    <t>A6</t>
  </si>
  <si>
    <t>A6SA1</t>
  </si>
  <si>
    <t>A6SA2</t>
  </si>
  <si>
    <t>[['Antonina', 'Pontal do Paraná'], ['Matinhos', 'Guaratuba']]</t>
  </si>
  <si>
    <t>['Antonina', 'Pontal do Paraná']</t>
  </si>
  <si>
    <t>['Matinhos', 'Guaratuba']</t>
  </si>
  <si>
    <t>A8</t>
  </si>
  <si>
    <t>[['Antonina', 'Matinhos'], ['Pontal do Paraná', 'Guaratuba']]</t>
  </si>
  <si>
    <t>A8SA1</t>
  </si>
  <si>
    <t>['Antonina', 'Matinhos']</t>
  </si>
  <si>
    <t>A8SA2</t>
  </si>
  <si>
    <t>['Pontal do Paraná', 'Guaratuba']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</si>
  <si>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</si>
  <si>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</si>
  <si>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</si>
  <si>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</si>
  <si>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</si>
  <si>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</si>
  <si>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</si>
  <si>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</si>
  <si>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</si>
  <si>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</si>
  <si>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</si>
  <si>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</si>
  <si>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</si>
  <si>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</si>
  <si>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</si>
  <si>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</si>
  <si>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</si>
  <si>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</si>
  <si>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</si>
  <si>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</si>
  <si>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</si>
  <si>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</si>
  <si>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</si>
  <si>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</si>
  <si>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</si>
  <si>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</si>
  <si>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</si>
  <si>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</si>
  <si>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</si>
  <si>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</si>
  <si>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</si>
  <si>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</si>
  <si>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</si>
  <si>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</si>
  <si>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</si>
  <si>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</si>
  <si>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</si>
  <si>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</si>
  <si>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</si>
  <si>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</si>
  <si>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</si>
  <si>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</si>
  <si>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</si>
  <si>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</si>
  <si>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</si>
  <si>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</si>
  <si>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</si>
  <si>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</si>
  <si>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</si>
  <si>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</si>
  <si>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</si>
  <si>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</si>
  <si>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</si>
  <si>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</si>
  <si>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</si>
  <si>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</si>
  <si>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</si>
  <si>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</si>
  <si>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</si>
  <si>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</si>
  <si>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</si>
  <si>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</si>
  <si>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</si>
  <si>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</si>
  <si>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</si>
  <si>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</si>
  <si>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</si>
  <si>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</si>
  <si>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</si>
  <si>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</si>
  <si>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</si>
  <si>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</si>
  <si>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</si>
  <si>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</si>
  <si>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</si>
  <si>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</si>
  <si>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</si>
  <si>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</si>
  <si>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</si>
  <si>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</si>
  <si>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</si>
  <si>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</si>
  <si>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</si>
  <si>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</si>
  <si>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</si>
  <si>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</si>
  <si>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</si>
  <si>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</si>
  <si>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</si>
  <si>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</si>
  <si>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</si>
  <si>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</si>
  <si>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</si>
  <si>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</si>
  <si>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</si>
  <si>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</si>
  <si>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</si>
  <si>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</si>
  <si>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</si>
  <si>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</si>
  <si>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</si>
  <si>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</si>
  <si>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</si>
  <si>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</si>
  <si>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</si>
  <si>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</si>
  <si>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</si>
  <si>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</si>
  <si>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</si>
  <si>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</si>
  <si>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</si>
  <si>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</si>
  <si>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</si>
  <si>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</si>
  <si>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</si>
  <si>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</si>
  <si>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</si>
  <si>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</si>
  <si>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</si>
  <si>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</si>
  <si>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</si>
  <si>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</si>
  <si>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</si>
  <si>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</si>
  <si>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</si>
  <si>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</si>
  <si>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</si>
  <si>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</si>
  <si>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</si>
  <si>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</si>
  <si>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</si>
  <si>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M1A8SA1RT1-A</t>
  </si>
  <si>
    <t>M1A8SA1RT1-B</t>
  </si>
  <si>
    <t>M1A8SA1RT1-C</t>
  </si>
  <si>
    <t>M1A8SA1RT2</t>
  </si>
  <si>
    <t>M1A8SA1RT3</t>
  </si>
  <si>
    <t>M1A8SA1RT4</t>
  </si>
  <si>
    <t>M1A8SA1RT5</t>
  </si>
  <si>
    <t>A8SA1(Consolidado)</t>
  </si>
  <si>
    <t>M1A8SA1</t>
  </si>
  <si>
    <t>M1A8SA2RT1-A</t>
  </si>
  <si>
    <t>M1A8SA2RT1-B</t>
  </si>
  <si>
    <t>M1A8SA2RT1-C</t>
  </si>
  <si>
    <t>M1A8SA2RT2</t>
  </si>
  <si>
    <t>M1A8SA2RT3</t>
  </si>
  <si>
    <t>M1A8SA2RT4</t>
  </si>
  <si>
    <t>M1A8SA2RT5</t>
  </si>
  <si>
    <t>A8SA2(Consolidado)</t>
  </si>
  <si>
    <t>M1A8SA2</t>
  </si>
  <si>
    <t>A8(Consolidado)</t>
  </si>
  <si>
    <t>M1A8</t>
  </si>
  <si>
    <t>M2A8SA1RT1-A</t>
  </si>
  <si>
    <t>M2A8SA1RT1-B</t>
  </si>
  <si>
    <t>M2A8SA1RT1-C</t>
  </si>
  <si>
    <t>M2A8SA1RT2</t>
  </si>
  <si>
    <t>M2A8SA1RT3</t>
  </si>
  <si>
    <t>M2A8SA1RT4</t>
  </si>
  <si>
    <t>M2A8SA1RT5</t>
  </si>
  <si>
    <t>M2A8SA1</t>
  </si>
  <si>
    <t>M2A8SA2RT1-A</t>
  </si>
  <si>
    <t>M2A8SA2RT1-B</t>
  </si>
  <si>
    <t>M2A8SA2RT1-C</t>
  </si>
  <si>
    <t>M2A8SA2RT2</t>
  </si>
  <si>
    <t>M2A8SA2RT3</t>
  </si>
  <si>
    <t>M2A8SA2RT4</t>
  </si>
  <si>
    <t>M2A8SA2RT5</t>
  </si>
  <si>
    <t>M2A8SA2</t>
  </si>
  <si>
    <t>M2A8</t>
  </si>
  <si>
    <t>M3A8SA1RT1-A</t>
  </si>
  <si>
    <t>M3A8SA1RT1-B</t>
  </si>
  <si>
    <t>M3A8SA1RT1-C</t>
  </si>
  <si>
    <t>M3A8SA1RT2</t>
  </si>
  <si>
    <t>M3A8SA1RT3</t>
  </si>
  <si>
    <t>M3A8SA1RT4</t>
  </si>
  <si>
    <t>M3A8SA1RT5</t>
  </si>
  <si>
    <t>M3A8SA1</t>
  </si>
  <si>
    <t>M3A8SA2RT1-A</t>
  </si>
  <si>
    <t>M3A8SA2RT1-B</t>
  </si>
  <si>
    <t>M3A8SA2RT1-C</t>
  </si>
  <si>
    <t>M3A8SA2RT2</t>
  </si>
  <si>
    <t>M3A8SA2RT3</t>
  </si>
  <si>
    <t>M3A8SA2RT4</t>
  </si>
  <si>
    <t>M3A8SA2RT5</t>
  </si>
  <si>
    <t>M3A8SA2</t>
  </si>
  <si>
    <t>M3A8</t>
  </si>
  <si>
    <t>Pontal do Paraná'</t>
  </si>
  <si>
    <t>[['Antonina', 'Matinhos', 'Guaratuba'], ['Pontal do Paraná']]</t>
  </si>
  <si>
    <t>['Antonina', 'Matinhos', 'Guaratuba']</t>
  </si>
  <si>
    <t>['Pontal do Paraná']</t>
  </si>
  <si>
    <t>[['Antonina', 'Pontal do Paraná', 'Guaratuba'], ['Matinhos']]</t>
  </si>
  <si>
    <t>['Antonina', 'Pontal do Paraná', 'Guaratuba']</t>
  </si>
  <si>
    <t>['Matinhos']</t>
  </si>
  <si>
    <t>Matinhos'</t>
  </si>
  <si>
    <t>A7</t>
  </si>
  <si>
    <t>A7SA1</t>
  </si>
  <si>
    <t>A7SA2</t>
  </si>
  <si>
    <t>A9</t>
  </si>
  <si>
    <t>[['Antonina', 'Guaratuba'], ['Pontal do Paraná', 'Matinhos']]</t>
  </si>
  <si>
    <t>A9SA1</t>
  </si>
  <si>
    <t>['Antonina', 'Guaratuba']</t>
  </si>
  <si>
    <t>A9SA2</t>
  </si>
  <si>
    <t>['Pontal do Paraná', 'Matinhos']</t>
  </si>
  <si>
    <t>A10</t>
  </si>
  <si>
    <t>[['Antonina'], ['Pontal do Paraná'], ['Matinhos', 'Guaratuba']]</t>
  </si>
  <si>
    <t>A10SA1</t>
  </si>
  <si>
    <t>A10SA2</t>
  </si>
  <si>
    <t>A10SA3</t>
  </si>
  <si>
    <t>A11</t>
  </si>
  <si>
    <t>[['Antonina'], ['Pontal do Paraná', 'Guaratuba'], ['Matinhos']]</t>
  </si>
  <si>
    <t>A11SA1</t>
  </si>
  <si>
    <t>A11SA2</t>
  </si>
  <si>
    <t>A11SA3</t>
  </si>
  <si>
    <t>A12</t>
  </si>
  <si>
    <t>[['Antonina'], ['Pontal do Paraná', 'Matinhos'], ['Guaratuba']]</t>
  </si>
  <si>
    <t>A12SA1</t>
  </si>
  <si>
    <t>A12SA2</t>
  </si>
  <si>
    <t>A12SA3</t>
  </si>
  <si>
    <t>A13</t>
  </si>
  <si>
    <t>[['Antonina', 'Matinhos'], ['Pontal do Paraná'], ['Guaratuba']]</t>
  </si>
  <si>
    <t>A13SA1</t>
  </si>
  <si>
    <t>A13SA2</t>
  </si>
  <si>
    <t>A13SA3</t>
  </si>
  <si>
    <t>A14</t>
  </si>
  <si>
    <t>[['Antonina', 'Pontal do Paraná'], ['Matinhos'], ['Guaratuba']]</t>
  </si>
  <si>
    <t>A14SA1</t>
  </si>
  <si>
    <t>A14SA2</t>
  </si>
  <si>
    <t>A14SA3</t>
  </si>
  <si>
    <t>A15</t>
  </si>
  <si>
    <t>[['Antonina', 'Guaratuba'], ['Pontal do Paraná'], ['Matinhos']]</t>
  </si>
  <si>
    <t>A15SA1</t>
  </si>
  <si>
    <t>A15SA2</t>
  </si>
  <si>
    <t>A15SA3</t>
  </si>
  <si>
    <t>Biometano</t>
  </si>
  <si>
    <t>Energia Elétrica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</si>
  <si>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23/12/2022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</si>
</sst>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2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0" fillId="7" borderId="0" xfId="0" applyFill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4" fillId="7" borderId="0" xfId="0" applyFont="1" applyFill="1"/>
    <xf numFmtId="0" fontId="24" fillId="8" borderId="0" xfId="0" applyFont="1" applyFill="1"/>
    <xf numFmtId="0" fontId="26" fillId="8" borderId="0" xfId="0" applyFont="1" applyFill="1"/>
    <xf numFmtId="0" fontId="26" fillId="7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3" fontId="0" fillId="0" borderId="3" xfId="0" applyNumberFormat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10" fillId="10" borderId="0" xfId="0" applyFont="1" applyFill="1" applyAlignment="1">
      <alignment horizontal="center"/>
    </xf>
    <xf numFmtId="0" fontId="10" fillId="10" borderId="0" xfId="0" applyFont="1" applyFill="1"/>
    <xf numFmtId="0" fontId="6" fillId="10" borderId="0" xfId="0" applyFont="1" applyFill="1" applyAlignment="1">
      <alignment horizontal="center"/>
    </xf>
    <xf numFmtId="0" fontId="6" fillId="10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8" borderId="0" xfId="0" applyFont="1" applyFill="1" applyAlignment="1">
      <alignment vertical="center"/>
    </xf>
    <xf numFmtId="0" fontId="26" fillId="0" borderId="0" xfId="0" applyFont="1"/>
    <xf numFmtId="0" fontId="5" fillId="7" borderId="8" xfId="0" applyFont="1" applyFill="1" applyBorder="1"/>
    <xf numFmtId="0" fontId="4" fillId="7" borderId="8" xfId="0" applyFont="1" applyFill="1" applyBorder="1"/>
    <xf numFmtId="0" fontId="35" fillId="7" borderId="8" xfId="0" applyFont="1" applyFill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19" fillId="7" borderId="0" xfId="0" applyFont="1" applyFill="1"/>
    <xf numFmtId="0" fontId="36" fillId="7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9" fontId="6" fillId="10" borderId="0" xfId="3" applyFont="1" applyFill="1" applyBorder="1" applyAlignment="1">
      <alignment horizontal="center"/>
    </xf>
    <xf numFmtId="9" fontId="10" fillId="9" borderId="0" xfId="3" applyFont="1" applyFill="1" applyBorder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7" borderId="8" xfId="0" applyNumberFormat="1" applyFont="1" applyFill="1" applyBorder="1"/>
    <xf numFmtId="0" fontId="5" fillId="7" borderId="8" xfId="0" applyFont="1" applyFill="1" applyBorder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27" fillId="7" borderId="0" xfId="2" applyFont="1" applyFill="1" applyAlignment="1">
      <alignment horizontal="center"/>
    </xf>
    <xf numFmtId="0" fontId="25" fillId="8" borderId="0" xfId="0" applyFont="1" applyFill="1" applyAlignment="1">
      <alignment horizontal="left"/>
    </xf>
    <xf numFmtId="0" fontId="26" fillId="8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right" vertical="center"/>
    </xf>
    <xf numFmtId="0" fontId="27" fillId="8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8" borderId="0" xfId="0" applyFont="1" applyFill="1" applyAlignment="1">
      <alignment horizontal="left"/>
    </xf>
    <xf numFmtId="0" fontId="28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  <xf numFmtId="165" fontId="0" fillId="0" borderId="3" xfId="0" applyNumberFormat="1" applyBorder="1" applyAlignment="1">
      <alignment horizontal="center"/>
    </xf>
    <xf numFmtId="165" fontId="0" fillId="0" borderId="3" xfId="3" applyNumberFormat="1" applyFont="1" applyBorder="1" applyAlignment="1">
      <alignment horizontal="center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195.16719322703253</c:v>
                </c:pt>
                <c:pt idx="2">
                  <c:v>298.62177431096018</c:v>
                </c:pt>
                <c:pt idx="3">
                  <c:v>480.10193019155929</c:v>
                </c:pt>
                <c:pt idx="4">
                  <c:v>195.39167234919847</c:v>
                </c:pt>
                <c:pt idx="5">
                  <c:v>203.05255031335093</c:v>
                </c:pt>
                <c:pt idx="6">
                  <c:v>343.44192028047422</c:v>
                </c:pt>
                <c:pt idx="7">
                  <c:v>201.28712909634876</c:v>
                </c:pt>
                <c:pt idx="8">
                  <c:v>141.38556929485947</c:v>
                </c:pt>
                <c:pt idx="9">
                  <c:v>325.25676594473435</c:v>
                </c:pt>
                <c:pt idx="10">
                  <c:v>644.68771673169658</c:v>
                </c:pt>
                <c:pt idx="11">
                  <c:v>563.51372868495753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195.16719322703253</c:v>
                </c:pt>
                <c:pt idx="2">
                  <c:v>298.62177431096018</c:v>
                </c:pt>
                <c:pt idx="3">
                  <c:v>480.10193019155929</c:v>
                </c:pt>
                <c:pt idx="4">
                  <c:v>195.39167234919847</c:v>
                </c:pt>
                <c:pt idx="5">
                  <c:v>203.05255031335093</c:v>
                </c:pt>
                <c:pt idx="6">
                  <c:v>343.44192028047422</c:v>
                </c:pt>
                <c:pt idx="7">
                  <c:v>201.28712909634876</c:v>
                </c:pt>
                <c:pt idx="8">
                  <c:v>141.38556929485947</c:v>
                </c:pt>
                <c:pt idx="9">
                  <c:v>325.25676594473435</c:v>
                </c:pt>
                <c:pt idx="10">
                  <c:v>644.68771673169658</c:v>
                </c:pt>
                <c:pt idx="11">
                  <c:v>563.51372868495753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200.00000000000003</c:v>
                </c:pt>
                <c:pt idx="3">
                  <c:v>200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200.00000000000003</c:v>
                </c:pt>
                <c:pt idx="7">
                  <c:v>200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200.00000000000003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200.00000000000003</c:v>
                </c:pt>
                <c:pt idx="3">
                  <c:v>200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200.00000000000003</c:v>
                </c:pt>
                <c:pt idx="7">
                  <c:v>200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200.00000000000003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121127</c:v>
                </c:pt>
                <c:pt idx="1">
                  <c:v>18919</c:v>
                </c:pt>
                <c:pt idx="2">
                  <c:v>92598</c:v>
                </c:pt>
                <c:pt idx="3">
                  <c:v>54624</c:v>
                </c:pt>
                <c:pt idx="4">
                  <c:v>121127</c:v>
                </c:pt>
                <c:pt idx="5">
                  <c:v>18919</c:v>
                </c:pt>
                <c:pt idx="6">
                  <c:v>92598</c:v>
                </c:pt>
                <c:pt idx="7">
                  <c:v>54624</c:v>
                </c:pt>
                <c:pt idx="8">
                  <c:v>121127</c:v>
                </c:pt>
                <c:pt idx="9">
                  <c:v>18919</c:v>
                </c:pt>
                <c:pt idx="10">
                  <c:v>92598</c:v>
                </c:pt>
                <c:pt idx="11">
                  <c:v>54624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199.99999999999997</c:v>
                </c:pt>
                <c:pt idx="1">
                  <c:v>199.99999999999997</c:v>
                </c:pt>
                <c:pt idx="2">
                  <c:v>200.00000000000003</c:v>
                </c:pt>
                <c:pt idx="3">
                  <c:v>200</c:v>
                </c:pt>
                <c:pt idx="4">
                  <c:v>199.99999999999997</c:v>
                </c:pt>
                <c:pt idx="5">
                  <c:v>199.99999999999997</c:v>
                </c:pt>
                <c:pt idx="6">
                  <c:v>200.00000000000003</c:v>
                </c:pt>
                <c:pt idx="7">
                  <c:v>200</c:v>
                </c:pt>
                <c:pt idx="8">
                  <c:v>199.99999999999997</c:v>
                </c:pt>
                <c:pt idx="9">
                  <c:v>199.99999999999997</c:v>
                </c:pt>
                <c:pt idx="10">
                  <c:v>200.00000000000003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16.451290127272763</c:v>
                </c:pt>
                <c:pt idx="1">
                  <c:v>15.103165850011305</c:v>
                </c:pt>
                <c:pt idx="2">
                  <c:v>14.418376292171903</c:v>
                </c:pt>
                <c:pt idx="3">
                  <c:v>7.8200629480251758</c:v>
                </c:pt>
                <c:pt idx="4">
                  <c:v>16.451290127272763</c:v>
                </c:pt>
                <c:pt idx="5">
                  <c:v>16.451290127272763</c:v>
                </c:pt>
                <c:pt idx="6">
                  <c:v>14.418376292171903</c:v>
                </c:pt>
                <c:pt idx="7">
                  <c:v>16.451290127272767</c:v>
                </c:pt>
                <c:pt idx="8">
                  <c:v>16.451290127272763</c:v>
                </c:pt>
                <c:pt idx="9">
                  <c:v>15.103165850011305</c:v>
                </c:pt>
                <c:pt idx="10">
                  <c:v>7.8200629480251722</c:v>
                </c:pt>
                <c:pt idx="11">
                  <c:v>7.8200629480251758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121127</c:v>
                </c:pt>
                <c:pt idx="1">
                  <c:v>18919</c:v>
                </c:pt>
                <c:pt idx="2">
                  <c:v>92598</c:v>
                </c:pt>
                <c:pt idx="3">
                  <c:v>54624</c:v>
                </c:pt>
                <c:pt idx="4">
                  <c:v>121127</c:v>
                </c:pt>
                <c:pt idx="5">
                  <c:v>18919</c:v>
                </c:pt>
                <c:pt idx="6">
                  <c:v>92598</c:v>
                </c:pt>
                <c:pt idx="7">
                  <c:v>54624</c:v>
                </c:pt>
                <c:pt idx="8">
                  <c:v>121127</c:v>
                </c:pt>
                <c:pt idx="9">
                  <c:v>18919</c:v>
                </c:pt>
                <c:pt idx="10">
                  <c:v>92598</c:v>
                </c:pt>
                <c:pt idx="11">
                  <c:v>54624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140.41235076477068</c:v>
                </c:pt>
                <c:pt idx="1">
                  <c:v>136.13307213328721</c:v>
                </c:pt>
                <c:pt idx="2">
                  <c:v>134.3108079698755</c:v>
                </c:pt>
                <c:pt idx="3">
                  <c:v>167.32002409427929</c:v>
                </c:pt>
                <c:pt idx="4">
                  <c:v>140.41235076477068</c:v>
                </c:pt>
                <c:pt idx="5">
                  <c:v>137.73628746065026</c:v>
                </c:pt>
                <c:pt idx="6">
                  <c:v>134.3108079698755</c:v>
                </c:pt>
                <c:pt idx="7">
                  <c:v>177.5799713131309</c:v>
                </c:pt>
                <c:pt idx="8">
                  <c:v>105.69625940260569</c:v>
                </c:pt>
                <c:pt idx="9">
                  <c:v>74.637722962350949</c:v>
                </c:pt>
                <c:pt idx="10">
                  <c:v>67.827420897788571</c:v>
                </c:pt>
                <c:pt idx="11">
                  <c:v>109.07224106071988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21.399039976028522</c:v>
                </c:pt>
                <c:pt idx="1">
                  <c:v>25.463733837986588</c:v>
                </c:pt>
                <c:pt idx="2">
                  <c:v>25.258168037482598</c:v>
                </c:pt>
                <c:pt idx="3">
                  <c:v>31.146959311572324</c:v>
                </c:pt>
                <c:pt idx="4">
                  <c:v>21.399039976028522</c:v>
                </c:pt>
                <c:pt idx="5">
                  <c:v>26.117884813185722</c:v>
                </c:pt>
                <c:pt idx="6">
                  <c:v>25.258168037482598</c:v>
                </c:pt>
                <c:pt idx="7">
                  <c:v>33.727146422920747</c:v>
                </c:pt>
                <c:pt idx="8">
                  <c:v>18.841259942988167</c:v>
                </c:pt>
                <c:pt idx="9">
                  <c:v>19.948037122838162</c:v>
                </c:pt>
                <c:pt idx="10">
                  <c:v>18.497770280563227</c:v>
                </c:pt>
                <c:pt idx="11">
                  <c:v>25.467536064540148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141.38556929485947</c:v>
                </c:pt>
                <c:pt idx="1">
                  <c:v>195.16719322703253</c:v>
                </c:pt>
                <c:pt idx="2">
                  <c:v>298.62177431096018</c:v>
                </c:pt>
                <c:pt idx="3">
                  <c:v>480.10193019155929</c:v>
                </c:pt>
                <c:pt idx="4">
                  <c:v>195.39167234919847</c:v>
                </c:pt>
                <c:pt idx="5">
                  <c:v>203.05255031335093</c:v>
                </c:pt>
                <c:pt idx="6">
                  <c:v>343.44192028047422</c:v>
                </c:pt>
                <c:pt idx="7">
                  <c:v>201.28712909634876</c:v>
                </c:pt>
                <c:pt idx="8">
                  <c:v>141.38556929485947</c:v>
                </c:pt>
                <c:pt idx="9">
                  <c:v>325.25676594473435</c:v>
                </c:pt>
                <c:pt idx="10">
                  <c:v>644.68771673169658</c:v>
                </c:pt>
                <c:pt idx="11">
                  <c:v>563.51372868495753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392.03355317192472</c:v>
                </c:pt>
                <c:pt idx="2">
                  <c:v>387.46356502041004</c:v>
                </c:pt>
                <c:pt idx="3">
                  <c:v>539.50393094816343</c:v>
                </c:pt>
                <c:pt idx="4">
                  <c:v>412.15295379377488</c:v>
                </c:pt>
                <c:pt idx="5">
                  <c:v>384.33174199051882</c:v>
                </c:pt>
                <c:pt idx="6">
                  <c:v>386.71385059107308</c:v>
                </c:pt>
                <c:pt idx="7">
                  <c:v>509.6465254264142</c:v>
                </c:pt>
                <c:pt idx="8">
                  <c:v>346.20714950093253</c:v>
                </c:pt>
                <c:pt idx="9">
                  <c:v>268.94308813064077</c:v>
                </c:pt>
                <c:pt idx="10">
                  <c:v>279.49842665770774</c:v>
                </c:pt>
                <c:pt idx="11">
                  <c:v>391.33614856815501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96.814689227565196</c:v>
                </c:pt>
                <c:pt idx="1">
                  <c:v>111.81115799796279</c:v>
                </c:pt>
                <c:pt idx="2">
                  <c:v>118.41740712966912</c:v>
                </c:pt>
                <c:pt idx="3">
                  <c:v>161.44953866481347</c:v>
                </c:pt>
                <c:pt idx="4">
                  <c:v>96.814689227565196</c:v>
                </c:pt>
                <c:pt idx="5">
                  <c:v>104.21572108486704</c:v>
                </c:pt>
                <c:pt idx="6">
                  <c:v>118.41740712966912</c:v>
                </c:pt>
                <c:pt idx="7">
                  <c:v>110.02633232818171</c:v>
                </c:pt>
                <c:pt idx="8">
                  <c:v>61.280874999999988</c:v>
                </c:pt>
                <c:pt idx="9">
                  <c:v>64.453768554426318</c:v>
                </c:pt>
                <c:pt idx="10">
                  <c:v>81.594999999999985</c:v>
                </c:pt>
                <c:pt idx="11">
                  <c:v>81.594999999999999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266.3351073752757</c:v>
                </c:pt>
                <c:pt idx="1">
                  <c:v>222.33662746346721</c:v>
                </c:pt>
                <c:pt idx="2">
                  <c:v>222.22420759314841</c:v>
                </c:pt>
                <c:pt idx="3">
                  <c:v>319.16607891014928</c:v>
                </c:pt>
                <c:pt idx="4">
                  <c:v>266.3351073752757</c:v>
                </c:pt>
                <c:pt idx="5">
                  <c:v>228.30540384496459</c:v>
                </c:pt>
                <c:pt idx="6">
                  <c:v>222.22420759314841</c:v>
                </c:pt>
                <c:pt idx="7">
                  <c:v>347.79065828914173</c:v>
                </c:pt>
                <c:pt idx="8">
                  <c:v>245.73596745685083</c:v>
                </c:pt>
                <c:pt idx="9">
                  <c:v>184.79847354497542</c:v>
                </c:pt>
                <c:pt idx="10">
                  <c:v>182.92213034123867</c:v>
                </c:pt>
                <c:pt idx="11">
                  <c:v>283.12556267185187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47.410697254899915</c:v>
                </c:pt>
                <c:pt idx="1">
                  <c:v>57.885767710494662</c:v>
                </c:pt>
                <c:pt idx="2">
                  <c:v>46.821950297592537</c:v>
                </c:pt>
                <c:pt idx="3">
                  <c:v>58.888313373200795</c:v>
                </c:pt>
                <c:pt idx="4">
                  <c:v>49.003157190933997</c:v>
                </c:pt>
                <c:pt idx="5">
                  <c:v>51.81061706068715</c:v>
                </c:pt>
                <c:pt idx="6">
                  <c:v>46.072235868255554</c:v>
                </c:pt>
                <c:pt idx="7">
                  <c:v>51.829534809090752</c:v>
                </c:pt>
                <c:pt idx="8">
                  <c:v>39.190307044081692</c:v>
                </c:pt>
                <c:pt idx="9">
                  <c:v>19.690846031239058</c:v>
                </c:pt>
                <c:pt idx="10">
                  <c:v>14.981296316469114</c:v>
                </c:pt>
                <c:pt idx="11">
                  <c:v>26.615585896303056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96.814689227565196</c:v>
                </c:pt>
                <c:pt idx="1">
                  <c:v>111.81115799796279</c:v>
                </c:pt>
                <c:pt idx="2">
                  <c:v>118.41740712966912</c:v>
                </c:pt>
                <c:pt idx="3">
                  <c:v>161.44953866481347</c:v>
                </c:pt>
                <c:pt idx="4">
                  <c:v>96.814689227565196</c:v>
                </c:pt>
                <c:pt idx="5">
                  <c:v>104.21572108486704</c:v>
                </c:pt>
                <c:pt idx="6">
                  <c:v>118.41740712966912</c:v>
                </c:pt>
                <c:pt idx="7">
                  <c:v>110.02633232818171</c:v>
                </c:pt>
                <c:pt idx="8">
                  <c:v>61.280874999999988</c:v>
                </c:pt>
                <c:pt idx="9">
                  <c:v>64.453768554426318</c:v>
                </c:pt>
                <c:pt idx="10">
                  <c:v>81.594999999999985</c:v>
                </c:pt>
                <c:pt idx="11">
                  <c:v>81.594999999999999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96.814689227565196</c:v>
                </c:pt>
                <c:pt idx="1">
                  <c:v>111.81115799796279</c:v>
                </c:pt>
                <c:pt idx="2">
                  <c:v>118.41740712966912</c:v>
                </c:pt>
                <c:pt idx="3">
                  <c:v>161.44953866481347</c:v>
                </c:pt>
                <c:pt idx="4">
                  <c:v>96.814689227565196</c:v>
                </c:pt>
                <c:pt idx="5">
                  <c:v>104.21572108486704</c:v>
                </c:pt>
                <c:pt idx="6">
                  <c:v>118.41740712966912</c:v>
                </c:pt>
                <c:pt idx="7">
                  <c:v>110.02633232818171</c:v>
                </c:pt>
                <c:pt idx="8">
                  <c:v>61.280874999999988</c:v>
                </c:pt>
                <c:pt idx="9">
                  <c:v>64.453768554426318</c:v>
                </c:pt>
                <c:pt idx="10">
                  <c:v>81.594999999999985</c:v>
                </c:pt>
                <c:pt idx="11">
                  <c:v>81.594999999999999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0.42499999999999999</c:v>
                </c:pt>
                <c:pt idx="1">
                  <c:v>0.42499999999999999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0.42499999999999999</c:v>
                </c:pt>
                <c:pt idx="5">
                  <c:v>0.42499999999999999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0.42499999999999999</c:v>
                </c:pt>
                <c:pt idx="9">
                  <c:v>0.42499999999999999</c:v>
                </c:pt>
                <c:pt idx="10">
                  <c:v>0.42499999999999999</c:v>
                </c:pt>
                <c:pt idx="11">
                  <c:v>0.42499999999999999</c:v>
                </c:pt>
                <c:pt idx="12">
                  <c:v>0.42499999999999999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59FE07-C755-4FAA-808C-5B2EDAF69ED0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964EA5-A4C6-4966-96DF-515CE35934D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90B37A-5A62-4C55-AB76-2D3BA76C36A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EC696B-2C48-4CA7-AB01-1FF710A884E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C814B66-1A0A-4870-B7D9-3499F55BE13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1CFE3F-0E59-49A4-8252-52F1E9084CC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59B120-7AA6-4C94-A0AE-378FFF3036D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4DC74A-3913-4567-98B4-84BBCD58473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109.22046668447764</c:v>
                </c:pt>
                <c:pt idx="1">
                  <c:v>95.383042027064064</c:v>
                </c:pt>
                <c:pt idx="2">
                  <c:v>29.078137164069659</c:v>
                </c:pt>
                <c:pt idx="3">
                  <c:v>98.913884461068349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4.6047458171204996</c:v>
                </c:pt>
                <c:pt idx="1">
                  <c:v>5.2627427656113186</c:v>
                </c:pt>
                <c:pt idx="2">
                  <c:v>2.0718386584276187</c:v>
                </c:pt>
                <c:pt idx="3">
                  <c:v>6.1752334879676534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31C28FF-2860-4AEB-B6F1-DAEC439DAAA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A97A94-F64C-4387-B07D-0F3EDB9EFCE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F0FF88-E461-49DE-92AA-776F0E2380F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6E05A5-449C-42C6-9464-6D2E4FDB988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163.22656973881664</c:v>
                </c:pt>
                <c:pt idx="1">
                  <c:v>22.902531475577291</c:v>
                </c:pt>
                <c:pt idx="2">
                  <c:v>-28.978159350921757</c:v>
                </c:pt>
                <c:pt idx="3">
                  <c:v>52.665978051421646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2.5909101746344239</c:v>
                </c:pt>
                <c:pt idx="1">
                  <c:v>1.5682703270247524</c:v>
                </c:pt>
                <c:pt idx="2">
                  <c:v>3.4288632026173684</c:v>
                </c:pt>
                <c:pt idx="3">
                  <c:v>20.521859477916529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392.03355317192472</c:v>
                </c:pt>
                <c:pt idx="2">
                  <c:v>387.46356502041004</c:v>
                </c:pt>
                <c:pt idx="3">
                  <c:v>539.50393094816343</c:v>
                </c:pt>
                <c:pt idx="4">
                  <c:v>412.15295379377488</c:v>
                </c:pt>
                <c:pt idx="5">
                  <c:v>384.33174199051882</c:v>
                </c:pt>
                <c:pt idx="6">
                  <c:v>386.71385059107308</c:v>
                </c:pt>
                <c:pt idx="7">
                  <c:v>509.6465254264142</c:v>
                </c:pt>
                <c:pt idx="8">
                  <c:v>346.20714950093253</c:v>
                </c:pt>
                <c:pt idx="9">
                  <c:v>268.94308813064077</c:v>
                </c:pt>
                <c:pt idx="10">
                  <c:v>279.49842665770774</c:v>
                </c:pt>
                <c:pt idx="11">
                  <c:v>391.33614856815501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304.6121390336761</c:v>
                </c:pt>
                <c:pt idx="1">
                  <c:v>348.15929742031165</c:v>
                </c:pt>
                <c:pt idx="2">
                  <c:v>372.52005744454391</c:v>
                </c:pt>
                <c:pt idx="3">
                  <c:v>614.40027586435599</c:v>
                </c:pt>
                <c:pt idx="4">
                  <c:v>304.6121390336761</c:v>
                </c:pt>
                <c:pt idx="5">
                  <c:v>298.43559234041493</c:v>
                </c:pt>
                <c:pt idx="6">
                  <c:v>372.52005744454391</c:v>
                </c:pt>
                <c:pt idx="7">
                  <c:v>300.20101355741713</c:v>
                </c:pt>
                <c:pt idx="8">
                  <c:v>304.6121390336761</c:v>
                </c:pt>
                <c:pt idx="9">
                  <c:v>348.15929742031165</c:v>
                </c:pt>
                <c:pt idx="10">
                  <c:v>615.70955738077487</c:v>
                </c:pt>
                <c:pt idx="11">
                  <c:v>616.1797067363791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163.22656973881664</c:v>
                </c:pt>
                <c:pt idx="1">
                  <c:v>152.99210419327912</c:v>
                </c:pt>
                <c:pt idx="2">
                  <c:v>73.898283133583746</c:v>
                </c:pt>
                <c:pt idx="3">
                  <c:v>134.2983456727967</c:v>
                </c:pt>
                <c:pt idx="4">
                  <c:v>109.22046668447764</c:v>
                </c:pt>
                <c:pt idx="5">
                  <c:v>95.383042027064064</c:v>
                </c:pt>
                <c:pt idx="6">
                  <c:v>29.078137164069659</c:v>
                </c:pt>
                <c:pt idx="7">
                  <c:v>98.913884461068349</c:v>
                </c:pt>
                <c:pt idx="8">
                  <c:v>163.22656973881664</c:v>
                </c:pt>
                <c:pt idx="9">
                  <c:v>22.902531475577291</c:v>
                </c:pt>
                <c:pt idx="10">
                  <c:v>-28.978159350921757</c:v>
                </c:pt>
                <c:pt idx="11">
                  <c:v>52.665978051421646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410.56049385774082</c:v>
                </c:pt>
                <c:pt idx="1">
                  <c:v>392.03355317192472</c:v>
                </c:pt>
                <c:pt idx="2">
                  <c:v>387.46356502041004</c:v>
                </c:pt>
                <c:pt idx="3">
                  <c:v>539.50393094816343</c:v>
                </c:pt>
                <c:pt idx="4">
                  <c:v>412.15295379377488</c:v>
                </c:pt>
                <c:pt idx="5">
                  <c:v>384.33174199051882</c:v>
                </c:pt>
                <c:pt idx="6">
                  <c:v>386.71385059107308</c:v>
                </c:pt>
                <c:pt idx="7">
                  <c:v>509.6465254264142</c:v>
                </c:pt>
                <c:pt idx="8">
                  <c:v>346.20714950093253</c:v>
                </c:pt>
                <c:pt idx="9">
                  <c:v>268.94308813064077</c:v>
                </c:pt>
                <c:pt idx="10">
                  <c:v>279.49842665770774</c:v>
                </c:pt>
                <c:pt idx="11">
                  <c:v>391.33614856815501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2.9851679505576811</c:v>
                </c:pt>
                <c:pt idx="1">
                  <c:v>3.6006166857258357</c:v>
                </c:pt>
                <c:pt idx="2">
                  <c:v>0.59239804443575761</c:v>
                </c:pt>
                <c:pt idx="3">
                  <c:v>7.1643951189718384</c:v>
                </c:pt>
                <c:pt idx="4">
                  <c:v>4.6047458171204996</c:v>
                </c:pt>
                <c:pt idx="5">
                  <c:v>5.2627427656113186</c:v>
                </c:pt>
                <c:pt idx="6">
                  <c:v>2.0718386584276187</c:v>
                </c:pt>
                <c:pt idx="7">
                  <c:v>6.1752334879676534</c:v>
                </c:pt>
                <c:pt idx="8">
                  <c:v>2.5909101746344239</c:v>
                </c:pt>
                <c:pt idx="9">
                  <c:v>1.5682703270247524</c:v>
                </c:pt>
                <c:pt idx="10">
                  <c:v>3.4288632026173684</c:v>
                </c:pt>
                <c:pt idx="11">
                  <c:v>20.521859477916529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266.3351073752757</c:v>
                </c:pt>
                <c:pt idx="1">
                  <c:v>222.33662746346721</c:v>
                </c:pt>
                <c:pt idx="2">
                  <c:v>222.22420759314841</c:v>
                </c:pt>
                <c:pt idx="3">
                  <c:v>319.16607891014928</c:v>
                </c:pt>
                <c:pt idx="4">
                  <c:v>266.3351073752757</c:v>
                </c:pt>
                <c:pt idx="5">
                  <c:v>228.30540384496459</c:v>
                </c:pt>
                <c:pt idx="6">
                  <c:v>222.22420759314841</c:v>
                </c:pt>
                <c:pt idx="7">
                  <c:v>347.79065828914173</c:v>
                </c:pt>
                <c:pt idx="8">
                  <c:v>245.73596745685083</c:v>
                </c:pt>
                <c:pt idx="9">
                  <c:v>184.79847354497542</c:v>
                </c:pt>
                <c:pt idx="10">
                  <c:v>182.92213034123867</c:v>
                </c:pt>
                <c:pt idx="11">
                  <c:v>283.12556267185187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76.930878417473082</c:v>
                </c:pt>
                <c:pt idx="1">
                  <c:v>77.834886612819687</c:v>
                </c:pt>
                <c:pt idx="2">
                  <c:v>78.294084168131221</c:v>
                </c:pt>
                <c:pt idx="3">
                  <c:v>82.718698010625445</c:v>
                </c:pt>
                <c:pt idx="4">
                  <c:v>76.930878417473082</c:v>
                </c:pt>
                <c:pt idx="5">
                  <c:v>76.930878417473068</c:v>
                </c:pt>
                <c:pt idx="6">
                  <c:v>78.294084168131221</c:v>
                </c:pt>
                <c:pt idx="7">
                  <c:v>76.930878417473096</c:v>
                </c:pt>
                <c:pt idx="8">
                  <c:v>76.930878417473082</c:v>
                </c:pt>
                <c:pt idx="9">
                  <c:v>77.834886612819687</c:v>
                </c:pt>
                <c:pt idx="10">
                  <c:v>82.718698010625417</c:v>
                </c:pt>
                <c:pt idx="11">
                  <c:v>82.718698010625445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78.918428732417752</c:v>
                </c:pt>
                <c:pt idx="1">
                  <c:v>60.209058687769819</c:v>
                </c:pt>
                <c:pt idx="2">
                  <c:v>59.970884760423829</c:v>
                </c:pt>
                <c:pt idx="3">
                  <c:v>98.519742041468277</c:v>
                </c:pt>
                <c:pt idx="4">
                  <c:v>78.918428732417752</c:v>
                </c:pt>
                <c:pt idx="5">
                  <c:v>63.072718928121482</c:v>
                </c:pt>
                <c:pt idx="6">
                  <c:v>59.970884760423829</c:v>
                </c:pt>
                <c:pt idx="7">
                  <c:v>112.85824161319526</c:v>
                </c:pt>
                <c:pt idx="8">
                  <c:v>70.335453766407412</c:v>
                </c:pt>
                <c:pt idx="9">
                  <c:v>44.568161221731557</c:v>
                </c:pt>
                <c:pt idx="10">
                  <c:v>41.751430137755513</c:v>
                </c:pt>
                <c:pt idx="11">
                  <c:v>83.502860275511026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110.48580022538486</c:v>
                </c:pt>
                <c:pt idx="1">
                  <c:v>84.292682162877725</c:v>
                </c:pt>
                <c:pt idx="2">
                  <c:v>83.959238664593357</c:v>
                </c:pt>
                <c:pt idx="3">
                  <c:v>137.92763885805559</c:v>
                </c:pt>
                <c:pt idx="4">
                  <c:v>110.48580022538486</c:v>
                </c:pt>
                <c:pt idx="5">
                  <c:v>88.301806499370059</c:v>
                </c:pt>
                <c:pt idx="6">
                  <c:v>83.959238664593357</c:v>
                </c:pt>
                <c:pt idx="7">
                  <c:v>158.00153825847337</c:v>
                </c:pt>
                <c:pt idx="8">
                  <c:v>98.469635272970365</c:v>
                </c:pt>
                <c:pt idx="9">
                  <c:v>62.395425710424171</c:v>
                </c:pt>
                <c:pt idx="10">
                  <c:v>58.452002192857726</c:v>
                </c:pt>
                <c:pt idx="11">
                  <c:v>116.90400438571545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47.410697254899915</c:v>
                </c:pt>
                <c:pt idx="1">
                  <c:v>57.885767710494662</c:v>
                </c:pt>
                <c:pt idx="2">
                  <c:v>46.821950297592537</c:v>
                </c:pt>
                <c:pt idx="3">
                  <c:v>58.888313373200795</c:v>
                </c:pt>
                <c:pt idx="4">
                  <c:v>49.003157190933997</c:v>
                </c:pt>
                <c:pt idx="5">
                  <c:v>51.81061706068715</c:v>
                </c:pt>
                <c:pt idx="6">
                  <c:v>46.072235868255554</c:v>
                </c:pt>
                <c:pt idx="7">
                  <c:v>51.829534809090752</c:v>
                </c:pt>
                <c:pt idx="8">
                  <c:v>39.190307044081692</c:v>
                </c:pt>
                <c:pt idx="9">
                  <c:v>19.690846031239058</c:v>
                </c:pt>
                <c:pt idx="10">
                  <c:v>14.981296316469114</c:v>
                </c:pt>
                <c:pt idx="11">
                  <c:v>26.615585896303056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16.118714366833188</c:v>
                </c:pt>
                <c:pt idx="1">
                  <c:v>19.788106950461017</c:v>
                </c:pt>
                <c:pt idx="2">
                  <c:v>15.902982079281985</c:v>
                </c:pt>
                <c:pt idx="3">
                  <c:v>20.107080841024867</c:v>
                </c:pt>
                <c:pt idx="4">
                  <c:v>16.677472239125851</c:v>
                </c:pt>
                <c:pt idx="5">
                  <c:v>17.662545877635733</c:v>
                </c:pt>
                <c:pt idx="6">
                  <c:v>15.63992438477778</c:v>
                </c:pt>
                <c:pt idx="7">
                  <c:v>17.669183684093131</c:v>
                </c:pt>
                <c:pt idx="8">
                  <c:v>13.234366924440833</c:v>
                </c:pt>
                <c:pt idx="9">
                  <c:v>6.3863800454590516</c:v>
                </c:pt>
                <c:pt idx="10">
                  <c:v>4.7011099439260384</c:v>
                </c:pt>
                <c:pt idx="11">
                  <c:v>8.7833168140432107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1.4723613094253223</c:v>
                </c:pt>
                <c:pt idx="1">
                  <c:v>1.4896629016807592</c:v>
                </c:pt>
                <c:pt idx="2">
                  <c:v>1.498451371638875</c:v>
                </c:pt>
                <c:pt idx="3">
                  <c:v>1.5831329762799127</c:v>
                </c:pt>
                <c:pt idx="4">
                  <c:v>1.4723613094253223</c:v>
                </c:pt>
                <c:pt idx="5">
                  <c:v>1.4723613094253218</c:v>
                </c:pt>
                <c:pt idx="6">
                  <c:v>1.498451371638875</c:v>
                </c:pt>
                <c:pt idx="7">
                  <c:v>1.4723613094253225</c:v>
                </c:pt>
                <c:pt idx="8">
                  <c:v>1.4723613094253223</c:v>
                </c:pt>
                <c:pt idx="9">
                  <c:v>1.4896629016807592</c:v>
                </c:pt>
                <c:pt idx="10">
                  <c:v>1.5831329762799122</c:v>
                </c:pt>
                <c:pt idx="11">
                  <c:v>1.5831329762799127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29.819621578641399</c:v>
                </c:pt>
                <c:pt idx="1">
                  <c:v>36.607997858352881</c:v>
                </c:pt>
                <c:pt idx="2">
                  <c:v>29.420516846671674</c:v>
                </c:pt>
                <c:pt idx="3">
                  <c:v>37.198099555896007</c:v>
                </c:pt>
                <c:pt idx="4">
                  <c:v>30.853323642382822</c:v>
                </c:pt>
                <c:pt idx="5">
                  <c:v>32.675709873626097</c:v>
                </c:pt>
                <c:pt idx="6">
                  <c:v>28.933860111838897</c:v>
                </c:pt>
                <c:pt idx="7">
                  <c:v>32.687989815572294</c:v>
                </c:pt>
                <c:pt idx="8">
                  <c:v>24.483578810215537</c:v>
                </c:pt>
                <c:pt idx="9">
                  <c:v>11.814803084099244</c:v>
                </c:pt>
                <c:pt idx="10">
                  <c:v>8.6970533962631702</c:v>
                </c:pt>
                <c:pt idx="11">
                  <c:v>16.249136105979936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101.46076875000001</c:v>
                </c:pt>
                <c:pt idx="1">
                  <c:v>104.82506943360373</c:v>
                </c:pt>
                <c:pt idx="2">
                  <c:v>106.53399050002335</c:v>
                </c:pt>
                <c:pt idx="3">
                  <c:v>123.00035822944253</c:v>
                </c:pt>
                <c:pt idx="4">
                  <c:v>101.46076875000001</c:v>
                </c:pt>
                <c:pt idx="5">
                  <c:v>101.46076874999997</c:v>
                </c:pt>
                <c:pt idx="6">
                  <c:v>106.53399050002335</c:v>
                </c:pt>
                <c:pt idx="7">
                  <c:v>101.46076874999999</c:v>
                </c:pt>
                <c:pt idx="8">
                  <c:v>101.46076875000001</c:v>
                </c:pt>
                <c:pt idx="9">
                  <c:v>104.82506943360373</c:v>
                </c:pt>
                <c:pt idx="10">
                  <c:v>123.0003582294425</c:v>
                </c:pt>
                <c:pt idx="11">
                  <c:v>123.00035822944253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45.823795450192236</c:v>
                </c:pt>
                <c:pt idx="5">
                  <c:v>2.2195207403845059</c:v>
                </c:pt>
                <c:pt idx="6">
                  <c:v>24.760792785664758</c:v>
                </c:pt>
                <c:pt idx="7">
                  <c:v>2.2195207403845085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19.357465049999998</c:v>
                </c:pt>
                <c:pt idx="6">
                  <c:v>14.798199293765236</c:v>
                </c:pt>
                <c:pt idx="7">
                  <c:v>19.357465050000005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42.488796240288906</c:v>
                </c:pt>
                <c:pt idx="1">
                  <c:v>42.488796240288906</c:v>
                </c:pt>
                <c:pt idx="2">
                  <c:v>42.488796240288899</c:v>
                </c:pt>
                <c:pt idx="3">
                  <c:v>42.48879624028892</c:v>
                </c:pt>
                <c:pt idx="4">
                  <c:v>42.488796240288906</c:v>
                </c:pt>
                <c:pt idx="5">
                  <c:v>42.488796240288906</c:v>
                </c:pt>
                <c:pt idx="6">
                  <c:v>42.488796240288899</c:v>
                </c:pt>
                <c:pt idx="7">
                  <c:v>42.48879624028892</c:v>
                </c:pt>
                <c:pt idx="8">
                  <c:v>42.488796240288906</c:v>
                </c:pt>
                <c:pt idx="9">
                  <c:v>42.488796240288906</c:v>
                </c:pt>
                <c:pt idx="10">
                  <c:v>42.488796240288899</c:v>
                </c:pt>
                <c:pt idx="11">
                  <c:v>42.48879624028892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3.3884815001630408</c:v>
                </c:pt>
                <c:pt idx="1">
                  <c:v>3.4243196328840946</c:v>
                </c:pt>
                <c:pt idx="2">
                  <c:v>3.4425238737495536</c:v>
                </c:pt>
                <c:pt idx="3">
                  <c:v>3.6179314629096591</c:v>
                </c:pt>
                <c:pt idx="4">
                  <c:v>3.3884815001630408</c:v>
                </c:pt>
                <c:pt idx="5">
                  <c:v>3.3884815001630395</c:v>
                </c:pt>
                <c:pt idx="6">
                  <c:v>3.4425238737495536</c:v>
                </c:pt>
                <c:pt idx="7">
                  <c:v>3.7635548282653581</c:v>
                </c:pt>
                <c:pt idx="8">
                  <c:v>3.3884815001630408</c:v>
                </c:pt>
                <c:pt idx="9">
                  <c:v>3.4243196328840946</c:v>
                </c:pt>
                <c:pt idx="10">
                  <c:v>3.6179314629096564</c:v>
                </c:pt>
                <c:pt idx="11">
                  <c:v>3.6179314629096591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7.100483317098699</c:v>
                </c:pt>
                <c:pt idx="1">
                  <c:v>5.9914482122081827</c:v>
                </c:pt>
                <c:pt idx="2">
                  <c:v>5.4281057430338375</c:v>
                </c:pt>
                <c:pt idx="3">
                  <c:v>0</c:v>
                </c:pt>
                <c:pt idx="4">
                  <c:v>7.100483317098699</c:v>
                </c:pt>
                <c:pt idx="5">
                  <c:v>7.100483317098699</c:v>
                </c:pt>
                <c:pt idx="6">
                  <c:v>5.4281057430338375</c:v>
                </c:pt>
                <c:pt idx="7">
                  <c:v>7.1004833170987016</c:v>
                </c:pt>
                <c:pt idx="8">
                  <c:v>7.100483317098699</c:v>
                </c:pt>
                <c:pt idx="9">
                  <c:v>5.9914482122081827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7.6288633649438724</c:v>
                </c:pt>
                <c:pt idx="1">
                  <c:v>6.4372997904246914</c:v>
                </c:pt>
                <c:pt idx="2">
                  <c:v>5.8320363832631026</c:v>
                </c:pt>
                <c:pt idx="3">
                  <c:v>0</c:v>
                </c:pt>
                <c:pt idx="4">
                  <c:v>7.6288633649438724</c:v>
                </c:pt>
                <c:pt idx="5">
                  <c:v>7.6288633649438742</c:v>
                </c:pt>
                <c:pt idx="6">
                  <c:v>5.8320363832631026</c:v>
                </c:pt>
                <c:pt idx="7">
                  <c:v>7.6288633649438768</c:v>
                </c:pt>
                <c:pt idx="8">
                  <c:v>7.6288633649438724</c:v>
                </c:pt>
                <c:pt idx="9">
                  <c:v>6.4372997904246914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4207.927716448683</c:v>
                </c:pt>
                <c:pt idx="2">
                  <c:v>6345.3752863570944</c:v>
                </c:pt>
                <c:pt idx="3">
                  <c:v>26940.824883221969</c:v>
                </c:pt>
                <c:pt idx="4">
                  <c:v>0</c:v>
                </c:pt>
                <c:pt idx="5">
                  <c:v>0</c:v>
                </c:pt>
                <c:pt idx="6">
                  <c:v>6345.3752863570944</c:v>
                </c:pt>
                <c:pt idx="7">
                  <c:v>0</c:v>
                </c:pt>
                <c:pt idx="8">
                  <c:v>0</c:v>
                </c:pt>
                <c:pt idx="9">
                  <c:v>4207.927716448683</c:v>
                </c:pt>
                <c:pt idx="10">
                  <c:v>26940.824883221951</c:v>
                </c:pt>
                <c:pt idx="11">
                  <c:v>26940.824883221969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5159.6524647172273</c:v>
                </c:pt>
                <c:pt idx="1">
                  <c:v>4353.7586323035193</c:v>
                </c:pt>
                <c:pt idx="2">
                  <c:v>3944.3989831433296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5159.6524647172273</c:v>
                </c:pt>
                <c:pt idx="9">
                  <c:v>4353.7586323035193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1289.9131161793068</c:v>
                </c:pt>
                <c:pt idx="5">
                  <c:v>1289.9131161793073</c:v>
                </c:pt>
                <c:pt idx="6">
                  <c:v>986.0997457858324</c:v>
                </c:pt>
                <c:pt idx="7">
                  <c:v>1289.9131161793073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14.379008362973781</c:v>
                </c:pt>
                <c:pt idx="1">
                  <c:v>8.8574775236429666</c:v>
                </c:pt>
                <c:pt idx="2">
                  <c:v>8.0246582982913974</c:v>
                </c:pt>
                <c:pt idx="3">
                  <c:v>7.1512770957014684</c:v>
                </c:pt>
                <c:pt idx="4">
                  <c:v>-16.338962881692922</c:v>
                </c:pt>
                <c:pt idx="5">
                  <c:v>-10.162416188431834</c:v>
                </c:pt>
                <c:pt idx="6">
                  <c:v>-9.1184726209405937</c:v>
                </c:pt>
                <c:pt idx="7">
                  <c:v>-11.927837405433955</c:v>
                </c:pt>
                <c:pt idx="8">
                  <c:v>14.379008362973781</c:v>
                </c:pt>
                <c:pt idx="9">
                  <c:v>8.8574775236429666</c:v>
                </c:pt>
                <c:pt idx="10">
                  <c:v>8.4605586121202663</c:v>
                </c:pt>
                <c:pt idx="11">
                  <c:v>8.9307079677245031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14.27328083982685</c:v>
                </c:pt>
                <c:pt idx="5">
                  <c:v>28.546561679653699</c:v>
                </c:pt>
                <c:pt idx="6">
                  <c:v>14.273280839826851</c:v>
                </c:pt>
                <c:pt idx="7">
                  <c:v>28.546561679653689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30.815325140872265</c:v>
                </c:pt>
                <c:pt idx="5">
                  <c:v>61.630650281744529</c:v>
                </c:pt>
                <c:pt idx="6">
                  <c:v>30.815325140872268</c:v>
                </c:pt>
                <c:pt idx="7">
                  <c:v>61.630650281744508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25.545792181885687</c:v>
                </c:pt>
                <c:pt idx="1">
                  <c:v>81.48464626978587</c:v>
                </c:pt>
                <c:pt idx="2">
                  <c:v>184.06312551264543</c:v>
                </c:pt>
                <c:pt idx="3">
                  <c:v>349.95029486641533</c:v>
                </c:pt>
                <c:pt idx="4">
                  <c:v>0</c:v>
                </c:pt>
                <c:pt idx="5">
                  <c:v>0</c:v>
                </c:pt>
                <c:pt idx="6">
                  <c:v>161.37880434126234</c:v>
                </c:pt>
                <c:pt idx="7">
                  <c:v>0</c:v>
                </c:pt>
                <c:pt idx="8">
                  <c:v>25.545792181885687</c:v>
                </c:pt>
                <c:pt idx="9">
                  <c:v>211.57421898748768</c:v>
                </c:pt>
                <c:pt idx="10">
                  <c:v>513.22679989013386</c:v>
                </c:pt>
                <c:pt idx="11">
                  <c:v>431.58266248779046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0.46414949103268899</c:v>
                </c:pt>
                <c:pt idx="1">
                  <c:v>0.52268913644231974</c:v>
                </c:pt>
                <c:pt idx="2">
                  <c:v>0.67412863023877989</c:v>
                </c:pt>
                <c:pt idx="3">
                  <c:v>0.78141199274873419</c:v>
                </c:pt>
                <c:pt idx="4">
                  <c:v>0.64144414260390703</c:v>
                </c:pt>
                <c:pt idx="5">
                  <c:v>0.68084911584074714</c:v>
                </c:pt>
                <c:pt idx="6">
                  <c:v>0.82342907875622529</c:v>
                </c:pt>
                <c:pt idx="7">
                  <c:v>0.67050782644293139</c:v>
                </c:pt>
                <c:pt idx="8">
                  <c:v>0.46414949103268899</c:v>
                </c:pt>
                <c:pt idx="9">
                  <c:v>0.73691686342332774</c:v>
                </c:pt>
                <c:pt idx="10">
                  <c:v>1.050800811280715</c:v>
                </c:pt>
                <c:pt idx="11">
                  <c:v>0.91455156466672016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163.22656973881664</c:v>
                </c:pt>
                <c:pt idx="1">
                  <c:v>344.17321908263199</c:v>
                </c:pt>
                <c:pt idx="2">
                  <c:v>188.35800482446962</c:v>
                </c:pt>
                <c:pt idx="3">
                  <c:v>179.13909951045326</c:v>
                </c:pt>
                <c:pt idx="4">
                  <c:v>241.79690753955828</c:v>
                </c:pt>
                <c:pt idx="5">
                  <c:v>217.00466400344783</c:v>
                </c:pt>
                <c:pt idx="6">
                  <c:v>1158.1287860627126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304.6121390336761</c:v>
                </c:pt>
                <c:pt idx="1">
                  <c:v>304.6121390336761</c:v>
                </c:pt>
                <c:pt idx="2">
                  <c:v>304.6121390336761</c:v>
                </c:pt>
                <c:pt idx="3">
                  <c:v>267.60417534542665</c:v>
                </c:pt>
                <c:pt idx="4">
                  <c:v>331.05565178408585</c:v>
                </c:pt>
                <c:pt idx="5">
                  <c:v>618.38482251385653</c:v>
                </c:pt>
                <c:pt idx="6">
                  <c:v>1521.368249833761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410.56049385774077</c:v>
                </c:pt>
                <c:pt idx="1">
                  <c:v>439.9507171600236</c:v>
                </c:pt>
                <c:pt idx="2">
                  <c:v>418.57808014602449</c:v>
                </c:pt>
                <c:pt idx="3">
                  <c:v>349.41196561874148</c:v>
                </c:pt>
                <c:pt idx="4">
                  <c:v>361.06522691991438</c:v>
                </c:pt>
                <c:pt idx="5">
                  <c:v>409.04816593297659</c:v>
                </c:pt>
                <c:pt idx="6">
                  <c:v>679.30440160276589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97</c:v>
                </c:pt>
                <c:pt idx="2">
                  <c:v>363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97</c:v>
                </c:pt>
                <c:pt idx="1">
                  <c:v>266</c:v>
                </c:pt>
                <c:pt idx="2">
                  <c:v>47</c:v>
                </c:pt>
                <c:pt idx="3">
                  <c:v>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200</c:v>
                </c:pt>
                <c:pt idx="1">
                  <c:v>14</c:v>
                </c:pt>
                <c:pt idx="2">
                  <c:v>26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348</c:v>
                </c:pt>
                <c:pt idx="2">
                  <c:v>0</c:v>
                </c:pt>
                <c:pt idx="3">
                  <c:v>339</c:v>
                </c:pt>
                <c:pt idx="4">
                  <c:v>258</c:v>
                </c:pt>
                <c:pt idx="5">
                  <c:v>258</c:v>
                </c:pt>
                <c:pt idx="6">
                  <c:v>153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348</c:v>
                </c:pt>
                <c:pt idx="1">
                  <c:v>0</c:v>
                </c:pt>
                <c:pt idx="2">
                  <c:v>348</c:v>
                </c:pt>
                <c:pt idx="3">
                  <c:v>9</c:v>
                </c:pt>
                <c:pt idx="4">
                  <c:v>81</c:v>
                </c:pt>
                <c:pt idx="5">
                  <c:v>0</c:v>
                </c:pt>
                <c:pt idx="6">
                  <c:v>105</c:v>
                </c:pt>
                <c:pt idx="7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373</c:v>
                </c:pt>
                <c:pt idx="2">
                  <c:v>0</c:v>
                </c:pt>
                <c:pt idx="3">
                  <c:v>365</c:v>
                </c:pt>
                <c:pt idx="4">
                  <c:v>181</c:v>
                </c:pt>
                <c:pt idx="5">
                  <c:v>181</c:v>
                </c:pt>
                <c:pt idx="6">
                  <c:v>74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373</c:v>
                </c:pt>
                <c:pt idx="1">
                  <c:v>0</c:v>
                </c:pt>
                <c:pt idx="2">
                  <c:v>373</c:v>
                </c:pt>
                <c:pt idx="3">
                  <c:v>8</c:v>
                </c:pt>
                <c:pt idx="4">
                  <c:v>184</c:v>
                </c:pt>
                <c:pt idx="5">
                  <c:v>0</c:v>
                </c:pt>
                <c:pt idx="6">
                  <c:v>107</c:v>
                </c:pt>
                <c:pt idx="7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614</c:v>
                </c:pt>
                <c:pt idx="2">
                  <c:v>0</c:v>
                </c:pt>
                <c:pt idx="3">
                  <c:v>607</c:v>
                </c:pt>
                <c:pt idx="4">
                  <c:v>257</c:v>
                </c:pt>
                <c:pt idx="5">
                  <c:v>257</c:v>
                </c:pt>
                <c:pt idx="6">
                  <c:v>134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614</c:v>
                </c:pt>
                <c:pt idx="1">
                  <c:v>0</c:v>
                </c:pt>
                <c:pt idx="2">
                  <c:v>614</c:v>
                </c:pt>
                <c:pt idx="3">
                  <c:v>7</c:v>
                </c:pt>
                <c:pt idx="4">
                  <c:v>350</c:v>
                </c:pt>
                <c:pt idx="5">
                  <c:v>0</c:v>
                </c:pt>
                <c:pt idx="6">
                  <c:v>123</c:v>
                </c:pt>
                <c:pt idx="7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112</c:v>
                </c:pt>
                <c:pt idx="2">
                  <c:v>334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112</c:v>
                </c:pt>
                <c:pt idx="1">
                  <c:v>222</c:v>
                </c:pt>
                <c:pt idx="2">
                  <c:v>58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118</c:v>
                </c:pt>
                <c:pt idx="2">
                  <c:v>340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118</c:v>
                </c:pt>
                <c:pt idx="1">
                  <c:v>222</c:v>
                </c:pt>
                <c:pt idx="2">
                  <c:v>47</c:v>
                </c:pt>
                <c:pt idx="3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161</c:v>
                </c:pt>
                <c:pt idx="2">
                  <c:v>480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161</c:v>
                </c:pt>
                <c:pt idx="1">
                  <c:v>319</c:v>
                </c:pt>
                <c:pt idx="2">
                  <c:v>59</c:v>
                </c:pt>
                <c:pt idx="3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200</c:v>
                </c:pt>
                <c:pt idx="1">
                  <c:v>9</c:v>
                </c:pt>
                <c:pt idx="2">
                  <c:v>81</c:v>
                </c:pt>
                <c:pt idx="3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200</c:v>
                </c:pt>
                <c:pt idx="1">
                  <c:v>8</c:v>
                </c:pt>
                <c:pt idx="2">
                  <c:v>184</c:v>
                </c:pt>
                <c:pt idx="3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200</c:v>
                </c:pt>
                <c:pt idx="1">
                  <c:v>7</c:v>
                </c:pt>
                <c:pt idx="2">
                  <c:v>350</c:v>
                </c:pt>
                <c:pt idx="3">
                  <c:v>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305</c:v>
                </c:pt>
                <c:pt idx="2">
                  <c:v>0</c:v>
                </c:pt>
                <c:pt idx="3">
                  <c:v>291</c:v>
                </c:pt>
                <c:pt idx="4">
                  <c:v>265</c:v>
                </c:pt>
                <c:pt idx="5">
                  <c:v>265</c:v>
                </c:pt>
                <c:pt idx="6">
                  <c:v>164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305</c:v>
                </c:pt>
                <c:pt idx="1">
                  <c:v>0</c:v>
                </c:pt>
                <c:pt idx="2">
                  <c:v>305</c:v>
                </c:pt>
                <c:pt idx="3">
                  <c:v>14</c:v>
                </c:pt>
                <c:pt idx="4">
                  <c:v>26</c:v>
                </c:pt>
                <c:pt idx="5">
                  <c:v>0</c:v>
                </c:pt>
                <c:pt idx="6">
                  <c:v>101</c:v>
                </c:pt>
                <c:pt idx="7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614</c:v>
                </c:pt>
                <c:pt idx="2">
                  <c:v>0</c:v>
                </c:pt>
                <c:pt idx="3">
                  <c:v>607</c:v>
                </c:pt>
                <c:pt idx="4">
                  <c:v>257</c:v>
                </c:pt>
                <c:pt idx="5">
                  <c:v>257</c:v>
                </c:pt>
                <c:pt idx="6">
                  <c:v>134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C-4FAF-83F0-38FD0105D17C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97C-4FAF-83F0-38FD0105D17C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7C-4FAF-83F0-38FD0105D17C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97C-4FAF-83F0-38FD0105D17C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97C-4FAF-83F0-38FD0105D17C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614</c:v>
                </c:pt>
                <c:pt idx="1">
                  <c:v>0</c:v>
                </c:pt>
                <c:pt idx="2">
                  <c:v>614</c:v>
                </c:pt>
                <c:pt idx="3">
                  <c:v>7</c:v>
                </c:pt>
                <c:pt idx="4">
                  <c:v>350</c:v>
                </c:pt>
                <c:pt idx="5">
                  <c:v>0</c:v>
                </c:pt>
                <c:pt idx="6">
                  <c:v>123</c:v>
                </c:pt>
                <c:pt idx="7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7C-4FAF-83F0-38FD0105D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104775</xdr:rowOff>
    </xdr:from>
    <xdr:to>
      <xdr:col>13</xdr:col>
      <xdr:colOff>0</xdr:colOff>
      <xdr:row>22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7991475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42</xdr:col>
      <xdr:colOff>0</xdr:colOff>
      <xdr:row>75</xdr:row>
      <xdr:rowOff>1</xdr:rowOff>
    </xdr:from>
    <xdr:to>
      <xdr:col>63</xdr:col>
      <xdr:colOff>0</xdr:colOff>
      <xdr:row>100</xdr:row>
      <xdr:rowOff>0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  <xdr:twoCellAnchor>
    <xdr:from>
      <xdr:col>0</xdr:col>
      <xdr:colOff>180975</xdr:colOff>
      <xdr:row>67</xdr:row>
      <xdr:rowOff>104775</xdr:rowOff>
    </xdr:from>
    <xdr:to>
      <xdr:col>10</xdr:col>
      <xdr:colOff>48986</xdr:colOff>
      <xdr:row>74</xdr:row>
      <xdr:rowOff>189139</xdr:rowOff>
    </xdr:to>
    <xdr:graphicFrame macro="">
      <xdr:nvGraphicFramePr>
        <xdr:cNvPr id="4" name="Esforço-4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mailto:t.quintelagiuliani@unido.or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182"/>
  <sheetViews>
    <sheetView tabSelected="1" zoomScaleNormal="100" workbookViewId="0"/>
  </sheetViews>
  <sheetFormatPr defaultColWidth="0" defaultRowHeight="15" zeroHeight="1" x14ac:dyDescent="0.25"/>
  <cols>
    <col min="1" max="1" width="5.7109375" style="44" customWidth="1"/>
    <col min="2" max="12" width="9.85546875" style="44" customWidth="1"/>
    <col min="13" max="13" width="5.7109375" style="44" customWidth="1"/>
    <col min="14" max="16384" width="9.140625" style="44" hidden="1"/>
  </cols>
  <sheetData>
    <row r="1" spans="1:16" ht="15" customHeight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9"/>
      <c r="C2" s="49"/>
      <c r="D2" s="49"/>
      <c r="E2" s="106" t="s">
        <v>10460</v>
      </c>
      <c r="F2" s="106"/>
      <c r="G2" s="106"/>
      <c r="H2" s="106"/>
      <c r="I2" s="106"/>
      <c r="J2" s="106"/>
      <c r="K2" s="106"/>
      <c r="L2" s="106"/>
      <c r="M2" s="46"/>
    </row>
    <row r="3" spans="1:16" ht="15" customHeight="1" x14ac:dyDescent="0.6">
      <c r="A3" s="46"/>
      <c r="B3" s="49"/>
      <c r="C3" s="49"/>
      <c r="D3" s="49"/>
      <c r="E3" s="106"/>
      <c r="F3" s="106"/>
      <c r="G3" s="106"/>
      <c r="H3" s="106"/>
      <c r="I3" s="106"/>
      <c r="J3" s="106"/>
      <c r="K3" s="106"/>
      <c r="L3" s="106"/>
      <c r="M3" s="48"/>
      <c r="N3" s="47"/>
      <c r="O3" s="47"/>
      <c r="P3" s="47"/>
    </row>
    <row r="4" spans="1:16" ht="15" customHeight="1" x14ac:dyDescent="0.6">
      <c r="A4" s="46"/>
      <c r="B4" s="49"/>
      <c r="C4" s="49"/>
      <c r="D4" s="49"/>
      <c r="E4" s="107" t="s">
        <v>10461</v>
      </c>
      <c r="F4" s="107"/>
      <c r="G4" s="107"/>
      <c r="H4" s="107"/>
      <c r="I4" s="107"/>
      <c r="J4" s="107"/>
      <c r="K4" s="107"/>
      <c r="L4" s="107"/>
      <c r="M4" s="48"/>
      <c r="N4" s="47"/>
      <c r="O4" s="47"/>
      <c r="P4" s="47"/>
    </row>
    <row r="5" spans="1:16" ht="15" customHeight="1" x14ac:dyDescent="0.4">
      <c r="A5" s="46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6"/>
    </row>
    <row r="6" spans="1:16" ht="15" customHeight="1" x14ac:dyDescent="0.25">
      <c r="A6" s="46"/>
      <c r="B6" s="109" t="s">
        <v>10547</v>
      </c>
      <c r="C6" s="109"/>
      <c r="D6" s="109"/>
      <c r="E6" s="73"/>
      <c r="F6" s="73"/>
      <c r="G6" s="73"/>
      <c r="H6" s="108" t="s">
        <v>10839</v>
      </c>
      <c r="I6" s="108"/>
      <c r="J6" s="108"/>
      <c r="K6" s="108"/>
      <c r="L6" s="108"/>
      <c r="M6" s="46"/>
    </row>
    <row r="7" spans="1:16" ht="15" customHeight="1" x14ac:dyDescent="0.4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6" ht="15" customHeight="1" x14ac:dyDescent="0.4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6" ht="15" customHeight="1" x14ac:dyDescent="0.4"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6" ht="15" customHeight="1" x14ac:dyDescent="0.4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6" s="82" customFormat="1" ht="15" customHeight="1" x14ac:dyDescent="0.4"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</row>
    <row r="12" spans="1:16" ht="15" customHeight="1" x14ac:dyDescent="0.4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6" ht="15" customHeight="1" x14ac:dyDescent="0.25">
      <c r="B13" s="104" t="s">
        <v>10473</v>
      </c>
      <c r="C13" s="104"/>
      <c r="D13" s="104"/>
      <c r="E13" s="104"/>
      <c r="F13" s="104"/>
      <c r="G13" s="104"/>
      <c r="H13" s="104"/>
      <c r="I13" s="104"/>
      <c r="J13" s="104"/>
      <c r="K13" s="104"/>
      <c r="L13" s="104"/>
    </row>
    <row r="14" spans="1:16" ht="15" customHeight="1" x14ac:dyDescent="0.25">
      <c r="B14" s="105" t="s">
        <v>10476</v>
      </c>
      <c r="C14" s="105"/>
      <c r="D14" s="105"/>
      <c r="E14" s="105"/>
      <c r="F14" s="105"/>
      <c r="G14" s="105"/>
      <c r="H14" s="105"/>
      <c r="I14" s="105"/>
      <c r="J14" s="105"/>
      <c r="K14" s="105"/>
      <c r="L14" s="105"/>
    </row>
    <row r="15" spans="1:16" ht="15" customHeight="1" x14ac:dyDescent="0.25">
      <c r="B15" s="105" t="s">
        <v>10474</v>
      </c>
      <c r="C15" s="105"/>
      <c r="D15" s="105"/>
      <c r="E15" s="105"/>
      <c r="F15" s="105"/>
      <c r="G15" s="105"/>
      <c r="H15" s="105"/>
      <c r="I15" s="105"/>
      <c r="J15" s="105"/>
      <c r="K15" s="105"/>
      <c r="L15" s="105"/>
    </row>
    <row r="16" spans="1:16" ht="15" customHeight="1" x14ac:dyDescent="0.25"/>
    <row r="17" spans="2:12" ht="15" customHeight="1" x14ac:dyDescent="0.25">
      <c r="B17" s="104" t="s">
        <v>10475</v>
      </c>
      <c r="C17" s="104"/>
      <c r="D17" s="104"/>
      <c r="E17" s="104"/>
      <c r="F17" s="104"/>
      <c r="G17" s="104"/>
      <c r="H17" s="104"/>
      <c r="I17" s="104"/>
      <c r="J17" s="104"/>
      <c r="K17" s="104"/>
      <c r="L17" s="104"/>
    </row>
    <row r="18" spans="2:12" ht="15" customHeight="1" x14ac:dyDescent="0.25">
      <c r="B18" s="105" t="s">
        <v>10477</v>
      </c>
      <c r="C18" s="105"/>
      <c r="D18" s="105"/>
      <c r="E18" s="105"/>
      <c r="F18" s="105"/>
      <c r="G18" s="105"/>
      <c r="H18" s="105"/>
      <c r="I18" s="105"/>
      <c r="J18" s="105"/>
      <c r="K18" s="105"/>
      <c r="L18" s="105"/>
    </row>
    <row r="19" spans="2:12" ht="15" customHeight="1" x14ac:dyDescent="0.25"/>
    <row r="20" spans="2:12" s="82" customFormat="1" ht="15" customHeight="1" x14ac:dyDescent="0.25"/>
    <row r="21" spans="2:12" ht="15" customHeight="1" x14ac:dyDescent="0.25"/>
    <row r="22" spans="2:12" ht="15" customHeight="1" x14ac:dyDescent="0.25"/>
    <row r="29" spans="2:12" s="82" customFormat="1" hidden="1" x14ac:dyDescent="0.25"/>
    <row r="46" s="82" customFormat="1" hidden="1" x14ac:dyDescent="0.25"/>
    <row r="63" s="82" customFormat="1" hidden="1" x14ac:dyDescent="0.25"/>
    <row r="80" s="82" customFormat="1" hidden="1" x14ac:dyDescent="0.25"/>
    <row r="97" s="82" customFormat="1" hidden="1" x14ac:dyDescent="0.25"/>
    <row r="114" s="82" customFormat="1" hidden="1" x14ac:dyDescent="0.25"/>
    <row r="131" s="82" customFormat="1" hidden="1" x14ac:dyDescent="0.25"/>
    <row r="148" s="82" customFormat="1" hidden="1" x14ac:dyDescent="0.25"/>
    <row r="165" s="82" customFormat="1" hidden="1" x14ac:dyDescent="0.25"/>
    <row r="182" s="82" customFormat="1" hidden="1" x14ac:dyDescent="0.2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Step1">
          <controlPr defaultSize="0" autoFill="0" autoLine="0" autoPict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5" r:id="rId8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/>
    <col min="10" max="10" width="104.42578125" style="1" hidden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29"/>
  <sheetViews>
    <sheetView zoomScale="80" zoomScaleNormal="80" workbookViewId="0">
      <pane ySplit="1" topLeftCell="A2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100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10274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10" t="s">
        <v>9640</v>
      </c>
      <c r="B2" s="91" t="s">
        <v>9881</v>
      </c>
      <c r="C2" s="91" t="s">
        <v>10275</v>
      </c>
      <c r="D2" s="92" t="s">
        <v>9638</v>
      </c>
      <c r="E2" s="93" t="s">
        <v>9663</v>
      </c>
      <c r="F2" s="94" t="s">
        <v>9642</v>
      </c>
      <c r="G2" s="94" t="s">
        <v>9719</v>
      </c>
      <c r="H2" s="94" t="s">
        <v>9688</v>
      </c>
      <c r="I2" s="94" t="s">
        <v>10572</v>
      </c>
      <c r="J2" s="94" t="s">
        <v>9780</v>
      </c>
      <c r="K2" s="94" t="s">
        <v>9780</v>
      </c>
      <c r="L2" s="94" t="s">
        <v>9780</v>
      </c>
      <c r="M2" s="94" t="s">
        <v>9780</v>
      </c>
      <c r="N2" s="94" t="str">
        <f>IF(F2="String",IF(I2&lt;&gt;"","Sim","Não"),IF(F2="List",IF(I2&lt;&gt;"","Sim","Não"),IF(AND(I2&gt;=O2,I2&lt;=P2,I2&lt;&gt;""),"Sim","Não")))</f>
        <v>Sim</v>
      </c>
      <c r="O2" s="94" t="s">
        <v>9780</v>
      </c>
      <c r="P2" s="94" t="s">
        <v>9780</v>
      </c>
    </row>
    <row r="3" spans="1:16" ht="17.25" customHeight="1" x14ac:dyDescent="0.35">
      <c r="A3" s="110"/>
      <c r="B3" s="91" t="s">
        <v>9881</v>
      </c>
      <c r="C3" s="91" t="s">
        <v>10275</v>
      </c>
      <c r="D3" s="92" t="s">
        <v>9641</v>
      </c>
      <c r="E3" s="93" t="s">
        <v>9664</v>
      </c>
      <c r="F3" s="94" t="s">
        <v>9642</v>
      </c>
      <c r="G3" s="94" t="s">
        <v>9719</v>
      </c>
      <c r="H3" s="94" t="s">
        <v>9955</v>
      </c>
      <c r="I3" s="94" t="s">
        <v>10573</v>
      </c>
      <c r="J3" s="94" t="s">
        <v>9780</v>
      </c>
      <c r="K3" s="94" t="s">
        <v>9780</v>
      </c>
      <c r="L3" s="94" t="s">
        <v>9780</v>
      </c>
      <c r="M3" s="94" t="s">
        <v>9780</v>
      </c>
      <c r="N3" s="94" t="str">
        <f t="shared" ref="N3:N70" si="0">IF(F3="String",IF(I3&lt;&gt;"","Sim","Não"),IF(F3="List",IF(I3&lt;&gt;"","Sim","Não"),IF(AND(I3&gt;=O3,I3&lt;=P3,I3&lt;&gt;""),"Sim","Não")))</f>
        <v>Sim</v>
      </c>
      <c r="O3" s="94" t="s">
        <v>9780</v>
      </c>
      <c r="P3" s="94" t="s">
        <v>9780</v>
      </c>
    </row>
    <row r="4" spans="1:16" ht="17.25" customHeight="1" x14ac:dyDescent="0.35">
      <c r="A4" s="110" t="s">
        <v>9639</v>
      </c>
      <c r="B4" s="91" t="s">
        <v>9881</v>
      </c>
      <c r="C4" s="91" t="s">
        <v>10277</v>
      </c>
      <c r="D4" s="92" t="s">
        <v>9632</v>
      </c>
      <c r="E4" s="93" t="s">
        <v>9665</v>
      </c>
      <c r="F4" s="94" t="s">
        <v>9687</v>
      </c>
      <c r="G4" s="94" t="s">
        <v>9719</v>
      </c>
      <c r="H4" s="94" t="s">
        <v>9781</v>
      </c>
      <c r="I4" s="95">
        <v>0.9</v>
      </c>
      <c r="J4" s="95">
        <v>0.9</v>
      </c>
      <c r="K4" s="94" t="s">
        <v>9780</v>
      </c>
      <c r="L4" s="94" t="s">
        <v>9780</v>
      </c>
      <c r="M4" s="94" t="s">
        <v>9780</v>
      </c>
      <c r="N4" s="94" t="str">
        <f t="shared" si="0"/>
        <v>Sim</v>
      </c>
      <c r="O4" s="94">
        <v>0.75</v>
      </c>
      <c r="P4" s="94">
        <v>1.25</v>
      </c>
    </row>
    <row r="5" spans="1:16" ht="17.25" customHeight="1" x14ac:dyDescent="0.35">
      <c r="A5" s="110"/>
      <c r="B5" s="91" t="s">
        <v>9881</v>
      </c>
      <c r="C5" s="91" t="s">
        <v>10277</v>
      </c>
      <c r="D5" s="92" t="s">
        <v>9633</v>
      </c>
      <c r="E5" s="93" t="s">
        <v>9666</v>
      </c>
      <c r="F5" s="94" t="s">
        <v>9687</v>
      </c>
      <c r="G5" s="94" t="s">
        <v>9719</v>
      </c>
      <c r="H5" s="94" t="s">
        <v>9634</v>
      </c>
      <c r="I5" s="95">
        <v>2.5</v>
      </c>
      <c r="J5" s="95">
        <v>2.5</v>
      </c>
      <c r="K5" s="94" t="s">
        <v>9951</v>
      </c>
      <c r="L5" s="15" t="s">
        <v>9949</v>
      </c>
      <c r="M5" s="15" t="s">
        <v>9737</v>
      </c>
      <c r="N5" s="94" t="str">
        <f t="shared" si="0"/>
        <v>Sim</v>
      </c>
      <c r="O5" s="94">
        <v>0</v>
      </c>
      <c r="P5" s="94">
        <v>100</v>
      </c>
    </row>
    <row r="6" spans="1:16" ht="17.25" customHeight="1" x14ac:dyDescent="0.35">
      <c r="A6" s="110"/>
      <c r="B6" s="91" t="s">
        <v>9881</v>
      </c>
      <c r="C6" s="91" t="s">
        <v>10277</v>
      </c>
      <c r="D6" s="92" t="s">
        <v>9635</v>
      </c>
      <c r="E6" s="93" t="s">
        <v>9667</v>
      </c>
      <c r="F6" s="94" t="s">
        <v>9687</v>
      </c>
      <c r="G6" s="94" t="s">
        <v>9719</v>
      </c>
      <c r="H6" s="94" t="s">
        <v>9636</v>
      </c>
      <c r="I6" s="95">
        <v>0.5</v>
      </c>
      <c r="J6" s="95">
        <v>0.5</v>
      </c>
      <c r="K6" s="94" t="s">
        <v>9951</v>
      </c>
      <c r="L6" s="15" t="s">
        <v>9949</v>
      </c>
      <c r="M6" s="15" t="s">
        <v>9738</v>
      </c>
      <c r="N6" s="94" t="str">
        <f t="shared" si="0"/>
        <v>Sim</v>
      </c>
      <c r="O6" s="94">
        <v>0</v>
      </c>
      <c r="P6" s="94">
        <v>100</v>
      </c>
    </row>
    <row r="7" spans="1:16" ht="17.25" customHeight="1" x14ac:dyDescent="0.35">
      <c r="A7" s="110"/>
      <c r="B7" s="91" t="s">
        <v>9881</v>
      </c>
      <c r="C7" s="91" t="s">
        <v>10277</v>
      </c>
      <c r="D7" s="92" t="s">
        <v>9637</v>
      </c>
      <c r="E7" s="93" t="s">
        <v>9668</v>
      </c>
      <c r="F7" s="94" t="s">
        <v>9687</v>
      </c>
      <c r="G7" s="94" t="s">
        <v>9719</v>
      </c>
      <c r="H7" s="94" t="s">
        <v>9636</v>
      </c>
      <c r="I7" s="95">
        <v>1</v>
      </c>
      <c r="J7" s="95">
        <v>1</v>
      </c>
      <c r="K7" s="94" t="s">
        <v>9951</v>
      </c>
      <c r="L7" s="15" t="s">
        <v>9949</v>
      </c>
      <c r="M7" s="15" t="s">
        <v>9739</v>
      </c>
      <c r="N7" s="94" t="str">
        <f t="shared" si="0"/>
        <v>Sim</v>
      </c>
      <c r="O7" s="94">
        <v>0</v>
      </c>
      <c r="P7" s="94">
        <v>100</v>
      </c>
    </row>
    <row r="8" spans="1:16" ht="17.25" customHeight="1" x14ac:dyDescent="0.35">
      <c r="A8" s="110" t="s">
        <v>9660</v>
      </c>
      <c r="B8" s="91" t="s">
        <v>9881</v>
      </c>
      <c r="C8" s="91" t="s">
        <v>10276</v>
      </c>
      <c r="D8" s="92" t="s">
        <v>9646</v>
      </c>
      <c r="E8" s="93" t="s">
        <v>9672</v>
      </c>
      <c r="F8" s="94" t="s">
        <v>9687</v>
      </c>
      <c r="G8" s="94" t="s">
        <v>9719</v>
      </c>
      <c r="H8" s="94" t="s">
        <v>9634</v>
      </c>
      <c r="I8" s="27">
        <v>48.4</v>
      </c>
      <c r="J8" s="27">
        <v>48.4</v>
      </c>
      <c r="K8" s="94" t="s">
        <v>9951</v>
      </c>
      <c r="L8" s="15" t="s">
        <v>9949</v>
      </c>
      <c r="M8" s="15" t="s">
        <v>9741</v>
      </c>
      <c r="N8" s="94" t="str">
        <f t="shared" si="0"/>
        <v>Sim</v>
      </c>
      <c r="O8" s="94">
        <v>0</v>
      </c>
      <c r="P8" s="94">
        <v>100</v>
      </c>
    </row>
    <row r="9" spans="1:16" ht="17.25" customHeight="1" x14ac:dyDescent="0.35">
      <c r="A9" s="110"/>
      <c r="B9" s="91" t="s">
        <v>9881</v>
      </c>
      <c r="C9" s="91" t="s">
        <v>10276</v>
      </c>
      <c r="D9" s="92" t="s">
        <v>9647</v>
      </c>
      <c r="E9" s="93" t="s">
        <v>9673</v>
      </c>
      <c r="F9" s="94" t="s">
        <v>9687</v>
      </c>
      <c r="G9" s="94" t="s">
        <v>9719</v>
      </c>
      <c r="H9" s="94" t="s">
        <v>9634</v>
      </c>
      <c r="I9" s="27">
        <v>3</v>
      </c>
      <c r="J9" s="27">
        <v>3</v>
      </c>
      <c r="K9" s="94" t="s">
        <v>9951</v>
      </c>
      <c r="L9" s="15" t="s">
        <v>9949</v>
      </c>
      <c r="M9" s="15" t="s">
        <v>9742</v>
      </c>
      <c r="N9" s="94" t="str">
        <f t="shared" si="0"/>
        <v>Sim</v>
      </c>
      <c r="O9" s="94">
        <v>0</v>
      </c>
      <c r="P9" s="94">
        <v>100</v>
      </c>
    </row>
    <row r="10" spans="1:16" ht="17.25" customHeight="1" x14ac:dyDescent="0.35">
      <c r="A10" s="110"/>
      <c r="B10" s="91" t="s">
        <v>9881</v>
      </c>
      <c r="C10" s="91" t="s">
        <v>10276</v>
      </c>
      <c r="D10" s="92" t="s">
        <v>9648</v>
      </c>
      <c r="E10" s="93" t="s">
        <v>9674</v>
      </c>
      <c r="F10" s="94" t="s">
        <v>9687</v>
      </c>
      <c r="G10" s="94" t="s">
        <v>9719</v>
      </c>
      <c r="H10" s="94" t="s">
        <v>9634</v>
      </c>
      <c r="I10" s="27">
        <v>13.1</v>
      </c>
      <c r="J10" s="27">
        <v>13.1</v>
      </c>
      <c r="K10" s="94" t="s">
        <v>9951</v>
      </c>
      <c r="L10" s="15" t="s">
        <v>9949</v>
      </c>
      <c r="M10" s="15" t="s">
        <v>9743</v>
      </c>
      <c r="N10" s="94" t="str">
        <f t="shared" si="0"/>
        <v>Sim</v>
      </c>
      <c r="O10" s="94">
        <v>0</v>
      </c>
      <c r="P10" s="94">
        <v>100</v>
      </c>
    </row>
    <row r="11" spans="1:16" s="18" customFormat="1" ht="17.25" customHeight="1" x14ac:dyDescent="0.35">
      <c r="A11" s="110"/>
      <c r="B11" s="91" t="s">
        <v>9881</v>
      </c>
      <c r="C11" s="91" t="s">
        <v>10276</v>
      </c>
      <c r="D11" s="92" t="s">
        <v>9649</v>
      </c>
      <c r="E11" s="93" t="s">
        <v>9675</v>
      </c>
      <c r="F11" s="94" t="s">
        <v>9687</v>
      </c>
      <c r="G11" s="94" t="s">
        <v>9719</v>
      </c>
      <c r="H11" s="94" t="s">
        <v>9634</v>
      </c>
      <c r="I11" s="27">
        <v>8.9</v>
      </c>
      <c r="J11" s="27">
        <v>8.9</v>
      </c>
      <c r="K11" s="94" t="s">
        <v>9951</v>
      </c>
      <c r="L11" s="15" t="s">
        <v>9949</v>
      </c>
      <c r="M11" s="15" t="s">
        <v>9744</v>
      </c>
      <c r="N11" s="94" t="str">
        <f t="shared" si="0"/>
        <v>Sim</v>
      </c>
      <c r="O11" s="94">
        <v>0</v>
      </c>
      <c r="P11" s="94">
        <v>100</v>
      </c>
    </row>
    <row r="12" spans="1:16" ht="17.25" customHeight="1" x14ac:dyDescent="0.35">
      <c r="A12" s="110"/>
      <c r="B12" s="91" t="s">
        <v>9881</v>
      </c>
      <c r="C12" s="91" t="s">
        <v>10276</v>
      </c>
      <c r="D12" s="92" t="s">
        <v>9650</v>
      </c>
      <c r="E12" s="93" t="s">
        <v>9676</v>
      </c>
      <c r="F12" s="94" t="s">
        <v>9687</v>
      </c>
      <c r="G12" s="94" t="s">
        <v>9719</v>
      </c>
      <c r="H12" s="94" t="s">
        <v>9634</v>
      </c>
      <c r="I12" s="27">
        <v>4.5999999999999996</v>
      </c>
      <c r="J12" s="27">
        <v>4.5999999999999996</v>
      </c>
      <c r="K12" s="94" t="s">
        <v>9951</v>
      </c>
      <c r="L12" s="15" t="s">
        <v>9949</v>
      </c>
      <c r="M12" s="15" t="s">
        <v>9745</v>
      </c>
      <c r="N12" s="94" t="str">
        <f t="shared" si="0"/>
        <v>Sim</v>
      </c>
      <c r="O12" s="94">
        <v>0</v>
      </c>
      <c r="P12" s="94">
        <v>100</v>
      </c>
    </row>
    <row r="13" spans="1:16" ht="17.25" customHeight="1" x14ac:dyDescent="0.35">
      <c r="A13" s="110"/>
      <c r="B13" s="91" t="s">
        <v>9881</v>
      </c>
      <c r="C13" s="91" t="s">
        <v>10276</v>
      </c>
      <c r="D13" s="92" t="s">
        <v>9651</v>
      </c>
      <c r="E13" s="93" t="s">
        <v>9677</v>
      </c>
      <c r="F13" s="94" t="s">
        <v>9687</v>
      </c>
      <c r="G13" s="94" t="s">
        <v>9719</v>
      </c>
      <c r="H13" s="94" t="s">
        <v>9634</v>
      </c>
      <c r="I13" s="27">
        <v>2.4</v>
      </c>
      <c r="J13" s="27">
        <v>2.4</v>
      </c>
      <c r="K13" s="94" t="s">
        <v>9951</v>
      </c>
      <c r="L13" s="15" t="s">
        <v>9949</v>
      </c>
      <c r="M13" s="15" t="s">
        <v>9746</v>
      </c>
      <c r="N13" s="94" t="str">
        <f t="shared" si="0"/>
        <v>Sim</v>
      </c>
      <c r="O13" s="94">
        <v>0</v>
      </c>
      <c r="P13" s="94">
        <v>100</v>
      </c>
    </row>
    <row r="14" spans="1:16" ht="17.25" customHeight="1" x14ac:dyDescent="0.35">
      <c r="A14" s="110"/>
      <c r="B14" s="91" t="s">
        <v>9881</v>
      </c>
      <c r="C14" s="91" t="s">
        <v>10276</v>
      </c>
      <c r="D14" s="92" t="s">
        <v>9652</v>
      </c>
      <c r="E14" s="93" t="s">
        <v>9678</v>
      </c>
      <c r="F14" s="94" t="s">
        <v>9687</v>
      </c>
      <c r="G14" s="94" t="s">
        <v>9719</v>
      </c>
      <c r="H14" s="94" t="s">
        <v>9634</v>
      </c>
      <c r="I14" s="27">
        <v>2.2999999999999998</v>
      </c>
      <c r="J14" s="27">
        <v>2.2999999999999998</v>
      </c>
      <c r="K14" s="94" t="s">
        <v>9951</v>
      </c>
      <c r="L14" s="15" t="s">
        <v>9949</v>
      </c>
      <c r="M14" s="15" t="s">
        <v>9747</v>
      </c>
      <c r="N14" s="94" t="str">
        <f t="shared" si="0"/>
        <v>Sim</v>
      </c>
      <c r="O14" s="94">
        <v>0</v>
      </c>
      <c r="P14" s="94">
        <v>100</v>
      </c>
    </row>
    <row r="15" spans="1:16" ht="17.25" customHeight="1" x14ac:dyDescent="0.35">
      <c r="A15" s="110"/>
      <c r="B15" s="91" t="s">
        <v>9881</v>
      </c>
      <c r="C15" s="91" t="s">
        <v>10276</v>
      </c>
      <c r="D15" s="92" t="s">
        <v>9653</v>
      </c>
      <c r="E15" s="93" t="s">
        <v>9679</v>
      </c>
      <c r="F15" s="94" t="s">
        <v>9687</v>
      </c>
      <c r="G15" s="94" t="s">
        <v>9719</v>
      </c>
      <c r="H15" s="94" t="s">
        <v>9634</v>
      </c>
      <c r="I15" s="27">
        <v>0.6</v>
      </c>
      <c r="J15" s="27">
        <v>0.6</v>
      </c>
      <c r="K15" s="94" t="s">
        <v>9951</v>
      </c>
      <c r="L15" s="15" t="s">
        <v>9949</v>
      </c>
      <c r="M15" s="15" t="s">
        <v>9748</v>
      </c>
      <c r="N15" s="94" t="str">
        <f t="shared" si="0"/>
        <v>Sim</v>
      </c>
      <c r="O15" s="94">
        <v>0</v>
      </c>
      <c r="P15" s="94">
        <v>100</v>
      </c>
    </row>
    <row r="16" spans="1:16" ht="17.25" customHeight="1" x14ac:dyDescent="0.35">
      <c r="A16" s="110"/>
      <c r="B16" s="91" t="s">
        <v>9881</v>
      </c>
      <c r="C16" s="91" t="s">
        <v>10276</v>
      </c>
      <c r="D16" s="92" t="s">
        <v>9654</v>
      </c>
      <c r="E16" s="93" t="s">
        <v>9680</v>
      </c>
      <c r="F16" s="94" t="s">
        <v>9687</v>
      </c>
      <c r="G16" s="94" t="s">
        <v>9719</v>
      </c>
      <c r="H16" s="94" t="s">
        <v>9634</v>
      </c>
      <c r="I16" s="27">
        <v>2.6</v>
      </c>
      <c r="J16" s="27">
        <v>2.6</v>
      </c>
      <c r="K16" s="94" t="s">
        <v>9951</v>
      </c>
      <c r="L16" s="15" t="s">
        <v>9949</v>
      </c>
      <c r="M16" s="15" t="s">
        <v>9749</v>
      </c>
      <c r="N16" s="94" t="str">
        <f t="shared" si="0"/>
        <v>Sim</v>
      </c>
      <c r="O16" s="94">
        <v>0</v>
      </c>
      <c r="P16" s="94">
        <v>100</v>
      </c>
    </row>
    <row r="17" spans="1:16" ht="17.25" customHeight="1" x14ac:dyDescent="0.35">
      <c r="A17" s="110"/>
      <c r="B17" s="91" t="s">
        <v>9881</v>
      </c>
      <c r="C17" s="91" t="s">
        <v>10276</v>
      </c>
      <c r="D17" s="92" t="s">
        <v>9655</v>
      </c>
      <c r="E17" s="93" t="s">
        <v>9681</v>
      </c>
      <c r="F17" s="94" t="s">
        <v>9687</v>
      </c>
      <c r="G17" s="94" t="s">
        <v>9719</v>
      </c>
      <c r="H17" s="94" t="s">
        <v>9634</v>
      </c>
      <c r="I17" s="27">
        <v>0.7</v>
      </c>
      <c r="J17" s="27">
        <v>0.7</v>
      </c>
      <c r="K17" s="94" t="s">
        <v>9951</v>
      </c>
      <c r="L17" s="15" t="s">
        <v>9949</v>
      </c>
      <c r="M17" s="15" t="s">
        <v>9750</v>
      </c>
      <c r="N17" s="94" t="str">
        <f t="shared" si="0"/>
        <v>Sim</v>
      </c>
      <c r="O17" s="94">
        <v>0</v>
      </c>
      <c r="P17" s="94">
        <v>100</v>
      </c>
    </row>
    <row r="18" spans="1:16" ht="17.25" customHeight="1" x14ac:dyDescent="0.35">
      <c r="A18" s="110"/>
      <c r="B18" s="91" t="s">
        <v>9881</v>
      </c>
      <c r="C18" s="91" t="s">
        <v>10276</v>
      </c>
      <c r="D18" s="92" t="s">
        <v>9656</v>
      </c>
      <c r="E18" s="93" t="s">
        <v>9682</v>
      </c>
      <c r="F18" s="94" t="s">
        <v>9687</v>
      </c>
      <c r="G18" s="94" t="s">
        <v>9719</v>
      </c>
      <c r="H18" s="94" t="s">
        <v>9634</v>
      </c>
      <c r="I18" s="27">
        <v>4</v>
      </c>
      <c r="J18" s="27">
        <v>4</v>
      </c>
      <c r="K18" s="94" t="s">
        <v>9951</v>
      </c>
      <c r="L18" s="15" t="s">
        <v>9949</v>
      </c>
      <c r="M18" s="15" t="s">
        <v>9751</v>
      </c>
      <c r="N18" s="94" t="str">
        <f t="shared" si="0"/>
        <v>Sim</v>
      </c>
      <c r="O18" s="94">
        <v>0</v>
      </c>
      <c r="P18" s="94">
        <v>100</v>
      </c>
    </row>
    <row r="19" spans="1:16" ht="17.25" customHeight="1" x14ac:dyDescent="0.35">
      <c r="A19" s="110"/>
      <c r="B19" s="91" t="s">
        <v>9881</v>
      </c>
      <c r="C19" s="91" t="s">
        <v>10276</v>
      </c>
      <c r="D19" s="92" t="s">
        <v>9657</v>
      </c>
      <c r="E19" s="93" t="s">
        <v>9683</v>
      </c>
      <c r="F19" s="94" t="s">
        <v>9687</v>
      </c>
      <c r="G19" s="94" t="s">
        <v>9719</v>
      </c>
      <c r="H19" s="94" t="s">
        <v>9634</v>
      </c>
      <c r="I19" s="27">
        <v>4.7</v>
      </c>
      <c r="J19" s="27">
        <v>4.7</v>
      </c>
      <c r="K19" s="94" t="s">
        <v>9951</v>
      </c>
      <c r="L19" s="15" t="s">
        <v>9949</v>
      </c>
      <c r="M19" s="15" t="s">
        <v>9752</v>
      </c>
      <c r="N19" s="94" t="str">
        <f t="shared" si="0"/>
        <v>Sim</v>
      </c>
      <c r="O19" s="94">
        <v>0</v>
      </c>
      <c r="P19" s="94">
        <v>100</v>
      </c>
    </row>
    <row r="20" spans="1:16" s="18" customFormat="1" ht="17.25" customHeight="1" x14ac:dyDescent="0.35">
      <c r="A20" s="110"/>
      <c r="B20" s="91" t="s">
        <v>9881</v>
      </c>
      <c r="C20" s="91" t="s">
        <v>10276</v>
      </c>
      <c r="D20" s="92" t="s">
        <v>9658</v>
      </c>
      <c r="E20" s="93" t="s">
        <v>9684</v>
      </c>
      <c r="F20" s="94" t="s">
        <v>9687</v>
      </c>
      <c r="G20" s="94" t="s">
        <v>9719</v>
      </c>
      <c r="H20" s="94" t="s">
        <v>9634</v>
      </c>
      <c r="I20" s="27">
        <v>0</v>
      </c>
      <c r="J20" s="27">
        <v>0</v>
      </c>
      <c r="K20" s="94" t="s">
        <v>9951</v>
      </c>
      <c r="L20" s="15" t="s">
        <v>9949</v>
      </c>
      <c r="M20" s="15" t="s">
        <v>9753</v>
      </c>
      <c r="N20" s="94" t="str">
        <f t="shared" si="0"/>
        <v>Sim</v>
      </c>
      <c r="O20" s="94">
        <v>0</v>
      </c>
      <c r="P20" s="94">
        <v>100</v>
      </c>
    </row>
    <row r="21" spans="1:16" ht="17.25" customHeight="1" x14ac:dyDescent="0.35">
      <c r="A21" s="110"/>
      <c r="B21" s="91" t="s">
        <v>9881</v>
      </c>
      <c r="C21" s="91" t="s">
        <v>10276</v>
      </c>
      <c r="D21" s="92" t="s">
        <v>9659</v>
      </c>
      <c r="E21" s="22" t="s">
        <v>9685</v>
      </c>
      <c r="F21" s="94" t="s">
        <v>9687</v>
      </c>
      <c r="G21" s="94" t="s">
        <v>9719</v>
      </c>
      <c r="H21" s="94" t="s">
        <v>9634</v>
      </c>
      <c r="I21" s="27">
        <v>4.7</v>
      </c>
      <c r="J21" s="27">
        <v>4.7</v>
      </c>
      <c r="K21" s="94" t="s">
        <v>9951</v>
      </c>
      <c r="L21" s="15" t="s">
        <v>9949</v>
      </c>
      <c r="M21" s="15" t="s">
        <v>9754</v>
      </c>
      <c r="N21" s="94" t="str">
        <f t="shared" si="0"/>
        <v>Sim</v>
      </c>
      <c r="O21" s="94">
        <v>0</v>
      </c>
      <c r="P21" s="94">
        <v>100</v>
      </c>
    </row>
    <row r="22" spans="1:16" ht="17.25" customHeight="1" x14ac:dyDescent="0.35">
      <c r="A22" s="110"/>
      <c r="B22" s="91" t="s">
        <v>9881</v>
      </c>
      <c r="C22" s="91" t="s">
        <v>10276</v>
      </c>
      <c r="D22" s="92" t="s">
        <v>10298</v>
      </c>
      <c r="E22" s="22" t="s">
        <v>10299</v>
      </c>
      <c r="F22" s="94" t="s">
        <v>9687</v>
      </c>
      <c r="G22" s="94" t="s">
        <v>9719</v>
      </c>
      <c r="H22" s="94" t="s">
        <v>9634</v>
      </c>
      <c r="I22" s="27">
        <v>100</v>
      </c>
      <c r="J22" s="27">
        <v>100</v>
      </c>
      <c r="K22" s="94" t="s">
        <v>9780</v>
      </c>
      <c r="L22" s="15" t="s">
        <v>9780</v>
      </c>
      <c r="M22" s="15" t="s">
        <v>9780</v>
      </c>
      <c r="N22" s="94" t="str">
        <f t="shared" si="0"/>
        <v>Sim</v>
      </c>
      <c r="O22" s="94">
        <v>100</v>
      </c>
      <c r="P22" s="94">
        <v>100</v>
      </c>
    </row>
    <row r="23" spans="1:16" ht="17.25" customHeight="1" x14ac:dyDescent="0.35">
      <c r="A23" s="110" t="s">
        <v>9697</v>
      </c>
      <c r="B23" s="91" t="s">
        <v>9881</v>
      </c>
      <c r="C23" s="91" t="s">
        <v>10278</v>
      </c>
      <c r="D23" s="92" t="s">
        <v>9689</v>
      </c>
      <c r="E23" s="93" t="s">
        <v>9703</v>
      </c>
      <c r="F23" s="94" t="s">
        <v>9687</v>
      </c>
      <c r="G23" s="94" t="s">
        <v>9719</v>
      </c>
      <c r="H23" s="94" t="s">
        <v>9634</v>
      </c>
      <c r="I23" s="27">
        <v>30</v>
      </c>
      <c r="J23" s="27">
        <v>30</v>
      </c>
      <c r="K23" s="27" t="s">
        <v>9780</v>
      </c>
      <c r="L23" s="27" t="s">
        <v>9780</v>
      </c>
      <c r="M23" s="27" t="s">
        <v>9780</v>
      </c>
      <c r="N23" s="94" t="str">
        <f t="shared" si="0"/>
        <v>Sim</v>
      </c>
      <c r="O23" s="15">
        <v>20</v>
      </c>
      <c r="P23" s="15">
        <v>80</v>
      </c>
    </row>
    <row r="24" spans="1:16" ht="17.25" customHeight="1" x14ac:dyDescent="0.35">
      <c r="A24" s="110"/>
      <c r="B24" s="91" t="s">
        <v>9881</v>
      </c>
      <c r="C24" s="91" t="s">
        <v>10278</v>
      </c>
      <c r="D24" s="92" t="s">
        <v>9690</v>
      </c>
      <c r="E24" s="93" t="s">
        <v>9704</v>
      </c>
      <c r="F24" s="94" t="s">
        <v>9687</v>
      </c>
      <c r="G24" s="94" t="s">
        <v>9719</v>
      </c>
      <c r="H24" s="94" t="s">
        <v>9962</v>
      </c>
      <c r="I24" s="27">
        <v>30</v>
      </c>
      <c r="J24" s="27">
        <v>30</v>
      </c>
      <c r="K24" s="94" t="s">
        <v>9951</v>
      </c>
      <c r="L24" s="15" t="s">
        <v>9949</v>
      </c>
      <c r="M24" s="15" t="s">
        <v>9820</v>
      </c>
      <c r="N24" s="94" t="str">
        <f t="shared" si="0"/>
        <v>Sim</v>
      </c>
      <c r="O24" s="15">
        <v>20</v>
      </c>
      <c r="P24" s="15">
        <v>35</v>
      </c>
    </row>
    <row r="25" spans="1:16" ht="17.25" customHeight="1" x14ac:dyDescent="0.35">
      <c r="A25" s="110"/>
      <c r="B25" s="91" t="s">
        <v>9881</v>
      </c>
      <c r="C25" s="91" t="s">
        <v>10278</v>
      </c>
      <c r="D25" s="92" t="s">
        <v>9691</v>
      </c>
      <c r="E25" s="93" t="s">
        <v>9705</v>
      </c>
      <c r="F25" s="94" t="s">
        <v>9687</v>
      </c>
      <c r="G25" s="94" t="s">
        <v>9719</v>
      </c>
      <c r="H25" s="94" t="s">
        <v>9634</v>
      </c>
      <c r="I25" s="27">
        <v>20</v>
      </c>
      <c r="J25" s="27">
        <v>20</v>
      </c>
      <c r="K25" s="94" t="s">
        <v>9951</v>
      </c>
      <c r="L25" s="15" t="s">
        <v>9949</v>
      </c>
      <c r="M25" s="15" t="s">
        <v>9821</v>
      </c>
      <c r="N25" s="94" t="str">
        <f t="shared" si="0"/>
        <v>Sim</v>
      </c>
      <c r="O25" s="15">
        <v>15</v>
      </c>
      <c r="P25" s="15">
        <v>40</v>
      </c>
    </row>
    <row r="26" spans="1:16" ht="17.25" customHeight="1" x14ac:dyDescent="0.35">
      <c r="A26" s="110"/>
      <c r="B26" s="91" t="s">
        <v>9881</v>
      </c>
      <c r="C26" s="91" t="s">
        <v>10278</v>
      </c>
      <c r="D26" s="96" t="s">
        <v>9945</v>
      </c>
      <c r="E26" s="93" t="s">
        <v>9963</v>
      </c>
      <c r="F26" s="94" t="s">
        <v>9687</v>
      </c>
      <c r="G26" s="94" t="s">
        <v>9719</v>
      </c>
      <c r="H26" s="94" t="s">
        <v>9947</v>
      </c>
      <c r="I26" s="27">
        <v>100</v>
      </c>
      <c r="J26" s="27">
        <v>100</v>
      </c>
      <c r="K26" s="27" t="s">
        <v>9951</v>
      </c>
      <c r="L26" s="15" t="s">
        <v>9949</v>
      </c>
      <c r="M26" s="15" t="s">
        <v>9950</v>
      </c>
      <c r="N26" s="94" t="str">
        <f t="shared" si="0"/>
        <v>Sim</v>
      </c>
      <c r="O26" s="15">
        <v>75</v>
      </c>
      <c r="P26" s="15">
        <v>300</v>
      </c>
    </row>
    <row r="27" spans="1:16" ht="17.25" customHeight="1" x14ac:dyDescent="0.35">
      <c r="A27" s="110"/>
      <c r="B27" s="91" t="s">
        <v>9881</v>
      </c>
      <c r="C27" s="91" t="s">
        <v>10278</v>
      </c>
      <c r="D27" s="96" t="s">
        <v>9964</v>
      </c>
      <c r="E27" s="93" t="s">
        <v>9967</v>
      </c>
      <c r="F27" s="94" t="s">
        <v>9687</v>
      </c>
      <c r="G27" s="94" t="s">
        <v>9719</v>
      </c>
      <c r="H27" s="94" t="s">
        <v>9948</v>
      </c>
      <c r="I27" s="27">
        <v>200</v>
      </c>
      <c r="J27" s="27">
        <v>200</v>
      </c>
      <c r="K27" s="27" t="s">
        <v>9968</v>
      </c>
      <c r="L27" s="15" t="s">
        <v>10510</v>
      </c>
      <c r="M27" s="15" t="s">
        <v>9839</v>
      </c>
      <c r="N27" s="94" t="str">
        <f t="shared" si="0"/>
        <v>Sim</v>
      </c>
      <c r="O27" s="15">
        <v>100</v>
      </c>
      <c r="P27" s="15">
        <v>1000</v>
      </c>
    </row>
    <row r="28" spans="1:16" ht="17.25" customHeight="1" x14ac:dyDescent="0.35">
      <c r="A28" s="110"/>
      <c r="B28" s="91" t="s">
        <v>9881</v>
      </c>
      <c r="C28" s="91" t="s">
        <v>10278</v>
      </c>
      <c r="D28" s="96" t="s">
        <v>9946</v>
      </c>
      <c r="E28" s="93" t="s">
        <v>9966</v>
      </c>
      <c r="F28" s="94" t="s">
        <v>9687</v>
      </c>
      <c r="G28" s="94" t="s">
        <v>9719</v>
      </c>
      <c r="H28" s="94" t="s">
        <v>9634</v>
      </c>
      <c r="I28" s="27">
        <v>2.5</v>
      </c>
      <c r="J28" s="27">
        <v>2.5</v>
      </c>
      <c r="K28" s="15" t="s">
        <v>9780</v>
      </c>
      <c r="L28" s="15" t="s">
        <v>9780</v>
      </c>
      <c r="M28" s="15" t="s">
        <v>9780</v>
      </c>
      <c r="N28" s="94" t="str">
        <f t="shared" si="0"/>
        <v>Sim</v>
      </c>
      <c r="O28" s="15">
        <v>0</v>
      </c>
      <c r="P28" s="15">
        <v>5</v>
      </c>
    </row>
    <row r="29" spans="1:16" s="18" customFormat="1" ht="17.25" customHeight="1" x14ac:dyDescent="0.35">
      <c r="A29" s="110"/>
      <c r="B29" s="91" t="s">
        <v>9881</v>
      </c>
      <c r="C29" s="91" t="s">
        <v>10278</v>
      </c>
      <c r="D29" s="92" t="s">
        <v>9692</v>
      </c>
      <c r="E29" s="93" t="s">
        <v>9809</v>
      </c>
      <c r="F29" s="94" t="s">
        <v>9687</v>
      </c>
      <c r="G29" s="94" t="s">
        <v>9719</v>
      </c>
      <c r="H29" s="94" t="s">
        <v>9698</v>
      </c>
      <c r="I29" s="27">
        <v>300</v>
      </c>
      <c r="J29" s="27">
        <v>300</v>
      </c>
      <c r="K29" s="94" t="s">
        <v>9951</v>
      </c>
      <c r="L29" s="15" t="s">
        <v>9949</v>
      </c>
      <c r="M29" s="15" t="s">
        <v>9822</v>
      </c>
      <c r="N29" s="94" t="str">
        <f t="shared" si="0"/>
        <v>Sim</v>
      </c>
      <c r="O29" s="15">
        <v>200</v>
      </c>
      <c r="P29" s="15">
        <v>1000</v>
      </c>
    </row>
    <row r="30" spans="1:16" ht="17.25" customHeight="1" x14ac:dyDescent="0.35">
      <c r="A30" s="110"/>
      <c r="B30" s="91" t="s">
        <v>9881</v>
      </c>
      <c r="C30" s="91" t="s">
        <v>10278</v>
      </c>
      <c r="D30" s="92" t="s">
        <v>9693</v>
      </c>
      <c r="E30" s="97" t="s">
        <v>9706</v>
      </c>
      <c r="F30" s="94" t="s">
        <v>9687</v>
      </c>
      <c r="G30" s="94" t="s">
        <v>9720</v>
      </c>
      <c r="H30" s="94" t="s">
        <v>9634</v>
      </c>
      <c r="I30" s="45">
        <f>IFERROR(((I29-I27)+((I23/100)-(I28/100))*I26)/I29*100,"")</f>
        <v>42.5</v>
      </c>
      <c r="J30" s="27">
        <f>(((J29-J27)+((J23/100)-(J28/100))*J26)/J29)*100</f>
        <v>42.5</v>
      </c>
      <c r="K30" s="94" t="s">
        <v>9780</v>
      </c>
      <c r="L30" s="15" t="s">
        <v>9780</v>
      </c>
      <c r="M30" s="15" t="s">
        <v>9780</v>
      </c>
      <c r="N30" s="94" t="str">
        <f t="shared" si="0"/>
        <v>Sim</v>
      </c>
      <c r="O30" s="15">
        <v>0</v>
      </c>
      <c r="P30" s="15">
        <v>100</v>
      </c>
    </row>
    <row r="31" spans="1:16" ht="17.25" customHeight="1" x14ac:dyDescent="0.35">
      <c r="A31" s="110" t="s">
        <v>9711</v>
      </c>
      <c r="B31" s="91" t="s">
        <v>9965</v>
      </c>
      <c r="C31" s="91" t="s">
        <v>10283</v>
      </c>
      <c r="D31" s="92" t="s">
        <v>10300</v>
      </c>
      <c r="E31" s="93" t="s">
        <v>9669</v>
      </c>
      <c r="F31" s="94" t="s">
        <v>9687</v>
      </c>
      <c r="G31" s="94" t="s">
        <v>9719</v>
      </c>
      <c r="H31" s="94" t="s">
        <v>9782</v>
      </c>
      <c r="I31" s="95">
        <v>1.24</v>
      </c>
      <c r="J31" s="95">
        <v>1.24</v>
      </c>
      <c r="K31" s="94" t="s">
        <v>9951</v>
      </c>
      <c r="L31" s="15" t="s">
        <v>9949</v>
      </c>
      <c r="M31" s="15" t="s">
        <v>9713</v>
      </c>
      <c r="N31" s="94" t="str">
        <f t="shared" si="0"/>
        <v>Sim</v>
      </c>
      <c r="O31" s="15">
        <v>0.5</v>
      </c>
      <c r="P31" s="15">
        <v>2.5</v>
      </c>
    </row>
    <row r="32" spans="1:16" ht="17.25" customHeight="1" x14ac:dyDescent="0.35">
      <c r="A32" s="110"/>
      <c r="B32" s="91" t="s">
        <v>9965</v>
      </c>
      <c r="C32" s="91" t="s">
        <v>10283</v>
      </c>
      <c r="D32" s="92" t="s">
        <v>9811</v>
      </c>
      <c r="E32" s="93" t="s">
        <v>9670</v>
      </c>
      <c r="F32" s="94" t="s">
        <v>9687</v>
      </c>
      <c r="G32" s="94" t="s">
        <v>9719</v>
      </c>
      <c r="H32" s="94" t="s">
        <v>9634</v>
      </c>
      <c r="I32" s="95">
        <v>30</v>
      </c>
      <c r="J32" s="95">
        <v>30</v>
      </c>
      <c r="K32" s="94" t="s">
        <v>9951</v>
      </c>
      <c r="L32" s="15" t="s">
        <v>9949</v>
      </c>
      <c r="M32" s="15" t="s">
        <v>9715</v>
      </c>
      <c r="N32" s="94" t="str">
        <f t="shared" si="0"/>
        <v>Sim</v>
      </c>
      <c r="O32" s="15">
        <v>0</v>
      </c>
      <c r="P32" s="15">
        <v>100</v>
      </c>
    </row>
    <row r="33" spans="1:16" ht="17.25" customHeight="1" x14ac:dyDescent="0.35">
      <c r="A33" s="110"/>
      <c r="B33" s="91" t="s">
        <v>9965</v>
      </c>
      <c r="C33" s="91" t="s">
        <v>10283</v>
      </c>
      <c r="D33" s="92" t="s">
        <v>10451</v>
      </c>
      <c r="E33" s="93" t="s">
        <v>10453</v>
      </c>
      <c r="F33" s="94" t="s">
        <v>9687</v>
      </c>
      <c r="G33" s="94" t="s">
        <v>9719</v>
      </c>
      <c r="H33" s="94" t="s">
        <v>10458</v>
      </c>
      <c r="I33" s="95">
        <v>150</v>
      </c>
      <c r="J33" s="95">
        <v>150</v>
      </c>
      <c r="K33" s="15" t="s">
        <v>9780</v>
      </c>
      <c r="L33" s="15" t="s">
        <v>9780</v>
      </c>
      <c r="M33" s="15" t="s">
        <v>9780</v>
      </c>
      <c r="N33" s="94" t="str">
        <f t="shared" si="0"/>
        <v>Sim</v>
      </c>
      <c r="O33" s="15">
        <v>0</v>
      </c>
      <c r="P33" s="15">
        <v>500</v>
      </c>
    </row>
    <row r="34" spans="1:16" ht="17.25" customHeight="1" x14ac:dyDescent="0.35">
      <c r="A34" s="110"/>
      <c r="B34" s="91" t="s">
        <v>9965</v>
      </c>
      <c r="C34" s="91" t="s">
        <v>10283</v>
      </c>
      <c r="D34" s="92" t="s">
        <v>10452</v>
      </c>
      <c r="E34" s="93" t="s">
        <v>10454</v>
      </c>
      <c r="F34" s="94" t="s">
        <v>9687</v>
      </c>
      <c r="G34" s="94" t="s">
        <v>9719</v>
      </c>
      <c r="H34" s="94" t="s">
        <v>10458</v>
      </c>
      <c r="I34" s="95">
        <v>25</v>
      </c>
      <c r="J34" s="95">
        <v>25</v>
      </c>
      <c r="K34" s="15" t="s">
        <v>9780</v>
      </c>
      <c r="L34" s="15" t="s">
        <v>9780</v>
      </c>
      <c r="M34" s="15" t="s">
        <v>9780</v>
      </c>
      <c r="N34" s="94" t="str">
        <f t="shared" si="0"/>
        <v>Sim</v>
      </c>
      <c r="O34" s="15">
        <v>0</v>
      </c>
      <c r="P34" s="15">
        <v>250</v>
      </c>
    </row>
    <row r="35" spans="1:16" ht="17.25" customHeight="1" x14ac:dyDescent="0.35">
      <c r="A35" s="110"/>
      <c r="B35" s="91" t="s">
        <v>9965</v>
      </c>
      <c r="C35" s="91" t="s">
        <v>10314</v>
      </c>
      <c r="D35" s="92" t="s">
        <v>10315</v>
      </c>
      <c r="E35" s="93" t="s">
        <v>10316</v>
      </c>
      <c r="F35" s="94" t="s">
        <v>9642</v>
      </c>
      <c r="G35" s="94" t="s">
        <v>9719</v>
      </c>
      <c r="H35" s="94" t="s">
        <v>9688</v>
      </c>
      <c r="I35" s="15" t="s">
        <v>9720</v>
      </c>
      <c r="J35" s="15" t="s">
        <v>9719</v>
      </c>
      <c r="K35" s="15" t="s">
        <v>9780</v>
      </c>
      <c r="L35" s="15" t="s">
        <v>9780</v>
      </c>
      <c r="M35" s="15" t="s">
        <v>9780</v>
      </c>
      <c r="N35" s="94" t="str">
        <f t="shared" si="0"/>
        <v>Sim</v>
      </c>
      <c r="O35" s="15" t="s">
        <v>9780</v>
      </c>
      <c r="P35" s="15" t="s">
        <v>9780</v>
      </c>
    </row>
    <row r="36" spans="1:16" ht="17.25" customHeight="1" x14ac:dyDescent="0.35">
      <c r="A36" s="110"/>
      <c r="B36" s="91" t="s">
        <v>10317</v>
      </c>
      <c r="C36" s="91" t="s">
        <v>10314</v>
      </c>
      <c r="D36" s="92" t="s">
        <v>10318</v>
      </c>
      <c r="E36" s="93" t="s">
        <v>10319</v>
      </c>
      <c r="F36" s="94" t="s">
        <v>9642</v>
      </c>
      <c r="G36" s="94" t="s">
        <v>9719</v>
      </c>
      <c r="H36" s="94" t="s">
        <v>9688</v>
      </c>
      <c r="I36" s="15" t="s">
        <v>9720</v>
      </c>
      <c r="J36" s="15" t="s">
        <v>9719</v>
      </c>
      <c r="K36" s="15" t="s">
        <v>9780</v>
      </c>
      <c r="L36" s="15" t="s">
        <v>9780</v>
      </c>
      <c r="M36" s="15" t="s">
        <v>9780</v>
      </c>
      <c r="N36" s="94" t="str">
        <f t="shared" si="0"/>
        <v>Sim</v>
      </c>
      <c r="O36" s="15" t="s">
        <v>9780</v>
      </c>
      <c r="P36" s="15" t="s">
        <v>9780</v>
      </c>
    </row>
    <row r="37" spans="1:16" ht="17.25" customHeight="1" x14ac:dyDescent="0.35">
      <c r="A37" s="110" t="s">
        <v>9956</v>
      </c>
      <c r="B37" s="15" t="s">
        <v>9965</v>
      </c>
      <c r="C37" s="15" t="s">
        <v>10279</v>
      </c>
      <c r="D37" s="96" t="s">
        <v>9957</v>
      </c>
      <c r="E37" s="22" t="s">
        <v>9959</v>
      </c>
      <c r="F37" s="15" t="s">
        <v>9687</v>
      </c>
      <c r="G37" s="15" t="s">
        <v>9719</v>
      </c>
      <c r="H37" s="15" t="s">
        <v>9961</v>
      </c>
      <c r="I37" s="15">
        <v>13</v>
      </c>
      <c r="J37" s="15">
        <v>13</v>
      </c>
      <c r="K37" s="15" t="s">
        <v>9780</v>
      </c>
      <c r="L37" s="15" t="s">
        <v>9780</v>
      </c>
      <c r="M37" s="15" t="s">
        <v>9780</v>
      </c>
      <c r="N37" s="94" t="str">
        <f t="shared" si="0"/>
        <v>Sim</v>
      </c>
      <c r="O37" s="15">
        <v>1</v>
      </c>
      <c r="P37" s="15">
        <v>13</v>
      </c>
    </row>
    <row r="38" spans="1:16" ht="17.25" customHeight="1" x14ac:dyDescent="0.35">
      <c r="A38" s="110"/>
      <c r="B38" s="15" t="s">
        <v>9965</v>
      </c>
      <c r="C38" s="15" t="s">
        <v>10279</v>
      </c>
      <c r="D38" s="96" t="s">
        <v>9958</v>
      </c>
      <c r="E38" s="22" t="s">
        <v>9960</v>
      </c>
      <c r="F38" s="15" t="s">
        <v>9687</v>
      </c>
      <c r="G38" s="15" t="s">
        <v>9719</v>
      </c>
      <c r="H38" s="15" t="s">
        <v>9783</v>
      </c>
      <c r="I38" s="15">
        <v>0</v>
      </c>
      <c r="J38" s="15">
        <v>100</v>
      </c>
      <c r="K38" s="15" t="s">
        <v>9780</v>
      </c>
      <c r="L38" s="15" t="s">
        <v>9780</v>
      </c>
      <c r="M38" s="15" t="s">
        <v>9780</v>
      </c>
      <c r="N38" s="94" t="str">
        <f t="shared" si="0"/>
        <v>Sim</v>
      </c>
      <c r="O38" s="15">
        <v>0</v>
      </c>
      <c r="P38" s="15">
        <v>500</v>
      </c>
    </row>
    <row r="39" spans="1:16" ht="17.25" customHeight="1" x14ac:dyDescent="0.35">
      <c r="A39" s="110"/>
      <c r="B39" s="91" t="s">
        <v>9965</v>
      </c>
      <c r="C39" s="91" t="s">
        <v>10279</v>
      </c>
      <c r="D39" s="96" t="s">
        <v>9953</v>
      </c>
      <c r="E39" s="22" t="s">
        <v>9954</v>
      </c>
      <c r="F39" s="15" t="s">
        <v>9642</v>
      </c>
      <c r="G39" s="15" t="s">
        <v>9719</v>
      </c>
      <c r="H39" s="15" t="s">
        <v>9955</v>
      </c>
      <c r="I39" s="15" t="s">
        <v>10574</v>
      </c>
      <c r="J39" s="15" t="s">
        <v>9780</v>
      </c>
      <c r="K39" s="15" t="s">
        <v>9780</v>
      </c>
      <c r="L39" s="15" t="s">
        <v>9780</v>
      </c>
      <c r="M39" s="15" t="s">
        <v>9780</v>
      </c>
      <c r="N39" s="94" t="str">
        <f t="shared" si="0"/>
        <v>Sim</v>
      </c>
      <c r="O39" s="15" t="s">
        <v>9780</v>
      </c>
      <c r="P39" s="15" t="s">
        <v>9780</v>
      </c>
    </row>
    <row r="40" spans="1:16" ht="17.25" customHeight="1" x14ac:dyDescent="0.35">
      <c r="A40" s="110"/>
      <c r="B40" s="91" t="s">
        <v>9965</v>
      </c>
      <c r="C40" s="91" t="s">
        <v>10314</v>
      </c>
      <c r="D40" s="96" t="s">
        <v>10296</v>
      </c>
      <c r="E40" s="22" t="s">
        <v>10297</v>
      </c>
      <c r="F40" s="15" t="s">
        <v>9642</v>
      </c>
      <c r="G40" s="15" t="s">
        <v>9719</v>
      </c>
      <c r="H40" s="15" t="s">
        <v>9688</v>
      </c>
      <c r="I40" s="15" t="s">
        <v>9720</v>
      </c>
      <c r="J40" s="15" t="s">
        <v>9719</v>
      </c>
      <c r="K40" s="15" t="s">
        <v>9780</v>
      </c>
      <c r="L40" s="15" t="s">
        <v>9780</v>
      </c>
      <c r="M40" s="15" t="s">
        <v>9780</v>
      </c>
      <c r="N40" s="94" t="str">
        <f t="shared" si="0"/>
        <v>Sim</v>
      </c>
      <c r="O40" s="15" t="s">
        <v>9780</v>
      </c>
      <c r="P40" s="15" t="s">
        <v>9780</v>
      </c>
    </row>
    <row r="41" spans="1:16" ht="17.25" customHeight="1" x14ac:dyDescent="0.4">
      <c r="A41" s="110" t="s">
        <v>10002</v>
      </c>
      <c r="B41" s="91" t="s">
        <v>9865</v>
      </c>
      <c r="C41" s="91" t="s">
        <v>10286</v>
      </c>
      <c r="D41" s="96" t="s">
        <v>10003</v>
      </c>
      <c r="E41" s="22" t="s">
        <v>10009</v>
      </c>
      <c r="F41" s="15" t="s">
        <v>9687</v>
      </c>
      <c r="G41" s="15" t="s">
        <v>9719</v>
      </c>
      <c r="H41" s="15" t="s">
        <v>10163</v>
      </c>
      <c r="I41" s="15">
        <v>100</v>
      </c>
      <c r="J41" s="15">
        <v>100</v>
      </c>
      <c r="K41" s="94" t="s">
        <v>9951</v>
      </c>
      <c r="L41" s="98" t="s">
        <v>10005</v>
      </c>
      <c r="M41" s="98" t="s">
        <v>10006</v>
      </c>
      <c r="N41" s="94" t="str">
        <f t="shared" si="0"/>
        <v>Sim</v>
      </c>
      <c r="O41" s="15">
        <v>20</v>
      </c>
      <c r="P41" s="15">
        <v>100</v>
      </c>
    </row>
    <row r="42" spans="1:16" ht="17.25" customHeight="1" x14ac:dyDescent="0.4">
      <c r="A42" s="110"/>
      <c r="B42" s="91" t="s">
        <v>9865</v>
      </c>
      <c r="C42" s="91" t="s">
        <v>10286</v>
      </c>
      <c r="D42" s="96" t="s">
        <v>10004</v>
      </c>
      <c r="E42" s="22" t="s">
        <v>10008</v>
      </c>
      <c r="F42" s="15" t="s">
        <v>9687</v>
      </c>
      <c r="G42" s="15" t="s">
        <v>9719</v>
      </c>
      <c r="H42" s="15" t="s">
        <v>10163</v>
      </c>
      <c r="I42" s="15">
        <v>25</v>
      </c>
      <c r="J42" s="15">
        <v>25</v>
      </c>
      <c r="K42" s="94" t="s">
        <v>9951</v>
      </c>
      <c r="L42" s="98" t="s">
        <v>10164</v>
      </c>
      <c r="M42" s="98" t="s">
        <v>10007</v>
      </c>
      <c r="N42" s="94" t="str">
        <f t="shared" si="0"/>
        <v>Sim</v>
      </c>
      <c r="O42" s="15">
        <v>5</v>
      </c>
      <c r="P42" s="15">
        <v>50</v>
      </c>
    </row>
    <row r="43" spans="1:16" ht="17.25" customHeight="1" x14ac:dyDescent="0.35">
      <c r="A43" s="110" t="s">
        <v>9732</v>
      </c>
      <c r="B43" s="91" t="s">
        <v>9865</v>
      </c>
      <c r="C43" s="91" t="s">
        <v>10280</v>
      </c>
      <c r="D43" s="96" t="s">
        <v>9722</v>
      </c>
      <c r="E43" s="97" t="s">
        <v>9996</v>
      </c>
      <c r="F43" s="94" t="s">
        <v>9687</v>
      </c>
      <c r="G43" s="94" t="s">
        <v>9719</v>
      </c>
      <c r="H43" s="15" t="s">
        <v>9733</v>
      </c>
      <c r="I43" s="27">
        <v>6</v>
      </c>
      <c r="J43" s="27">
        <v>6</v>
      </c>
      <c r="K43" s="94" t="s">
        <v>9951</v>
      </c>
      <c r="L43" s="15" t="s">
        <v>9949</v>
      </c>
      <c r="M43" s="15" t="s">
        <v>9736</v>
      </c>
      <c r="N43" s="94" t="str">
        <f t="shared" si="0"/>
        <v>Sim</v>
      </c>
      <c r="O43" s="15">
        <v>1</v>
      </c>
      <c r="P43" s="15">
        <v>10</v>
      </c>
    </row>
    <row r="44" spans="1:16" ht="17.25" customHeight="1" x14ac:dyDescent="0.35">
      <c r="A44" s="110"/>
      <c r="B44" s="91" t="s">
        <v>9865</v>
      </c>
      <c r="C44" s="91" t="s">
        <v>10280</v>
      </c>
      <c r="D44" s="96" t="s">
        <v>9723</v>
      </c>
      <c r="E44" s="97" t="s">
        <v>9997</v>
      </c>
      <c r="F44" s="94" t="s">
        <v>9687</v>
      </c>
      <c r="G44" s="94" t="s">
        <v>9719</v>
      </c>
      <c r="H44" s="15" t="s">
        <v>10122</v>
      </c>
      <c r="I44" s="27">
        <v>5.5</v>
      </c>
      <c r="J44" s="27">
        <v>5.5</v>
      </c>
      <c r="K44" s="94" t="s">
        <v>9951</v>
      </c>
      <c r="L44" s="15" t="s">
        <v>9949</v>
      </c>
      <c r="M44" s="15" t="s">
        <v>9737</v>
      </c>
      <c r="N44" s="94" t="str">
        <f t="shared" si="0"/>
        <v>Sim</v>
      </c>
      <c r="O44" s="15">
        <v>1</v>
      </c>
      <c r="P44" s="15">
        <v>10</v>
      </c>
    </row>
    <row r="45" spans="1:16" ht="17.25" customHeight="1" x14ac:dyDescent="0.35">
      <c r="A45" s="110"/>
      <c r="B45" s="91" t="s">
        <v>9865</v>
      </c>
      <c r="C45" s="91" t="s">
        <v>10280</v>
      </c>
      <c r="D45" s="96" t="s">
        <v>9724</v>
      </c>
      <c r="E45" s="97" t="s">
        <v>10134</v>
      </c>
      <c r="F45" s="94" t="s">
        <v>9687</v>
      </c>
      <c r="G45" s="94" t="s">
        <v>9719</v>
      </c>
      <c r="H45" s="15" t="s">
        <v>9634</v>
      </c>
      <c r="I45" s="27">
        <v>40</v>
      </c>
      <c r="J45" s="27">
        <v>40</v>
      </c>
      <c r="K45" s="94" t="s">
        <v>9951</v>
      </c>
      <c r="L45" s="15" t="s">
        <v>9949</v>
      </c>
      <c r="M45" s="15" t="s">
        <v>9738</v>
      </c>
      <c r="N45" s="94" t="str">
        <f t="shared" si="0"/>
        <v>Sim</v>
      </c>
      <c r="O45" s="15">
        <v>10</v>
      </c>
      <c r="P45" s="15">
        <v>60</v>
      </c>
    </row>
    <row r="46" spans="1:16" s="18" customFormat="1" ht="17.25" customHeight="1" x14ac:dyDescent="0.35">
      <c r="A46" s="110"/>
      <c r="B46" s="91" t="s">
        <v>9865</v>
      </c>
      <c r="C46" s="91" t="s">
        <v>10280</v>
      </c>
      <c r="D46" s="96" t="s">
        <v>9725</v>
      </c>
      <c r="E46" s="97" t="s">
        <v>9999</v>
      </c>
      <c r="F46" s="94" t="s">
        <v>9687</v>
      </c>
      <c r="G46" s="94" t="s">
        <v>9719</v>
      </c>
      <c r="H46" s="15" t="s">
        <v>9734</v>
      </c>
      <c r="I46" s="27">
        <v>0</v>
      </c>
      <c r="J46" s="27">
        <v>0</v>
      </c>
      <c r="K46" s="94" t="s">
        <v>9951</v>
      </c>
      <c r="L46" s="15" t="s">
        <v>9949</v>
      </c>
      <c r="M46" s="15" t="s">
        <v>9739</v>
      </c>
      <c r="N46" s="94" t="str">
        <f t="shared" si="0"/>
        <v>Sim</v>
      </c>
      <c r="O46" s="15">
        <v>0</v>
      </c>
      <c r="P46" s="15">
        <v>1000</v>
      </c>
    </row>
    <row r="47" spans="1:16" ht="17.25" customHeight="1" x14ac:dyDescent="0.35">
      <c r="A47" s="110"/>
      <c r="B47" s="91" t="s">
        <v>9865</v>
      </c>
      <c r="C47" s="91" t="s">
        <v>10280</v>
      </c>
      <c r="D47" s="96" t="s">
        <v>9726</v>
      </c>
      <c r="E47" s="97" t="s">
        <v>10000</v>
      </c>
      <c r="F47" s="94" t="s">
        <v>9687</v>
      </c>
      <c r="G47" s="94" t="s">
        <v>9719</v>
      </c>
      <c r="H47" s="15" t="s">
        <v>9734</v>
      </c>
      <c r="I47" s="27">
        <v>25</v>
      </c>
      <c r="J47" s="27">
        <v>25</v>
      </c>
      <c r="K47" s="94" t="s">
        <v>9951</v>
      </c>
      <c r="L47" s="15" t="s">
        <v>9949</v>
      </c>
      <c r="M47" s="15" t="s">
        <v>9713</v>
      </c>
      <c r="N47" s="94" t="str">
        <f t="shared" si="0"/>
        <v>Sim</v>
      </c>
      <c r="O47" s="15">
        <v>0</v>
      </c>
      <c r="P47" s="15">
        <v>100</v>
      </c>
    </row>
    <row r="48" spans="1:16" ht="17.25" customHeight="1" x14ac:dyDescent="0.35">
      <c r="A48" s="110"/>
      <c r="B48" s="91" t="s">
        <v>9865</v>
      </c>
      <c r="C48" s="91" t="s">
        <v>10280</v>
      </c>
      <c r="D48" s="96" t="s">
        <v>9727</v>
      </c>
      <c r="E48" s="97" t="s">
        <v>10001</v>
      </c>
      <c r="F48" s="94" t="s">
        <v>9687</v>
      </c>
      <c r="G48" s="94" t="s">
        <v>9719</v>
      </c>
      <c r="H48" s="15" t="s">
        <v>9734</v>
      </c>
      <c r="I48" s="27">
        <v>500</v>
      </c>
      <c r="J48" s="27">
        <v>500</v>
      </c>
      <c r="K48" s="94" t="s">
        <v>9951</v>
      </c>
      <c r="L48" s="15" t="s">
        <v>9949</v>
      </c>
      <c r="M48" s="15" t="s">
        <v>9714</v>
      </c>
      <c r="N48" s="94" t="str">
        <f t="shared" si="0"/>
        <v>Sim</v>
      </c>
      <c r="O48" s="15">
        <v>0</v>
      </c>
      <c r="P48" s="15">
        <v>5000</v>
      </c>
    </row>
    <row r="49" spans="1:16" ht="17.25" customHeight="1" x14ac:dyDescent="0.35">
      <c r="A49" s="110"/>
      <c r="B49" s="91" t="s">
        <v>9865</v>
      </c>
      <c r="C49" s="91" t="s">
        <v>10280</v>
      </c>
      <c r="D49" s="96" t="s">
        <v>9728</v>
      </c>
      <c r="E49" s="97" t="s">
        <v>10117</v>
      </c>
      <c r="F49" s="94" t="s">
        <v>9687</v>
      </c>
      <c r="G49" s="94" t="s">
        <v>9719</v>
      </c>
      <c r="H49" s="15" t="s">
        <v>9634</v>
      </c>
      <c r="I49" s="27">
        <v>65</v>
      </c>
      <c r="J49" s="27">
        <v>65</v>
      </c>
      <c r="K49" s="94" t="s">
        <v>9951</v>
      </c>
      <c r="L49" s="15" t="s">
        <v>9949</v>
      </c>
      <c r="M49" s="15" t="s">
        <v>9715</v>
      </c>
      <c r="N49" s="94" t="str">
        <f t="shared" si="0"/>
        <v>Sim</v>
      </c>
      <c r="O49" s="15">
        <v>25</v>
      </c>
      <c r="P49" s="15">
        <v>100</v>
      </c>
    </row>
    <row r="50" spans="1:16" ht="17.25" customHeight="1" x14ac:dyDescent="0.35">
      <c r="A50" s="110"/>
      <c r="B50" s="91" t="s">
        <v>9865</v>
      </c>
      <c r="C50" s="91" t="s">
        <v>10280</v>
      </c>
      <c r="D50" s="96" t="s">
        <v>9729</v>
      </c>
      <c r="E50" s="97" t="s">
        <v>10118</v>
      </c>
      <c r="F50" s="94" t="s">
        <v>9687</v>
      </c>
      <c r="G50" s="94" t="s">
        <v>9719</v>
      </c>
      <c r="H50" s="15" t="s">
        <v>9735</v>
      </c>
      <c r="I50" s="27">
        <v>5000</v>
      </c>
      <c r="J50" s="27">
        <v>5000</v>
      </c>
      <c r="K50" s="94" t="s">
        <v>9951</v>
      </c>
      <c r="L50" s="15" t="s">
        <v>9949</v>
      </c>
      <c r="M50" s="15" t="s">
        <v>9740</v>
      </c>
      <c r="N50" s="94" t="str">
        <f t="shared" si="0"/>
        <v>Sim</v>
      </c>
      <c r="O50" s="15">
        <v>3000</v>
      </c>
      <c r="P50" s="15">
        <v>10000</v>
      </c>
    </row>
    <row r="51" spans="1:16" ht="17.25" customHeight="1" x14ac:dyDescent="0.35">
      <c r="A51" s="110"/>
      <c r="B51" s="91" t="s">
        <v>9865</v>
      </c>
      <c r="C51" s="91" t="s">
        <v>10280</v>
      </c>
      <c r="D51" s="96" t="s">
        <v>9730</v>
      </c>
      <c r="E51" s="97" t="s">
        <v>10119</v>
      </c>
      <c r="F51" s="94" t="s">
        <v>9687</v>
      </c>
      <c r="G51" s="94" t="s">
        <v>9719</v>
      </c>
      <c r="H51" s="15" t="s">
        <v>9734</v>
      </c>
      <c r="I51" s="27">
        <v>1500</v>
      </c>
      <c r="J51" s="27">
        <v>1500</v>
      </c>
      <c r="K51" s="94" t="s">
        <v>9951</v>
      </c>
      <c r="L51" s="15" t="s">
        <v>9949</v>
      </c>
      <c r="M51" s="15" t="s">
        <v>9741</v>
      </c>
      <c r="N51" s="94" t="str">
        <f t="shared" si="0"/>
        <v>Sim</v>
      </c>
      <c r="O51" s="15">
        <v>1000</v>
      </c>
      <c r="P51" s="15">
        <v>5000</v>
      </c>
    </row>
    <row r="52" spans="1:16" ht="17.25" customHeight="1" x14ac:dyDescent="0.35">
      <c r="A52" s="110"/>
      <c r="B52" s="91" t="s">
        <v>9865</v>
      </c>
      <c r="C52" s="91" t="s">
        <v>10280</v>
      </c>
      <c r="D52" s="96" t="s">
        <v>9731</v>
      </c>
      <c r="E52" s="97" t="s">
        <v>9998</v>
      </c>
      <c r="F52" s="94" t="s">
        <v>9687</v>
      </c>
      <c r="G52" s="94" t="s">
        <v>9719</v>
      </c>
      <c r="H52" s="15" t="s">
        <v>9634</v>
      </c>
      <c r="I52" s="27">
        <v>0</v>
      </c>
      <c r="J52" s="27">
        <v>0</v>
      </c>
      <c r="K52" s="94" t="s">
        <v>9951</v>
      </c>
      <c r="L52" s="15" t="s">
        <v>9949</v>
      </c>
      <c r="M52" s="15" t="s">
        <v>9742</v>
      </c>
      <c r="N52" s="94" t="str">
        <f t="shared" si="0"/>
        <v>Sim</v>
      </c>
      <c r="O52" s="15">
        <v>0</v>
      </c>
      <c r="P52" s="15">
        <v>100</v>
      </c>
    </row>
    <row r="53" spans="1:16" ht="17.25" customHeight="1" x14ac:dyDescent="0.35">
      <c r="A53" s="110"/>
      <c r="B53" s="91" t="s">
        <v>9865</v>
      </c>
      <c r="C53" s="91" t="s">
        <v>10280</v>
      </c>
      <c r="D53" s="96" t="s">
        <v>10301</v>
      </c>
      <c r="E53" s="97" t="s">
        <v>10120</v>
      </c>
      <c r="F53" s="94" t="s">
        <v>9687</v>
      </c>
      <c r="G53" s="94" t="s">
        <v>9719</v>
      </c>
      <c r="H53" s="15" t="s">
        <v>9634</v>
      </c>
      <c r="I53" s="27">
        <v>25</v>
      </c>
      <c r="J53" s="27">
        <v>25</v>
      </c>
      <c r="K53" s="94" t="s">
        <v>9951</v>
      </c>
      <c r="L53" s="15" t="s">
        <v>9949</v>
      </c>
      <c r="M53" s="15" t="s">
        <v>9743</v>
      </c>
      <c r="N53" s="94" t="str">
        <f t="shared" si="0"/>
        <v>Sim</v>
      </c>
      <c r="O53" s="15">
        <v>0</v>
      </c>
      <c r="P53" s="15">
        <v>50</v>
      </c>
    </row>
    <row r="54" spans="1:16" ht="17.25" customHeight="1" x14ac:dyDescent="0.35">
      <c r="A54" s="110"/>
      <c r="B54" s="91" t="s">
        <v>9865</v>
      </c>
      <c r="C54" s="91" t="s">
        <v>10280</v>
      </c>
      <c r="D54" s="96" t="s">
        <v>10302</v>
      </c>
      <c r="E54" s="97" t="s">
        <v>10121</v>
      </c>
      <c r="F54" s="94" t="s">
        <v>9687</v>
      </c>
      <c r="G54" s="94" t="s">
        <v>9719</v>
      </c>
      <c r="H54" s="15" t="s">
        <v>9634</v>
      </c>
      <c r="I54" s="27">
        <v>0</v>
      </c>
      <c r="J54" s="27">
        <v>0</v>
      </c>
      <c r="K54" s="94" t="s">
        <v>9951</v>
      </c>
      <c r="L54" s="15" t="s">
        <v>9949</v>
      </c>
      <c r="M54" s="15" t="s">
        <v>9744</v>
      </c>
      <c r="N54" s="94" t="str">
        <f t="shared" si="0"/>
        <v>Sim</v>
      </c>
      <c r="O54" s="15">
        <v>0</v>
      </c>
      <c r="P54" s="15">
        <v>25</v>
      </c>
    </row>
    <row r="55" spans="1:16" ht="17.25" customHeight="1" x14ac:dyDescent="0.35">
      <c r="A55" s="110"/>
      <c r="B55" s="91" t="s">
        <v>9865</v>
      </c>
      <c r="C55" s="91" t="s">
        <v>10280</v>
      </c>
      <c r="D55" s="96" t="s">
        <v>10303</v>
      </c>
      <c r="E55" s="97" t="s">
        <v>10125</v>
      </c>
      <c r="F55" s="94" t="s">
        <v>9687</v>
      </c>
      <c r="G55" s="94" t="s">
        <v>9719</v>
      </c>
      <c r="H55" s="15" t="s">
        <v>9634</v>
      </c>
      <c r="I55" s="27">
        <v>25</v>
      </c>
      <c r="J55" s="27">
        <v>25</v>
      </c>
      <c r="K55" s="94" t="s">
        <v>9951</v>
      </c>
      <c r="L55" s="15" t="s">
        <v>9949</v>
      </c>
      <c r="M55" s="15" t="s">
        <v>9745</v>
      </c>
      <c r="N55" s="94" t="str">
        <f t="shared" si="0"/>
        <v>Sim</v>
      </c>
      <c r="O55" s="15">
        <v>0</v>
      </c>
      <c r="P55" s="15">
        <v>50</v>
      </c>
    </row>
    <row r="56" spans="1:16" ht="17.25" customHeight="1" x14ac:dyDescent="0.35">
      <c r="A56" s="110"/>
      <c r="B56" s="91" t="s">
        <v>9865</v>
      </c>
      <c r="C56" s="91" t="s">
        <v>10280</v>
      </c>
      <c r="D56" s="96" t="s">
        <v>10304</v>
      </c>
      <c r="E56" s="97" t="s">
        <v>10126</v>
      </c>
      <c r="F56" s="94" t="s">
        <v>9687</v>
      </c>
      <c r="G56" s="94" t="s">
        <v>9719</v>
      </c>
      <c r="H56" s="15" t="s">
        <v>9634</v>
      </c>
      <c r="I56" s="27">
        <v>0</v>
      </c>
      <c r="J56" s="27">
        <v>0</v>
      </c>
      <c r="K56" s="94" t="s">
        <v>9951</v>
      </c>
      <c r="L56" s="15" t="s">
        <v>9949</v>
      </c>
      <c r="M56" s="15" t="s">
        <v>9746</v>
      </c>
      <c r="N56" s="94" t="str">
        <f t="shared" si="0"/>
        <v>Sim</v>
      </c>
      <c r="O56" s="15">
        <v>0</v>
      </c>
      <c r="P56" s="15">
        <v>25</v>
      </c>
    </row>
    <row r="57" spans="1:16" ht="17.25" customHeight="1" x14ac:dyDescent="0.35">
      <c r="A57" s="110"/>
      <c r="B57" s="91" t="s">
        <v>9865</v>
      </c>
      <c r="C57" s="91" t="s">
        <v>10280</v>
      </c>
      <c r="D57" s="96" t="s">
        <v>10305</v>
      </c>
      <c r="E57" s="97" t="s">
        <v>10123</v>
      </c>
      <c r="F57" s="94" t="s">
        <v>9687</v>
      </c>
      <c r="G57" s="94" t="s">
        <v>9719</v>
      </c>
      <c r="H57" s="15" t="s">
        <v>9634</v>
      </c>
      <c r="I57" s="27">
        <v>25</v>
      </c>
      <c r="J57" s="27">
        <v>25</v>
      </c>
      <c r="K57" s="94" t="s">
        <v>9951</v>
      </c>
      <c r="L57" s="15" t="s">
        <v>9949</v>
      </c>
      <c r="M57" s="15" t="s">
        <v>9747</v>
      </c>
      <c r="N57" s="94" t="str">
        <f t="shared" si="0"/>
        <v>Sim</v>
      </c>
      <c r="O57" s="15">
        <v>0</v>
      </c>
      <c r="P57" s="15">
        <v>50</v>
      </c>
    </row>
    <row r="58" spans="1:16" ht="17.25" customHeight="1" x14ac:dyDescent="0.35">
      <c r="A58" s="110"/>
      <c r="B58" s="91" t="s">
        <v>9865</v>
      </c>
      <c r="C58" s="91" t="s">
        <v>10280</v>
      </c>
      <c r="D58" s="96" t="s">
        <v>10306</v>
      </c>
      <c r="E58" s="97" t="s">
        <v>10124</v>
      </c>
      <c r="F58" s="94" t="s">
        <v>9687</v>
      </c>
      <c r="G58" s="94" t="s">
        <v>9719</v>
      </c>
      <c r="H58" s="15" t="s">
        <v>9634</v>
      </c>
      <c r="I58" s="27">
        <v>25</v>
      </c>
      <c r="J58" s="27">
        <v>25</v>
      </c>
      <c r="K58" s="94" t="s">
        <v>9951</v>
      </c>
      <c r="L58" s="15" t="s">
        <v>9949</v>
      </c>
      <c r="M58" s="15" t="s">
        <v>9748</v>
      </c>
      <c r="N58" s="94" t="str">
        <f t="shared" si="0"/>
        <v>Sim</v>
      </c>
      <c r="O58" s="15">
        <v>0</v>
      </c>
      <c r="P58" s="15">
        <v>25</v>
      </c>
    </row>
    <row r="59" spans="1:16" ht="17.25" customHeight="1" x14ac:dyDescent="0.35">
      <c r="A59" s="110"/>
      <c r="B59" s="91" t="s">
        <v>9865</v>
      </c>
      <c r="C59" s="91" t="s">
        <v>10280</v>
      </c>
      <c r="D59" s="96" t="s">
        <v>10307</v>
      </c>
      <c r="E59" s="97" t="s">
        <v>10127</v>
      </c>
      <c r="F59" s="94" t="s">
        <v>9687</v>
      </c>
      <c r="G59" s="94" t="s">
        <v>9719</v>
      </c>
      <c r="H59" s="15" t="s">
        <v>9634</v>
      </c>
      <c r="I59" s="27">
        <v>25</v>
      </c>
      <c r="J59" s="27">
        <v>25</v>
      </c>
      <c r="K59" s="94" t="s">
        <v>9951</v>
      </c>
      <c r="L59" s="15" t="s">
        <v>9949</v>
      </c>
      <c r="M59" s="15" t="s">
        <v>9749</v>
      </c>
      <c r="N59" s="94" t="str">
        <f t="shared" si="0"/>
        <v>Sim</v>
      </c>
      <c r="O59" s="15">
        <v>0</v>
      </c>
      <c r="P59" s="15">
        <v>50</v>
      </c>
    </row>
    <row r="60" spans="1:16" ht="17.25" customHeight="1" x14ac:dyDescent="0.35">
      <c r="A60" s="110"/>
      <c r="B60" s="91" t="s">
        <v>9865</v>
      </c>
      <c r="C60" s="91" t="s">
        <v>10280</v>
      </c>
      <c r="D60" s="96" t="s">
        <v>10308</v>
      </c>
      <c r="E60" s="97" t="s">
        <v>10128</v>
      </c>
      <c r="F60" s="94" t="s">
        <v>9687</v>
      </c>
      <c r="G60" s="94" t="s">
        <v>9719</v>
      </c>
      <c r="H60" s="15" t="s">
        <v>9634</v>
      </c>
      <c r="I60" s="27">
        <v>0</v>
      </c>
      <c r="J60" s="27">
        <v>0</v>
      </c>
      <c r="K60" s="94" t="s">
        <v>9951</v>
      </c>
      <c r="L60" s="15" t="s">
        <v>9949</v>
      </c>
      <c r="M60" s="15" t="s">
        <v>9750</v>
      </c>
      <c r="N60" s="94" t="str">
        <f t="shared" si="0"/>
        <v>Sim</v>
      </c>
      <c r="O60" s="15">
        <v>0</v>
      </c>
      <c r="P60" s="15">
        <v>25</v>
      </c>
    </row>
    <row r="61" spans="1:16" ht="17.25" customHeight="1" x14ac:dyDescent="0.35">
      <c r="A61" s="110"/>
      <c r="B61" s="91" t="s">
        <v>9865</v>
      </c>
      <c r="C61" s="91" t="s">
        <v>10280</v>
      </c>
      <c r="D61" s="96" t="s">
        <v>10309</v>
      </c>
      <c r="E61" s="97" t="s">
        <v>10129</v>
      </c>
      <c r="F61" s="94" t="s">
        <v>9687</v>
      </c>
      <c r="G61" s="94" t="s">
        <v>9719</v>
      </c>
      <c r="H61" s="15" t="s">
        <v>9634</v>
      </c>
      <c r="I61" s="27">
        <v>25</v>
      </c>
      <c r="J61" s="27">
        <v>25</v>
      </c>
      <c r="K61" s="94" t="s">
        <v>9951</v>
      </c>
      <c r="L61" s="15" t="s">
        <v>9949</v>
      </c>
      <c r="M61" s="15" t="s">
        <v>9751</v>
      </c>
      <c r="N61" s="94" t="str">
        <f t="shared" si="0"/>
        <v>Sim</v>
      </c>
      <c r="O61" s="15">
        <v>0</v>
      </c>
      <c r="P61" s="15">
        <v>80</v>
      </c>
    </row>
    <row r="62" spans="1:16" ht="17.25" customHeight="1" x14ac:dyDescent="0.35">
      <c r="A62" s="110"/>
      <c r="B62" s="91" t="s">
        <v>9865</v>
      </c>
      <c r="C62" s="91" t="s">
        <v>10280</v>
      </c>
      <c r="D62" s="96" t="s">
        <v>10310</v>
      </c>
      <c r="E62" s="97" t="s">
        <v>10130</v>
      </c>
      <c r="F62" s="94" t="s">
        <v>9687</v>
      </c>
      <c r="G62" s="94" t="s">
        <v>9719</v>
      </c>
      <c r="H62" s="15" t="s">
        <v>9634</v>
      </c>
      <c r="I62" s="27">
        <v>0</v>
      </c>
      <c r="J62" s="27">
        <v>0</v>
      </c>
      <c r="K62" s="94" t="s">
        <v>9951</v>
      </c>
      <c r="L62" s="15" t="s">
        <v>9949</v>
      </c>
      <c r="M62" s="15" t="s">
        <v>9752</v>
      </c>
      <c r="N62" s="94" t="str">
        <f t="shared" si="0"/>
        <v>Sim</v>
      </c>
      <c r="O62" s="15">
        <v>0</v>
      </c>
      <c r="P62" s="15">
        <v>25</v>
      </c>
    </row>
    <row r="63" spans="1:16" s="18" customFormat="1" ht="17.25" customHeight="1" x14ac:dyDescent="0.35">
      <c r="A63" s="110"/>
      <c r="B63" s="91" t="s">
        <v>9865</v>
      </c>
      <c r="C63" s="91" t="s">
        <v>10280</v>
      </c>
      <c r="D63" s="96" t="s">
        <v>10311</v>
      </c>
      <c r="E63" s="97" t="s">
        <v>10131</v>
      </c>
      <c r="F63" s="94" t="s">
        <v>9687</v>
      </c>
      <c r="G63" s="94" t="s">
        <v>9719</v>
      </c>
      <c r="H63" s="15" t="s">
        <v>9634</v>
      </c>
      <c r="I63" s="27">
        <v>25</v>
      </c>
      <c r="J63" s="27">
        <v>25</v>
      </c>
      <c r="K63" s="94" t="s">
        <v>9951</v>
      </c>
      <c r="L63" s="15" t="s">
        <v>9949</v>
      </c>
      <c r="M63" s="15" t="s">
        <v>9753</v>
      </c>
      <c r="N63" s="94" t="str">
        <f t="shared" si="0"/>
        <v>Sim</v>
      </c>
      <c r="O63" s="15">
        <v>0</v>
      </c>
      <c r="P63" s="15">
        <v>25</v>
      </c>
    </row>
    <row r="64" spans="1:16" ht="17.25" customHeight="1" x14ac:dyDescent="0.35">
      <c r="A64" s="110"/>
      <c r="B64" s="91" t="s">
        <v>9865</v>
      </c>
      <c r="C64" s="91" t="s">
        <v>10280</v>
      </c>
      <c r="D64" s="96" t="s">
        <v>10312</v>
      </c>
      <c r="E64" s="97" t="s">
        <v>10132</v>
      </c>
      <c r="F64" s="94" t="s">
        <v>9687</v>
      </c>
      <c r="G64" s="94" t="s">
        <v>9719</v>
      </c>
      <c r="H64" s="15" t="s">
        <v>9634</v>
      </c>
      <c r="I64" s="27">
        <v>0</v>
      </c>
      <c r="J64" s="27">
        <v>0</v>
      </c>
      <c r="K64" s="94" t="s">
        <v>9951</v>
      </c>
      <c r="L64" s="15" t="s">
        <v>9949</v>
      </c>
      <c r="M64" s="15" t="s">
        <v>9754</v>
      </c>
      <c r="N64" s="94" t="str">
        <f t="shared" si="0"/>
        <v>Sim</v>
      </c>
      <c r="O64" s="15">
        <v>0</v>
      </c>
      <c r="P64" s="15">
        <v>25</v>
      </c>
    </row>
    <row r="65" spans="1:16" ht="17.25" customHeight="1" x14ac:dyDescent="0.35">
      <c r="A65" s="110"/>
      <c r="B65" s="91" t="s">
        <v>9865</v>
      </c>
      <c r="C65" s="91" t="s">
        <v>10280</v>
      </c>
      <c r="D65" s="96" t="s">
        <v>10313</v>
      </c>
      <c r="E65" s="97" t="s">
        <v>10133</v>
      </c>
      <c r="F65" s="94" t="s">
        <v>9687</v>
      </c>
      <c r="G65" s="94" t="s">
        <v>9719</v>
      </c>
      <c r="H65" s="15" t="s">
        <v>9634</v>
      </c>
      <c r="I65" s="27">
        <v>0</v>
      </c>
      <c r="J65" s="27">
        <v>0</v>
      </c>
      <c r="K65" s="94" t="s">
        <v>9951</v>
      </c>
      <c r="L65" s="15" t="s">
        <v>9949</v>
      </c>
      <c r="M65" s="15" t="s">
        <v>9755</v>
      </c>
      <c r="N65" s="94" t="str">
        <f t="shared" si="0"/>
        <v>Sim</v>
      </c>
      <c r="O65" s="15">
        <v>0</v>
      </c>
      <c r="P65" s="15">
        <v>25</v>
      </c>
    </row>
    <row r="66" spans="1:16" ht="17.25" customHeight="1" x14ac:dyDescent="0.35">
      <c r="A66" s="110" t="s">
        <v>9756</v>
      </c>
      <c r="B66" s="91" t="s">
        <v>9865</v>
      </c>
      <c r="C66" s="91" t="s">
        <v>10285</v>
      </c>
      <c r="D66" s="96" t="s">
        <v>9757</v>
      </c>
      <c r="E66" s="97" t="s">
        <v>10135</v>
      </c>
      <c r="F66" s="94" t="s">
        <v>9687</v>
      </c>
      <c r="G66" s="94" t="s">
        <v>9719</v>
      </c>
      <c r="H66" s="15" t="s">
        <v>9812</v>
      </c>
      <c r="I66" s="27">
        <v>20000</v>
      </c>
      <c r="J66" s="27">
        <v>20000</v>
      </c>
      <c r="K66" s="94" t="s">
        <v>9951</v>
      </c>
      <c r="L66" s="15" t="s">
        <v>9949</v>
      </c>
      <c r="M66" s="15" t="s">
        <v>9820</v>
      </c>
      <c r="N66" s="94" t="str">
        <f t="shared" si="0"/>
        <v>Sim</v>
      </c>
      <c r="O66" s="15">
        <v>10000</v>
      </c>
      <c r="P66" s="15">
        <v>50000</v>
      </c>
    </row>
    <row r="67" spans="1:16" ht="17.25" customHeight="1" x14ac:dyDescent="0.35">
      <c r="A67" s="110"/>
      <c r="B67" s="91" t="s">
        <v>9865</v>
      </c>
      <c r="C67" s="91" t="s">
        <v>10285</v>
      </c>
      <c r="D67" s="96" t="s">
        <v>9758</v>
      </c>
      <c r="E67" s="97" t="s">
        <v>10136</v>
      </c>
      <c r="F67" s="94" t="s">
        <v>9687</v>
      </c>
      <c r="G67" s="94" t="s">
        <v>9719</v>
      </c>
      <c r="H67" s="15" t="s">
        <v>9812</v>
      </c>
      <c r="I67" s="27">
        <v>10000</v>
      </c>
      <c r="J67" s="27">
        <v>10000</v>
      </c>
      <c r="K67" s="94" t="s">
        <v>9951</v>
      </c>
      <c r="L67" s="15" t="s">
        <v>9949</v>
      </c>
      <c r="M67" s="15" t="s">
        <v>9821</v>
      </c>
      <c r="N67" s="94" t="str">
        <f t="shared" si="0"/>
        <v>Sim</v>
      </c>
      <c r="O67" s="15">
        <v>1000</v>
      </c>
      <c r="P67" s="15">
        <v>10000</v>
      </c>
    </row>
    <row r="68" spans="1:16" ht="17.25" customHeight="1" x14ac:dyDescent="0.35">
      <c r="A68" s="110"/>
      <c r="B68" s="91" t="s">
        <v>9865</v>
      </c>
      <c r="C68" s="91" t="s">
        <v>10285</v>
      </c>
      <c r="D68" s="96" t="s">
        <v>9759</v>
      </c>
      <c r="E68" s="97" t="s">
        <v>10137</v>
      </c>
      <c r="F68" s="94" t="s">
        <v>9687</v>
      </c>
      <c r="G68" s="94" t="s">
        <v>9719</v>
      </c>
      <c r="H68" s="15" t="s">
        <v>9812</v>
      </c>
      <c r="I68" s="27">
        <v>1500</v>
      </c>
      <c r="J68" s="27">
        <v>1500</v>
      </c>
      <c r="K68" s="94" t="s">
        <v>9951</v>
      </c>
      <c r="L68" s="15" t="s">
        <v>9949</v>
      </c>
      <c r="M68" s="15" t="s">
        <v>9822</v>
      </c>
      <c r="N68" s="94" t="str">
        <f t="shared" si="0"/>
        <v>Sim</v>
      </c>
      <c r="O68" s="15">
        <v>1000</v>
      </c>
      <c r="P68" s="15">
        <v>5000</v>
      </c>
    </row>
    <row r="69" spans="1:16" ht="17.25" customHeight="1" x14ac:dyDescent="0.35">
      <c r="A69" s="110"/>
      <c r="B69" s="91" t="s">
        <v>9865</v>
      </c>
      <c r="C69" s="91" t="s">
        <v>10285</v>
      </c>
      <c r="D69" s="96" t="s">
        <v>9760</v>
      </c>
      <c r="E69" s="97" t="s">
        <v>10138</v>
      </c>
      <c r="F69" s="94" t="s">
        <v>10270</v>
      </c>
      <c r="G69" s="94" t="s">
        <v>9719</v>
      </c>
      <c r="H69" s="15" t="s">
        <v>10273</v>
      </c>
      <c r="I69" s="27" t="s">
        <v>9774</v>
      </c>
      <c r="J69" s="27" t="s">
        <v>9774</v>
      </c>
      <c r="K69" s="94" t="s">
        <v>9951</v>
      </c>
      <c r="L69" s="15" t="s">
        <v>9949</v>
      </c>
      <c r="M69" s="15" t="s">
        <v>9823</v>
      </c>
      <c r="N69" s="94" t="str">
        <f t="shared" si="0"/>
        <v>Sim</v>
      </c>
      <c r="O69" s="15" t="s">
        <v>9780</v>
      </c>
      <c r="P69" s="15" t="s">
        <v>9780</v>
      </c>
    </row>
    <row r="70" spans="1:16" ht="17.25" customHeight="1" x14ac:dyDescent="0.35">
      <c r="A70" s="110"/>
      <c r="B70" s="91" t="s">
        <v>9865</v>
      </c>
      <c r="C70" s="91" t="s">
        <v>10285</v>
      </c>
      <c r="D70" s="96" t="s">
        <v>9761</v>
      </c>
      <c r="E70" s="97" t="s">
        <v>10139</v>
      </c>
      <c r="F70" s="94" t="s">
        <v>9687</v>
      </c>
      <c r="G70" s="94" t="s">
        <v>9719</v>
      </c>
      <c r="H70" s="15" t="s">
        <v>9812</v>
      </c>
      <c r="I70" s="27">
        <v>1250</v>
      </c>
      <c r="J70" s="27">
        <v>1250</v>
      </c>
      <c r="K70" s="94" t="s">
        <v>9951</v>
      </c>
      <c r="L70" s="15" t="s">
        <v>9949</v>
      </c>
      <c r="M70" s="15" t="s">
        <v>9824</v>
      </c>
      <c r="N70" s="94" t="str">
        <f t="shared" si="0"/>
        <v>Sim</v>
      </c>
      <c r="O70" s="15">
        <v>1000</v>
      </c>
      <c r="P70" s="15">
        <v>5000</v>
      </c>
    </row>
    <row r="71" spans="1:16" ht="17.25" customHeight="1" x14ac:dyDescent="0.35">
      <c r="A71" s="110"/>
      <c r="B71" s="91" t="s">
        <v>9865</v>
      </c>
      <c r="C71" s="91" t="s">
        <v>10285</v>
      </c>
      <c r="D71" s="96" t="s">
        <v>9762</v>
      </c>
      <c r="E71" s="97" t="s">
        <v>10140</v>
      </c>
      <c r="F71" s="94" t="s">
        <v>9687</v>
      </c>
      <c r="G71" s="94" t="s">
        <v>9719</v>
      </c>
      <c r="H71" s="15" t="s">
        <v>9813</v>
      </c>
      <c r="I71" s="27">
        <v>450</v>
      </c>
      <c r="J71" s="27">
        <v>450</v>
      </c>
      <c r="K71" s="94" t="s">
        <v>9951</v>
      </c>
      <c r="L71" s="15" t="s">
        <v>9949</v>
      </c>
      <c r="M71" s="15" t="s">
        <v>9825</v>
      </c>
      <c r="N71" s="94" t="str">
        <f t="shared" ref="N71:N150" si="1">IF(F71="String",IF(I71&lt;&gt;"","Sim","Não"),IF(F71="List",IF(I71&lt;&gt;"","Sim","Não"),IF(AND(I71&gt;=O71,I71&lt;=P71,I71&lt;&gt;""),"Sim","Não")))</f>
        <v>Sim</v>
      </c>
      <c r="O71" s="15">
        <v>250</v>
      </c>
      <c r="P71" s="15">
        <v>750</v>
      </c>
    </row>
    <row r="72" spans="1:16" ht="17.25" customHeight="1" x14ac:dyDescent="0.35">
      <c r="A72" s="110"/>
      <c r="B72" s="91" t="s">
        <v>9865</v>
      </c>
      <c r="C72" s="91" t="s">
        <v>10285</v>
      </c>
      <c r="D72" s="96" t="s">
        <v>9763</v>
      </c>
      <c r="E72" s="97" t="s">
        <v>10141</v>
      </c>
      <c r="F72" s="94" t="s">
        <v>9687</v>
      </c>
      <c r="G72" s="94" t="s">
        <v>9719</v>
      </c>
      <c r="H72" s="15" t="s">
        <v>9814</v>
      </c>
      <c r="I72" s="27">
        <v>5000</v>
      </c>
      <c r="J72" s="27">
        <v>5000</v>
      </c>
      <c r="K72" s="94" t="s">
        <v>9951</v>
      </c>
      <c r="L72" s="15" t="s">
        <v>9949</v>
      </c>
      <c r="M72" s="15" t="s">
        <v>9826</v>
      </c>
      <c r="N72" s="94" t="str">
        <f t="shared" si="1"/>
        <v>Sim</v>
      </c>
      <c r="O72" s="15">
        <v>2000</v>
      </c>
      <c r="P72" s="15">
        <v>10000</v>
      </c>
    </row>
    <row r="73" spans="1:16" ht="17.25" customHeight="1" x14ac:dyDescent="0.35">
      <c r="A73" s="110"/>
      <c r="B73" s="91" t="s">
        <v>9865</v>
      </c>
      <c r="C73" s="91" t="s">
        <v>10285</v>
      </c>
      <c r="D73" s="96" t="s">
        <v>9764</v>
      </c>
      <c r="E73" s="97" t="s">
        <v>10142</v>
      </c>
      <c r="F73" s="94" t="s">
        <v>9687</v>
      </c>
      <c r="G73" s="94" t="s">
        <v>9719</v>
      </c>
      <c r="H73" s="15" t="s">
        <v>9812</v>
      </c>
      <c r="I73" s="27">
        <v>100000</v>
      </c>
      <c r="J73" s="27">
        <v>100000</v>
      </c>
      <c r="K73" s="94" t="s">
        <v>9951</v>
      </c>
      <c r="L73" s="15" t="s">
        <v>9949</v>
      </c>
      <c r="M73" s="15" t="s">
        <v>9827</v>
      </c>
      <c r="N73" s="94" t="str">
        <f t="shared" si="1"/>
        <v>Sim</v>
      </c>
      <c r="O73" s="15">
        <v>50000</v>
      </c>
      <c r="P73" s="15">
        <v>500000</v>
      </c>
    </row>
    <row r="74" spans="1:16" ht="17.25" customHeight="1" x14ac:dyDescent="0.35">
      <c r="A74" s="110"/>
      <c r="B74" s="91" t="s">
        <v>9865</v>
      </c>
      <c r="C74" s="91" t="s">
        <v>10285</v>
      </c>
      <c r="D74" s="96" t="s">
        <v>9765</v>
      </c>
      <c r="E74" s="97" t="s">
        <v>10143</v>
      </c>
      <c r="F74" s="94" t="s">
        <v>9687</v>
      </c>
      <c r="G74" s="94" t="s">
        <v>9719</v>
      </c>
      <c r="H74" s="15" t="s">
        <v>9815</v>
      </c>
      <c r="I74" s="27">
        <v>25000</v>
      </c>
      <c r="J74" s="27">
        <v>25000</v>
      </c>
      <c r="K74" s="94" t="s">
        <v>9951</v>
      </c>
      <c r="L74" s="15" t="s">
        <v>9949</v>
      </c>
      <c r="M74" s="15" t="s">
        <v>9828</v>
      </c>
      <c r="N74" s="94" t="str">
        <f t="shared" si="1"/>
        <v>Sim</v>
      </c>
      <c r="O74" s="15">
        <v>10000</v>
      </c>
      <c r="P74" s="15">
        <v>50000</v>
      </c>
    </row>
    <row r="75" spans="1:16" ht="17.25" customHeight="1" x14ac:dyDescent="0.35">
      <c r="A75" s="110"/>
      <c r="B75" s="91" t="s">
        <v>9865</v>
      </c>
      <c r="C75" s="91" t="s">
        <v>10285</v>
      </c>
      <c r="D75" s="96" t="s">
        <v>9766</v>
      </c>
      <c r="E75" s="97" t="s">
        <v>10144</v>
      </c>
      <c r="F75" s="94" t="s">
        <v>9687</v>
      </c>
      <c r="G75" s="94" t="s">
        <v>9719</v>
      </c>
      <c r="H75" s="15" t="s">
        <v>9816</v>
      </c>
      <c r="I75" s="27">
        <v>100</v>
      </c>
      <c r="J75" s="27">
        <v>100</v>
      </c>
      <c r="K75" s="94" t="s">
        <v>9951</v>
      </c>
      <c r="L75" s="15" t="s">
        <v>9949</v>
      </c>
      <c r="M75" s="15" t="s">
        <v>9829</v>
      </c>
      <c r="N75" s="94" t="str">
        <f t="shared" si="1"/>
        <v>Sim</v>
      </c>
      <c r="O75" s="15">
        <v>20</v>
      </c>
      <c r="P75" s="15">
        <v>500</v>
      </c>
    </row>
    <row r="76" spans="1:16" ht="17.25" customHeight="1" x14ac:dyDescent="0.35">
      <c r="A76" s="110"/>
      <c r="B76" s="91" t="s">
        <v>9865</v>
      </c>
      <c r="C76" s="91" t="s">
        <v>10285</v>
      </c>
      <c r="D76" s="96" t="s">
        <v>9767</v>
      </c>
      <c r="E76" s="97" t="s">
        <v>10145</v>
      </c>
      <c r="F76" s="94" t="s">
        <v>9687</v>
      </c>
      <c r="G76" s="94" t="s">
        <v>9719</v>
      </c>
      <c r="H76" s="15" t="s">
        <v>9735</v>
      </c>
      <c r="I76" s="27">
        <v>53</v>
      </c>
      <c r="J76" s="27">
        <v>53</v>
      </c>
      <c r="K76" s="94" t="s">
        <v>9951</v>
      </c>
      <c r="L76" s="15" t="s">
        <v>9949</v>
      </c>
      <c r="M76" s="15" t="s">
        <v>9830</v>
      </c>
      <c r="N76" s="94" t="str">
        <f t="shared" si="1"/>
        <v>Sim</v>
      </c>
      <c r="O76" s="15">
        <v>25</v>
      </c>
      <c r="P76" s="15">
        <v>500</v>
      </c>
    </row>
    <row r="77" spans="1:16" ht="17.25" customHeight="1" x14ac:dyDescent="0.35">
      <c r="A77" s="110"/>
      <c r="B77" s="91" t="s">
        <v>9865</v>
      </c>
      <c r="C77" s="91" t="s">
        <v>10285</v>
      </c>
      <c r="D77" s="96" t="s">
        <v>9768</v>
      </c>
      <c r="E77" s="97" t="s">
        <v>10146</v>
      </c>
      <c r="F77" s="94" t="s">
        <v>9687</v>
      </c>
      <c r="G77" s="94" t="s">
        <v>9719</v>
      </c>
      <c r="H77" s="15" t="s">
        <v>9817</v>
      </c>
      <c r="I77" s="27">
        <v>3</v>
      </c>
      <c r="J77" s="27">
        <v>3</v>
      </c>
      <c r="K77" s="94" t="s">
        <v>9951</v>
      </c>
      <c r="L77" s="15" t="s">
        <v>9949</v>
      </c>
      <c r="M77" s="15" t="s">
        <v>9831</v>
      </c>
      <c r="N77" s="94" t="str">
        <f t="shared" si="1"/>
        <v>Sim</v>
      </c>
      <c r="O77" s="15">
        <v>2.5</v>
      </c>
      <c r="P77" s="15">
        <v>10</v>
      </c>
    </row>
    <row r="78" spans="1:16" ht="17.25" customHeight="1" x14ac:dyDescent="0.35">
      <c r="A78" s="110"/>
      <c r="B78" s="91" t="s">
        <v>9865</v>
      </c>
      <c r="C78" s="91" t="s">
        <v>10285</v>
      </c>
      <c r="D78" s="96" t="s">
        <v>9769</v>
      </c>
      <c r="E78" s="97" t="s">
        <v>10147</v>
      </c>
      <c r="F78" s="94" t="s">
        <v>9687</v>
      </c>
      <c r="G78" s="94" t="s">
        <v>9719</v>
      </c>
      <c r="H78" s="15" t="s">
        <v>9818</v>
      </c>
      <c r="I78" s="27">
        <v>1.681</v>
      </c>
      <c r="J78" s="27">
        <v>1.681</v>
      </c>
      <c r="K78" s="94" t="s">
        <v>9951</v>
      </c>
      <c r="L78" s="15" t="s">
        <v>9949</v>
      </c>
      <c r="M78" s="15" t="s">
        <v>9832</v>
      </c>
      <c r="N78" s="94" t="str">
        <f t="shared" si="1"/>
        <v>Sim</v>
      </c>
      <c r="O78" s="15">
        <v>1</v>
      </c>
      <c r="P78" s="15">
        <v>10</v>
      </c>
    </row>
    <row r="79" spans="1:16" ht="17.25" customHeight="1" x14ac:dyDescent="0.35">
      <c r="A79" s="110"/>
      <c r="B79" s="91" t="s">
        <v>9865</v>
      </c>
      <c r="C79" s="91" t="s">
        <v>10285</v>
      </c>
      <c r="D79" s="96" t="s">
        <v>9770</v>
      </c>
      <c r="E79" s="97" t="s">
        <v>10148</v>
      </c>
      <c r="F79" s="94" t="s">
        <v>9687</v>
      </c>
      <c r="G79" s="94" t="s">
        <v>9719</v>
      </c>
      <c r="H79" s="15" t="s">
        <v>9818</v>
      </c>
      <c r="I79" s="27">
        <v>1.0780000000000001</v>
      </c>
      <c r="J79" s="27">
        <v>1.0780000000000001</v>
      </c>
      <c r="K79" s="94" t="s">
        <v>9951</v>
      </c>
      <c r="L79" s="15" t="s">
        <v>9949</v>
      </c>
      <c r="M79" s="15" t="s">
        <v>9833</v>
      </c>
      <c r="N79" s="94" t="str">
        <f t="shared" si="1"/>
        <v>Sim</v>
      </c>
      <c r="O79" s="15">
        <v>1</v>
      </c>
      <c r="P79" s="15">
        <v>10</v>
      </c>
    </row>
    <row r="80" spans="1:16" s="18" customFormat="1" ht="17.25" customHeight="1" x14ac:dyDescent="0.35">
      <c r="A80" s="110"/>
      <c r="B80" s="91" t="s">
        <v>9865</v>
      </c>
      <c r="C80" s="91" t="s">
        <v>10285</v>
      </c>
      <c r="D80" s="96" t="s">
        <v>9771</v>
      </c>
      <c r="E80" s="97" t="s">
        <v>10149</v>
      </c>
      <c r="F80" s="94" t="s">
        <v>9687</v>
      </c>
      <c r="G80" s="94" t="s">
        <v>9719</v>
      </c>
      <c r="H80" s="15" t="s">
        <v>9818</v>
      </c>
      <c r="I80" s="27">
        <v>7.26</v>
      </c>
      <c r="J80" s="27">
        <v>7.26</v>
      </c>
      <c r="K80" s="94" t="s">
        <v>9951</v>
      </c>
      <c r="L80" s="15" t="s">
        <v>9949</v>
      </c>
      <c r="M80" s="15" t="s">
        <v>9834</v>
      </c>
      <c r="N80" s="94" t="str">
        <f t="shared" si="1"/>
        <v>Sim</v>
      </c>
      <c r="O80" s="15">
        <v>2.5</v>
      </c>
      <c r="P80" s="15">
        <v>10</v>
      </c>
    </row>
    <row r="81" spans="1:16" ht="17.25" customHeight="1" x14ac:dyDescent="0.35">
      <c r="A81" s="110"/>
      <c r="B81" s="91" t="s">
        <v>9865</v>
      </c>
      <c r="C81" s="91" t="s">
        <v>10285</v>
      </c>
      <c r="D81" s="96" t="s">
        <v>9772</v>
      </c>
      <c r="E81" s="97" t="s">
        <v>10150</v>
      </c>
      <c r="F81" s="94" t="s">
        <v>9687</v>
      </c>
      <c r="G81" s="94" t="s">
        <v>9719</v>
      </c>
      <c r="H81" s="15" t="s">
        <v>9819</v>
      </c>
      <c r="I81" s="27">
        <v>2.2000000000000002</v>
      </c>
      <c r="J81" s="27">
        <v>2.2000000000000002</v>
      </c>
      <c r="K81" s="94" t="s">
        <v>9951</v>
      </c>
      <c r="L81" s="15" t="s">
        <v>9949</v>
      </c>
      <c r="M81" s="15" t="s">
        <v>9835</v>
      </c>
      <c r="N81" s="94" t="str">
        <f t="shared" si="1"/>
        <v>Sim</v>
      </c>
      <c r="O81" s="15">
        <v>0</v>
      </c>
      <c r="P81" s="15">
        <v>15</v>
      </c>
    </row>
    <row r="82" spans="1:16" ht="17.25" customHeight="1" x14ac:dyDescent="0.35">
      <c r="A82" s="110"/>
      <c r="B82" s="91" t="s">
        <v>9865</v>
      </c>
      <c r="C82" s="91" t="s">
        <v>10285</v>
      </c>
      <c r="D82" s="96" t="s">
        <v>9773</v>
      </c>
      <c r="E82" s="97" t="s">
        <v>10151</v>
      </c>
      <c r="F82" s="94" t="s">
        <v>9687</v>
      </c>
      <c r="G82" s="94" t="s">
        <v>9719</v>
      </c>
      <c r="H82" s="15" t="s">
        <v>9735</v>
      </c>
      <c r="I82" s="27">
        <v>15</v>
      </c>
      <c r="J82" s="27">
        <v>15</v>
      </c>
      <c r="K82" s="94" t="s">
        <v>9951</v>
      </c>
      <c r="L82" s="15" t="s">
        <v>9949</v>
      </c>
      <c r="M82" s="15" t="s">
        <v>9836</v>
      </c>
      <c r="N82" s="94" t="str">
        <f t="shared" si="1"/>
        <v>Sim</v>
      </c>
      <c r="O82" s="15">
        <v>0</v>
      </c>
      <c r="P82" s="15">
        <v>50</v>
      </c>
    </row>
    <row r="83" spans="1:16" ht="17.25" customHeight="1" x14ac:dyDescent="0.35">
      <c r="A83" s="110" t="s">
        <v>9775</v>
      </c>
      <c r="B83" s="91" t="s">
        <v>9865</v>
      </c>
      <c r="C83" s="91" t="s">
        <v>10284</v>
      </c>
      <c r="D83" s="96" t="s">
        <v>9776</v>
      </c>
      <c r="E83" s="97" t="s">
        <v>10152</v>
      </c>
      <c r="F83" s="94" t="s">
        <v>9687</v>
      </c>
      <c r="G83" s="94" t="s">
        <v>9719</v>
      </c>
      <c r="H83" s="15" t="s">
        <v>9634</v>
      </c>
      <c r="I83" s="27">
        <v>5</v>
      </c>
      <c r="J83" s="27">
        <v>5</v>
      </c>
      <c r="K83" s="94" t="s">
        <v>9951</v>
      </c>
      <c r="L83" s="15" t="s">
        <v>9837</v>
      </c>
      <c r="M83" s="15" t="s">
        <v>9838</v>
      </c>
      <c r="N83" s="94" t="str">
        <f t="shared" si="1"/>
        <v>Sim</v>
      </c>
      <c r="O83" s="15">
        <v>0</v>
      </c>
      <c r="P83" s="15">
        <v>20</v>
      </c>
    </row>
    <row r="84" spans="1:16" ht="17.25" customHeight="1" x14ac:dyDescent="0.35">
      <c r="A84" s="110"/>
      <c r="B84" s="91" t="s">
        <v>9865</v>
      </c>
      <c r="C84" s="91" t="s">
        <v>10284</v>
      </c>
      <c r="D84" s="96" t="s">
        <v>9777</v>
      </c>
      <c r="E84" s="97" t="s">
        <v>10153</v>
      </c>
      <c r="F84" s="94" t="s">
        <v>9687</v>
      </c>
      <c r="G84" s="94" t="s">
        <v>9719</v>
      </c>
      <c r="H84" s="15" t="s">
        <v>9634</v>
      </c>
      <c r="I84" s="27">
        <v>12</v>
      </c>
      <c r="J84" s="27">
        <v>12</v>
      </c>
      <c r="K84" s="94" t="s">
        <v>9951</v>
      </c>
      <c r="L84" s="15" t="s">
        <v>9837</v>
      </c>
      <c r="M84" s="15" t="s">
        <v>9839</v>
      </c>
      <c r="N84" s="94" t="str">
        <f t="shared" si="1"/>
        <v>Sim</v>
      </c>
      <c r="O84" s="15">
        <v>0</v>
      </c>
      <c r="P84" s="15">
        <v>30</v>
      </c>
    </row>
    <row r="85" spans="1:16" ht="17.25" customHeight="1" x14ac:dyDescent="0.35">
      <c r="A85" s="110"/>
      <c r="B85" s="91" t="s">
        <v>9865</v>
      </c>
      <c r="C85" s="91" t="s">
        <v>10284</v>
      </c>
      <c r="D85" s="96" t="s">
        <v>9778</v>
      </c>
      <c r="E85" s="97" t="s">
        <v>10154</v>
      </c>
      <c r="F85" s="94" t="s">
        <v>9687</v>
      </c>
      <c r="G85" s="94" t="s">
        <v>9719</v>
      </c>
      <c r="H85" s="15" t="s">
        <v>9634</v>
      </c>
      <c r="I85" s="27">
        <v>9</v>
      </c>
      <c r="J85" s="27">
        <v>9</v>
      </c>
      <c r="K85" s="94" t="s">
        <v>9951</v>
      </c>
      <c r="L85" s="15" t="s">
        <v>9837</v>
      </c>
      <c r="M85" s="15" t="s">
        <v>9840</v>
      </c>
      <c r="N85" s="94" t="str">
        <f t="shared" si="1"/>
        <v>Sim</v>
      </c>
      <c r="O85" s="15">
        <v>0</v>
      </c>
      <c r="P85" s="15">
        <v>20</v>
      </c>
    </row>
    <row r="86" spans="1:16" ht="17.25" customHeight="1" x14ac:dyDescent="0.35">
      <c r="A86" s="110"/>
      <c r="B86" s="91" t="s">
        <v>9865</v>
      </c>
      <c r="C86" s="91" t="s">
        <v>10284</v>
      </c>
      <c r="D86" s="96" t="s">
        <v>9779</v>
      </c>
      <c r="E86" s="97" t="s">
        <v>10155</v>
      </c>
      <c r="F86" s="94" t="s">
        <v>9687</v>
      </c>
      <c r="G86" s="94" t="s">
        <v>9719</v>
      </c>
      <c r="H86" s="15" t="s">
        <v>9634</v>
      </c>
      <c r="I86" s="27">
        <v>25</v>
      </c>
      <c r="J86" s="27">
        <v>25</v>
      </c>
      <c r="K86" s="94" t="s">
        <v>9951</v>
      </c>
      <c r="L86" s="15" t="s">
        <v>9837</v>
      </c>
      <c r="M86" s="15" t="s">
        <v>9841</v>
      </c>
      <c r="N86" s="94" t="str">
        <f t="shared" si="1"/>
        <v>Sim</v>
      </c>
      <c r="O86" s="15">
        <v>0</v>
      </c>
      <c r="P86" s="15">
        <v>40</v>
      </c>
    </row>
    <row r="87" spans="1:16" ht="17.25" customHeight="1" x14ac:dyDescent="0.35">
      <c r="A87" s="110" t="s">
        <v>9784</v>
      </c>
      <c r="B87" s="91" t="s">
        <v>9865</v>
      </c>
      <c r="C87" s="91" t="s">
        <v>10281</v>
      </c>
      <c r="D87" s="96" t="s">
        <v>9785</v>
      </c>
      <c r="E87" s="97" t="s">
        <v>10169</v>
      </c>
      <c r="F87" s="94" t="s">
        <v>9687</v>
      </c>
      <c r="G87" s="94" t="s">
        <v>9719</v>
      </c>
      <c r="H87" s="15" t="s">
        <v>9794</v>
      </c>
      <c r="I87" s="28">
        <v>498</v>
      </c>
      <c r="J87" s="28">
        <v>498</v>
      </c>
      <c r="K87" s="94" t="s">
        <v>9951</v>
      </c>
      <c r="L87" s="15" t="s">
        <v>9949</v>
      </c>
      <c r="M87" s="15" t="s">
        <v>9842</v>
      </c>
      <c r="N87" s="94" t="str">
        <f t="shared" si="1"/>
        <v>Sim</v>
      </c>
      <c r="O87" s="15">
        <v>0</v>
      </c>
      <c r="P87" s="15">
        <v>1000</v>
      </c>
    </row>
    <row r="88" spans="1:16" ht="17.25" customHeight="1" x14ac:dyDescent="0.35">
      <c r="A88" s="110"/>
      <c r="B88" s="91" t="s">
        <v>9865</v>
      </c>
      <c r="C88" s="91" t="s">
        <v>10281</v>
      </c>
      <c r="D88" s="96" t="s">
        <v>9786</v>
      </c>
      <c r="E88" s="97" t="s">
        <v>10170</v>
      </c>
      <c r="F88" s="94" t="s">
        <v>9687</v>
      </c>
      <c r="G88" s="94" t="s">
        <v>9719</v>
      </c>
      <c r="H88" s="15" t="s">
        <v>9794</v>
      </c>
      <c r="I88" s="99">
        <v>0</v>
      </c>
      <c r="J88" s="99">
        <v>0</v>
      </c>
      <c r="K88" s="94" t="s">
        <v>9951</v>
      </c>
      <c r="L88" s="15" t="s">
        <v>9949</v>
      </c>
      <c r="M88" s="15" t="s">
        <v>9843</v>
      </c>
      <c r="N88" s="94" t="str">
        <f t="shared" si="1"/>
        <v>Sim</v>
      </c>
      <c r="O88" s="15">
        <v>0</v>
      </c>
      <c r="P88" s="15">
        <v>1000</v>
      </c>
    </row>
    <row r="89" spans="1:16" ht="17.25" customHeight="1" x14ac:dyDescent="0.35">
      <c r="A89" s="110"/>
      <c r="B89" s="91" t="s">
        <v>9865</v>
      </c>
      <c r="C89" s="91" t="s">
        <v>10281</v>
      </c>
      <c r="D89" s="96" t="s">
        <v>9787</v>
      </c>
      <c r="E89" s="97" t="s">
        <v>10171</v>
      </c>
      <c r="F89" s="94" t="s">
        <v>9687</v>
      </c>
      <c r="G89" s="94" t="s">
        <v>9719</v>
      </c>
      <c r="H89" s="15" t="s">
        <v>9794</v>
      </c>
      <c r="I89" s="99">
        <v>42.8</v>
      </c>
      <c r="J89" s="99">
        <v>42.8</v>
      </c>
      <c r="K89" s="94" t="s">
        <v>9951</v>
      </c>
      <c r="L89" s="15" t="s">
        <v>9949</v>
      </c>
      <c r="M89" s="15" t="s">
        <v>9844</v>
      </c>
      <c r="N89" s="94" t="str">
        <f t="shared" si="1"/>
        <v>Sim</v>
      </c>
      <c r="O89" s="15">
        <v>0</v>
      </c>
      <c r="P89" s="15">
        <v>500</v>
      </c>
    </row>
    <row r="90" spans="1:16" ht="17.25" customHeight="1" x14ac:dyDescent="0.35">
      <c r="A90" s="110"/>
      <c r="B90" s="91" t="s">
        <v>9865</v>
      </c>
      <c r="C90" s="91" t="s">
        <v>10281</v>
      </c>
      <c r="D90" s="96" t="s">
        <v>9788</v>
      </c>
      <c r="E90" s="22" t="s">
        <v>10173</v>
      </c>
      <c r="F90" s="94" t="s">
        <v>9687</v>
      </c>
      <c r="G90" s="94" t="s">
        <v>9719</v>
      </c>
      <c r="H90" s="15" t="s">
        <v>9794</v>
      </c>
      <c r="I90" s="99">
        <v>250</v>
      </c>
      <c r="J90" s="99">
        <v>250</v>
      </c>
      <c r="K90" s="94" t="s">
        <v>9951</v>
      </c>
      <c r="L90" s="15" t="s">
        <v>9949</v>
      </c>
      <c r="M90" s="15" t="s">
        <v>9845</v>
      </c>
      <c r="N90" s="94" t="str">
        <f t="shared" si="1"/>
        <v>Sim</v>
      </c>
      <c r="O90" s="15">
        <v>0</v>
      </c>
      <c r="P90" s="15">
        <v>500</v>
      </c>
    </row>
    <row r="91" spans="1:16" ht="17.25" customHeight="1" x14ac:dyDescent="0.35">
      <c r="A91" s="110"/>
      <c r="B91" s="91" t="s">
        <v>9865</v>
      </c>
      <c r="C91" s="91" t="s">
        <v>10281</v>
      </c>
      <c r="D91" s="96" t="s">
        <v>9789</v>
      </c>
      <c r="E91" s="97" t="s">
        <v>10172</v>
      </c>
      <c r="F91" s="94" t="s">
        <v>9687</v>
      </c>
      <c r="G91" s="94" t="s">
        <v>9719</v>
      </c>
      <c r="H91" s="15" t="s">
        <v>9634</v>
      </c>
      <c r="I91" s="28">
        <v>0.47</v>
      </c>
      <c r="J91" s="28">
        <v>0.47</v>
      </c>
      <c r="K91" s="94" t="s">
        <v>9951</v>
      </c>
      <c r="L91" s="15" t="s">
        <v>9949</v>
      </c>
      <c r="M91" s="15" t="s">
        <v>9846</v>
      </c>
      <c r="N91" s="94" t="str">
        <f t="shared" si="1"/>
        <v>Sim</v>
      </c>
      <c r="O91" s="15">
        <v>0</v>
      </c>
      <c r="P91" s="15">
        <v>5</v>
      </c>
    </row>
    <row r="92" spans="1:16" ht="17.25" customHeight="1" x14ac:dyDescent="0.35">
      <c r="A92" s="110"/>
      <c r="B92" s="91" t="s">
        <v>9865</v>
      </c>
      <c r="C92" s="91" t="s">
        <v>10281</v>
      </c>
      <c r="D92" s="96" t="s">
        <v>9790</v>
      </c>
      <c r="E92" s="97" t="s">
        <v>10174</v>
      </c>
      <c r="F92" s="94" t="s">
        <v>9687</v>
      </c>
      <c r="G92" s="94" t="s">
        <v>9719</v>
      </c>
      <c r="H92" s="15" t="s">
        <v>9795</v>
      </c>
      <c r="I92" s="99">
        <v>5</v>
      </c>
      <c r="J92" s="99">
        <v>5</v>
      </c>
      <c r="K92" s="94" t="s">
        <v>9951</v>
      </c>
      <c r="L92" s="15" t="s">
        <v>9949</v>
      </c>
      <c r="M92" s="15" t="s">
        <v>9847</v>
      </c>
      <c r="N92" s="94" t="str">
        <f t="shared" si="1"/>
        <v>Sim</v>
      </c>
      <c r="O92" s="15">
        <v>0</v>
      </c>
      <c r="P92" s="15">
        <v>20</v>
      </c>
    </row>
    <row r="93" spans="1:16" ht="17.25" customHeight="1" x14ac:dyDescent="0.35">
      <c r="A93" s="110"/>
      <c r="B93" s="91" t="s">
        <v>9865</v>
      </c>
      <c r="C93" s="91" t="s">
        <v>10281</v>
      </c>
      <c r="D93" s="96" t="s">
        <v>9791</v>
      </c>
      <c r="E93" s="97" t="s">
        <v>10175</v>
      </c>
      <c r="F93" s="94" t="s">
        <v>9687</v>
      </c>
      <c r="G93" s="94" t="s">
        <v>9719</v>
      </c>
      <c r="H93" s="15" t="s">
        <v>9796</v>
      </c>
      <c r="I93" s="99">
        <v>10</v>
      </c>
      <c r="J93" s="99">
        <v>10</v>
      </c>
      <c r="K93" s="94" t="s">
        <v>9951</v>
      </c>
      <c r="L93" s="15" t="s">
        <v>9949</v>
      </c>
      <c r="M93" s="15" t="s">
        <v>9848</v>
      </c>
      <c r="N93" s="94" t="str">
        <f t="shared" si="1"/>
        <v>Sim</v>
      </c>
      <c r="O93" s="15">
        <v>0</v>
      </c>
      <c r="P93" s="15">
        <v>30</v>
      </c>
    </row>
    <row r="94" spans="1:16" ht="17.25" customHeight="1" x14ac:dyDescent="0.35">
      <c r="A94" s="110"/>
      <c r="B94" s="91" t="s">
        <v>9865</v>
      </c>
      <c r="C94" s="91" t="s">
        <v>10281</v>
      </c>
      <c r="D94" s="96" t="s">
        <v>9792</v>
      </c>
      <c r="E94" s="97" t="s">
        <v>10176</v>
      </c>
      <c r="F94" s="94" t="s">
        <v>9687</v>
      </c>
      <c r="G94" s="94" t="s">
        <v>9719</v>
      </c>
      <c r="H94" s="15" t="s">
        <v>9796</v>
      </c>
      <c r="I94" s="99">
        <v>0</v>
      </c>
      <c r="J94" s="99">
        <v>0</v>
      </c>
      <c r="K94" s="94" t="s">
        <v>9951</v>
      </c>
      <c r="L94" s="15" t="s">
        <v>9949</v>
      </c>
      <c r="M94" s="15" t="s">
        <v>9849</v>
      </c>
      <c r="N94" s="94" t="str">
        <f t="shared" si="1"/>
        <v>Sim</v>
      </c>
      <c r="O94" s="15">
        <v>0</v>
      </c>
      <c r="P94" s="15">
        <v>50</v>
      </c>
    </row>
    <row r="95" spans="1:16" ht="17.25" customHeight="1" x14ac:dyDescent="0.35">
      <c r="A95" s="110"/>
      <c r="B95" s="91" t="s">
        <v>9865</v>
      </c>
      <c r="C95" s="91" t="s">
        <v>10281</v>
      </c>
      <c r="D95" s="96" t="s">
        <v>9793</v>
      </c>
      <c r="E95" s="97" t="s">
        <v>10177</v>
      </c>
      <c r="F95" s="94" t="s">
        <v>9687</v>
      </c>
      <c r="G95" s="94" t="s">
        <v>9719</v>
      </c>
      <c r="H95" s="15" t="s">
        <v>9783</v>
      </c>
      <c r="I95" s="99">
        <v>50.5</v>
      </c>
      <c r="J95" s="99">
        <v>50.5</v>
      </c>
      <c r="K95" s="94" t="s">
        <v>9951</v>
      </c>
      <c r="L95" s="15" t="s">
        <v>9949</v>
      </c>
      <c r="M95" s="15" t="s">
        <v>9850</v>
      </c>
      <c r="N95" s="94" t="str">
        <f t="shared" si="1"/>
        <v>Sim</v>
      </c>
      <c r="O95" s="15">
        <v>0</v>
      </c>
      <c r="P95" s="15">
        <v>100</v>
      </c>
    </row>
    <row r="96" spans="1:16" ht="17.25" customHeight="1" x14ac:dyDescent="0.35">
      <c r="A96" s="110" t="s">
        <v>10019</v>
      </c>
      <c r="B96" s="91" t="s">
        <v>9865</v>
      </c>
      <c r="C96" s="91" t="s">
        <v>10282</v>
      </c>
      <c r="D96" s="96" t="s">
        <v>10040</v>
      </c>
      <c r="E96" s="97" t="s">
        <v>10260</v>
      </c>
      <c r="F96" s="94" t="s">
        <v>9687</v>
      </c>
      <c r="G96" s="94" t="s">
        <v>9719</v>
      </c>
      <c r="H96" s="15" t="s">
        <v>9962</v>
      </c>
      <c r="I96" s="99">
        <v>30</v>
      </c>
      <c r="J96" s="99">
        <v>35</v>
      </c>
      <c r="K96" s="94" t="s">
        <v>9951</v>
      </c>
      <c r="L96" s="15" t="s">
        <v>9949</v>
      </c>
      <c r="M96" s="15" t="s">
        <v>10041</v>
      </c>
      <c r="N96" s="94" t="str">
        <f t="shared" si="1"/>
        <v>Sim</v>
      </c>
      <c r="O96" s="15">
        <v>20</v>
      </c>
      <c r="P96" s="15">
        <v>35</v>
      </c>
    </row>
    <row r="97" spans="1:16" s="18" customFormat="1" ht="17.25" customHeight="1" x14ac:dyDescent="0.35">
      <c r="A97" s="110"/>
      <c r="B97" s="91" t="s">
        <v>9865</v>
      </c>
      <c r="C97" s="91" t="s">
        <v>10282</v>
      </c>
      <c r="D97" s="96" t="s">
        <v>10020</v>
      </c>
      <c r="E97" s="97" t="s">
        <v>10254</v>
      </c>
      <c r="F97" s="94" t="s">
        <v>9687</v>
      </c>
      <c r="G97" s="94" t="s">
        <v>9719</v>
      </c>
      <c r="H97" s="15" t="s">
        <v>9634</v>
      </c>
      <c r="I97" s="99">
        <v>70</v>
      </c>
      <c r="J97" s="99">
        <v>70</v>
      </c>
      <c r="K97" s="94" t="s">
        <v>9951</v>
      </c>
      <c r="L97" s="15" t="s">
        <v>9837</v>
      </c>
      <c r="M97" s="15" t="s">
        <v>10039</v>
      </c>
      <c r="N97" s="94" t="str">
        <f t="shared" si="1"/>
        <v>Sim</v>
      </c>
      <c r="O97" s="15">
        <v>0</v>
      </c>
      <c r="P97" s="15">
        <v>100</v>
      </c>
    </row>
    <row r="98" spans="1:16" ht="17.25" customHeight="1" x14ac:dyDescent="0.35">
      <c r="A98" s="110"/>
      <c r="B98" s="91" t="s">
        <v>9865</v>
      </c>
      <c r="C98" s="91" t="s">
        <v>10282</v>
      </c>
      <c r="D98" s="96" t="s">
        <v>10021</v>
      </c>
      <c r="E98" s="97" t="s">
        <v>10255</v>
      </c>
      <c r="F98" s="94" t="s">
        <v>10270</v>
      </c>
      <c r="G98" s="94" t="s">
        <v>9719</v>
      </c>
      <c r="H98" s="15" t="s">
        <v>10043</v>
      </c>
      <c r="I98" s="99" t="s">
        <v>10044</v>
      </c>
      <c r="J98" s="99" t="s">
        <v>10044</v>
      </c>
      <c r="K98" s="94" t="s">
        <v>9951</v>
      </c>
      <c r="L98" s="15" t="s">
        <v>9837</v>
      </c>
      <c r="M98" s="15" t="s">
        <v>10045</v>
      </c>
      <c r="N98" s="94" t="str">
        <f t="shared" si="1"/>
        <v>Sim</v>
      </c>
      <c r="O98" s="15" t="s">
        <v>9780</v>
      </c>
      <c r="P98" s="15" t="s">
        <v>9780</v>
      </c>
    </row>
    <row r="99" spans="1:16" ht="17.25" customHeight="1" x14ac:dyDescent="0.35">
      <c r="A99" s="110"/>
      <c r="B99" s="91" t="s">
        <v>9865</v>
      </c>
      <c r="C99" s="91" t="s">
        <v>10282</v>
      </c>
      <c r="D99" s="96" t="s">
        <v>10022</v>
      </c>
      <c r="E99" s="97" t="s">
        <v>10268</v>
      </c>
      <c r="F99" s="94" t="s">
        <v>9687</v>
      </c>
      <c r="G99" s="94" t="s">
        <v>9719</v>
      </c>
      <c r="H99" s="15" t="s">
        <v>9634</v>
      </c>
      <c r="I99" s="99">
        <v>12.5</v>
      </c>
      <c r="J99" s="99">
        <v>12.5</v>
      </c>
      <c r="K99" s="94" t="s">
        <v>9951</v>
      </c>
      <c r="L99" s="15" t="s">
        <v>9837</v>
      </c>
      <c r="M99" s="15" t="s">
        <v>9970</v>
      </c>
      <c r="N99" s="94" t="str">
        <f t="shared" si="1"/>
        <v>Sim</v>
      </c>
      <c r="O99" s="15">
        <v>0</v>
      </c>
      <c r="P99" s="15">
        <v>35</v>
      </c>
    </row>
    <row r="100" spans="1:16" ht="17.25" customHeight="1" x14ac:dyDescent="0.35">
      <c r="A100" s="110"/>
      <c r="B100" s="91" t="s">
        <v>9865</v>
      </c>
      <c r="C100" s="91" t="s">
        <v>10282</v>
      </c>
      <c r="D100" s="96" t="s">
        <v>10023</v>
      </c>
      <c r="E100" s="97" t="s">
        <v>10256</v>
      </c>
      <c r="F100" s="94" t="s">
        <v>9687</v>
      </c>
      <c r="G100" s="94" t="s">
        <v>9719</v>
      </c>
      <c r="H100" s="15" t="s">
        <v>9634</v>
      </c>
      <c r="I100" s="99">
        <v>4.3499999999999996</v>
      </c>
      <c r="J100" s="99">
        <v>4.3499999999999996</v>
      </c>
      <c r="K100" s="94" t="s">
        <v>9951</v>
      </c>
      <c r="L100" s="15" t="s">
        <v>9837</v>
      </c>
      <c r="M100" s="15" t="s">
        <v>10046</v>
      </c>
      <c r="N100" s="94" t="str">
        <f t="shared" si="1"/>
        <v>Sim</v>
      </c>
      <c r="O100" s="15">
        <v>0</v>
      </c>
      <c r="P100" s="15">
        <v>25</v>
      </c>
    </row>
    <row r="101" spans="1:16" ht="17.25" customHeight="1" x14ac:dyDescent="0.35">
      <c r="A101" s="110"/>
      <c r="B101" s="91" t="s">
        <v>9865</v>
      </c>
      <c r="C101" s="91" t="s">
        <v>10282</v>
      </c>
      <c r="D101" s="96" t="s">
        <v>10024</v>
      </c>
      <c r="E101" s="97" t="s">
        <v>10257</v>
      </c>
      <c r="F101" s="94" t="s">
        <v>10029</v>
      </c>
      <c r="G101" s="94" t="s">
        <v>9719</v>
      </c>
      <c r="H101" s="15" t="s">
        <v>9962</v>
      </c>
      <c r="I101" s="99">
        <v>20</v>
      </c>
      <c r="J101" s="99">
        <v>20</v>
      </c>
      <c r="K101" s="94" t="s">
        <v>9951</v>
      </c>
      <c r="L101" s="15" t="s">
        <v>9837</v>
      </c>
      <c r="M101" s="15" t="s">
        <v>10047</v>
      </c>
      <c r="N101" s="94" t="str">
        <f t="shared" si="1"/>
        <v>Sim</v>
      </c>
      <c r="O101" s="15">
        <v>5</v>
      </c>
      <c r="P101" s="15">
        <v>35</v>
      </c>
    </row>
    <row r="102" spans="1:16" ht="17.25" customHeight="1" x14ac:dyDescent="0.35">
      <c r="A102" s="110"/>
      <c r="B102" s="91" t="s">
        <v>9865</v>
      </c>
      <c r="C102" s="91" t="s">
        <v>10282</v>
      </c>
      <c r="D102" s="96" t="s">
        <v>10025</v>
      </c>
      <c r="E102" s="97" t="s">
        <v>10258</v>
      </c>
      <c r="F102" s="94" t="s">
        <v>10029</v>
      </c>
      <c r="G102" s="94" t="s">
        <v>9719</v>
      </c>
      <c r="H102" s="15" t="s">
        <v>9962</v>
      </c>
      <c r="I102" s="99">
        <v>2</v>
      </c>
      <c r="J102" s="99">
        <v>2</v>
      </c>
      <c r="K102" s="94" t="s">
        <v>9951</v>
      </c>
      <c r="L102" s="15" t="s">
        <v>9837</v>
      </c>
      <c r="M102" s="15" t="s">
        <v>10048</v>
      </c>
      <c r="N102" s="94" t="str">
        <f t="shared" si="1"/>
        <v>Sim</v>
      </c>
      <c r="O102" s="15">
        <v>0</v>
      </c>
      <c r="P102" s="15">
        <v>5</v>
      </c>
    </row>
    <row r="103" spans="1:16" ht="17.25" customHeight="1" x14ac:dyDescent="0.35">
      <c r="A103" s="110"/>
      <c r="B103" s="91" t="s">
        <v>9865</v>
      </c>
      <c r="C103" s="91" t="s">
        <v>10282</v>
      </c>
      <c r="D103" s="96" t="s">
        <v>10478</v>
      </c>
      <c r="E103" s="97" t="s">
        <v>10486</v>
      </c>
      <c r="F103" s="94" t="s">
        <v>9687</v>
      </c>
      <c r="G103" s="94" t="s">
        <v>9720</v>
      </c>
      <c r="H103" s="15" t="s">
        <v>9634</v>
      </c>
      <c r="I103" s="99">
        <f>J103</f>
        <v>5</v>
      </c>
      <c r="J103" s="99">
        <v>5</v>
      </c>
      <c r="K103" s="94" t="s">
        <v>9780</v>
      </c>
      <c r="L103" s="94" t="s">
        <v>9780</v>
      </c>
      <c r="M103" s="94" t="s">
        <v>9780</v>
      </c>
      <c r="N103" s="94" t="str">
        <f t="shared" si="1"/>
        <v>Sim</v>
      </c>
      <c r="O103" s="15">
        <v>0</v>
      </c>
      <c r="P103" s="15">
        <v>35</v>
      </c>
    </row>
    <row r="104" spans="1:16" ht="17.25" customHeight="1" x14ac:dyDescent="0.35">
      <c r="A104" s="110"/>
      <c r="B104" s="91" t="s">
        <v>9865</v>
      </c>
      <c r="C104" s="91" t="s">
        <v>10282</v>
      </c>
      <c r="D104" s="96" t="s">
        <v>10479</v>
      </c>
      <c r="E104" s="97" t="s">
        <v>10487</v>
      </c>
      <c r="F104" s="94" t="s">
        <v>9687</v>
      </c>
      <c r="G104" s="94" t="s">
        <v>9720</v>
      </c>
      <c r="H104" s="15" t="s">
        <v>9634</v>
      </c>
      <c r="I104" s="99">
        <f t="shared" ref="I104:I110" si="2">J104</f>
        <v>5</v>
      </c>
      <c r="J104" s="99">
        <v>5</v>
      </c>
      <c r="K104" s="94" t="s">
        <v>9780</v>
      </c>
      <c r="L104" s="94" t="s">
        <v>9780</v>
      </c>
      <c r="M104" s="94" t="s">
        <v>9780</v>
      </c>
      <c r="N104" s="94" t="str">
        <f t="shared" si="1"/>
        <v>Sim</v>
      </c>
      <c r="O104" s="15">
        <v>0</v>
      </c>
      <c r="P104" s="15">
        <v>25</v>
      </c>
    </row>
    <row r="105" spans="1:16" ht="17.25" customHeight="1" x14ac:dyDescent="0.35">
      <c r="A105" s="110"/>
      <c r="B105" s="91" t="s">
        <v>9865</v>
      </c>
      <c r="C105" s="91" t="s">
        <v>10282</v>
      </c>
      <c r="D105" s="96" t="s">
        <v>10480</v>
      </c>
      <c r="E105" s="97" t="s">
        <v>10488</v>
      </c>
      <c r="F105" s="94" t="s">
        <v>10029</v>
      </c>
      <c r="G105" s="94" t="s">
        <v>9720</v>
      </c>
      <c r="H105" s="15" t="s">
        <v>9962</v>
      </c>
      <c r="I105" s="99">
        <f t="shared" si="2"/>
        <v>5</v>
      </c>
      <c r="J105" s="99">
        <v>5</v>
      </c>
      <c r="K105" s="94" t="s">
        <v>9780</v>
      </c>
      <c r="L105" s="94" t="s">
        <v>9780</v>
      </c>
      <c r="M105" s="94" t="s">
        <v>9780</v>
      </c>
      <c r="N105" s="94" t="str">
        <f t="shared" si="1"/>
        <v>Sim</v>
      </c>
      <c r="O105" s="15">
        <v>5</v>
      </c>
      <c r="P105" s="15">
        <v>35</v>
      </c>
    </row>
    <row r="106" spans="1:16" ht="17.25" customHeight="1" x14ac:dyDescent="0.35">
      <c r="A106" s="110"/>
      <c r="B106" s="91" t="s">
        <v>9865</v>
      </c>
      <c r="C106" s="91" t="s">
        <v>10282</v>
      </c>
      <c r="D106" s="96" t="s">
        <v>10481</v>
      </c>
      <c r="E106" s="97" t="s">
        <v>10489</v>
      </c>
      <c r="F106" s="94" t="s">
        <v>10029</v>
      </c>
      <c r="G106" s="94" t="s">
        <v>9720</v>
      </c>
      <c r="H106" s="15" t="s">
        <v>9962</v>
      </c>
      <c r="I106" s="99">
        <f t="shared" si="2"/>
        <v>5</v>
      </c>
      <c r="J106" s="99">
        <v>5</v>
      </c>
      <c r="K106" s="94" t="s">
        <v>9780</v>
      </c>
      <c r="L106" s="94" t="s">
        <v>9780</v>
      </c>
      <c r="M106" s="94" t="s">
        <v>9780</v>
      </c>
      <c r="N106" s="94" t="str">
        <f t="shared" si="1"/>
        <v>Sim</v>
      </c>
      <c r="O106" s="15">
        <v>0</v>
      </c>
      <c r="P106" s="15">
        <v>5</v>
      </c>
    </row>
    <row r="107" spans="1:16" ht="17.25" customHeight="1" x14ac:dyDescent="0.35">
      <c r="A107" s="110"/>
      <c r="B107" s="91" t="s">
        <v>9865</v>
      </c>
      <c r="C107" s="91" t="s">
        <v>10282</v>
      </c>
      <c r="D107" s="96" t="s">
        <v>10482</v>
      </c>
      <c r="E107" s="97" t="s">
        <v>10490</v>
      </c>
      <c r="F107" s="94" t="s">
        <v>9687</v>
      </c>
      <c r="G107" s="94" t="s">
        <v>9720</v>
      </c>
      <c r="H107" s="15" t="s">
        <v>9634</v>
      </c>
      <c r="I107" s="99">
        <f t="shared" si="2"/>
        <v>10</v>
      </c>
      <c r="J107" s="99">
        <v>10</v>
      </c>
      <c r="K107" s="94" t="s">
        <v>9780</v>
      </c>
      <c r="L107" s="94" t="s">
        <v>9780</v>
      </c>
      <c r="M107" s="94" t="s">
        <v>9780</v>
      </c>
      <c r="N107" s="94" t="str">
        <f t="shared" si="1"/>
        <v>Sim</v>
      </c>
      <c r="O107" s="15">
        <v>0</v>
      </c>
      <c r="P107" s="15">
        <v>35</v>
      </c>
    </row>
    <row r="108" spans="1:16" ht="17.25" customHeight="1" x14ac:dyDescent="0.35">
      <c r="A108" s="110"/>
      <c r="B108" s="91" t="s">
        <v>9865</v>
      </c>
      <c r="C108" s="91" t="s">
        <v>10282</v>
      </c>
      <c r="D108" s="96" t="s">
        <v>10483</v>
      </c>
      <c r="E108" s="97" t="s">
        <v>10491</v>
      </c>
      <c r="F108" s="94" t="s">
        <v>9687</v>
      </c>
      <c r="G108" s="94" t="s">
        <v>9720</v>
      </c>
      <c r="H108" s="15" t="s">
        <v>9634</v>
      </c>
      <c r="I108" s="99">
        <f t="shared" si="2"/>
        <v>10</v>
      </c>
      <c r="J108" s="99">
        <v>10</v>
      </c>
      <c r="K108" s="94" t="s">
        <v>9780</v>
      </c>
      <c r="L108" s="94" t="s">
        <v>9780</v>
      </c>
      <c r="M108" s="94" t="s">
        <v>9780</v>
      </c>
      <c r="N108" s="94" t="str">
        <f t="shared" si="1"/>
        <v>Sim</v>
      </c>
      <c r="O108" s="15">
        <v>0</v>
      </c>
      <c r="P108" s="15">
        <v>25</v>
      </c>
    </row>
    <row r="109" spans="1:16" ht="17.25" customHeight="1" x14ac:dyDescent="0.35">
      <c r="A109" s="110"/>
      <c r="B109" s="91" t="s">
        <v>9865</v>
      </c>
      <c r="C109" s="91" t="s">
        <v>10282</v>
      </c>
      <c r="D109" s="96" t="s">
        <v>10484</v>
      </c>
      <c r="E109" s="97" t="s">
        <v>10492</v>
      </c>
      <c r="F109" s="94" t="s">
        <v>10029</v>
      </c>
      <c r="G109" s="94" t="s">
        <v>9720</v>
      </c>
      <c r="H109" s="15" t="s">
        <v>9962</v>
      </c>
      <c r="I109" s="99">
        <f t="shared" si="2"/>
        <v>10</v>
      </c>
      <c r="J109" s="99">
        <v>10</v>
      </c>
      <c r="K109" s="94" t="s">
        <v>9780</v>
      </c>
      <c r="L109" s="94" t="s">
        <v>9780</v>
      </c>
      <c r="M109" s="94" t="s">
        <v>9780</v>
      </c>
      <c r="N109" s="94" t="str">
        <f t="shared" si="1"/>
        <v>Sim</v>
      </c>
      <c r="O109" s="15">
        <v>5</v>
      </c>
      <c r="P109" s="15">
        <v>35</v>
      </c>
    </row>
    <row r="110" spans="1:16" ht="17.25" customHeight="1" x14ac:dyDescent="0.35">
      <c r="A110" s="110"/>
      <c r="B110" s="91" t="s">
        <v>9865</v>
      </c>
      <c r="C110" s="91" t="s">
        <v>10282</v>
      </c>
      <c r="D110" s="96" t="s">
        <v>10485</v>
      </c>
      <c r="E110" s="97" t="s">
        <v>10493</v>
      </c>
      <c r="F110" s="94" t="s">
        <v>10029</v>
      </c>
      <c r="G110" s="94" t="s">
        <v>9720</v>
      </c>
      <c r="H110" s="15" t="s">
        <v>9962</v>
      </c>
      <c r="I110" s="99">
        <f t="shared" si="2"/>
        <v>0</v>
      </c>
      <c r="J110" s="99">
        <v>0</v>
      </c>
      <c r="K110" s="94" t="s">
        <v>9780</v>
      </c>
      <c r="L110" s="94" t="s">
        <v>9780</v>
      </c>
      <c r="M110" s="94" t="s">
        <v>9780</v>
      </c>
      <c r="N110" s="94" t="str">
        <f t="shared" si="1"/>
        <v>Sim</v>
      </c>
      <c r="O110" s="15">
        <v>0</v>
      </c>
      <c r="P110" s="15">
        <v>5</v>
      </c>
    </row>
    <row r="111" spans="1:16" ht="17.25" customHeight="1" x14ac:dyDescent="0.35">
      <c r="A111" s="110"/>
      <c r="B111" s="91" t="s">
        <v>9865</v>
      </c>
      <c r="C111" s="91" t="s">
        <v>10282</v>
      </c>
      <c r="D111" s="96" t="s">
        <v>10026</v>
      </c>
      <c r="E111" s="97" t="s">
        <v>10259</v>
      </c>
      <c r="F111" s="94" t="s">
        <v>9687</v>
      </c>
      <c r="G111" s="94" t="s">
        <v>9719</v>
      </c>
      <c r="H111" s="15" t="s">
        <v>9634</v>
      </c>
      <c r="I111" s="99">
        <v>4.3499999999999996</v>
      </c>
      <c r="J111" s="99">
        <v>4.3499999999999996</v>
      </c>
      <c r="K111" s="94" t="s">
        <v>9951</v>
      </c>
      <c r="L111" s="15" t="s">
        <v>9837</v>
      </c>
      <c r="M111" s="15" t="s">
        <v>10042</v>
      </c>
      <c r="N111" s="94" t="str">
        <f t="shared" si="1"/>
        <v>Sim</v>
      </c>
      <c r="O111" s="15">
        <v>0</v>
      </c>
      <c r="P111" s="15">
        <v>25</v>
      </c>
    </row>
    <row r="112" spans="1:16" ht="17.25" customHeight="1" x14ac:dyDescent="0.35">
      <c r="A112" s="110"/>
      <c r="B112" s="91" t="s">
        <v>9865</v>
      </c>
      <c r="C112" s="91" t="s">
        <v>10282</v>
      </c>
      <c r="D112" s="96" t="s">
        <v>10028</v>
      </c>
      <c r="E112" s="97" t="s">
        <v>10058</v>
      </c>
      <c r="F112" s="94" t="s">
        <v>10270</v>
      </c>
      <c r="G112" s="94" t="s">
        <v>9719</v>
      </c>
      <c r="H112" s="15" t="s">
        <v>10272</v>
      </c>
      <c r="I112" s="99" t="s">
        <v>10165</v>
      </c>
      <c r="J112" s="99" t="s">
        <v>10165</v>
      </c>
      <c r="K112" s="94" t="s">
        <v>9780</v>
      </c>
      <c r="L112" s="15" t="s">
        <v>9780</v>
      </c>
      <c r="M112" s="15" t="s">
        <v>9780</v>
      </c>
      <c r="N112" s="94" t="str">
        <f t="shared" si="1"/>
        <v>Sim</v>
      </c>
      <c r="O112" s="15" t="s">
        <v>9780</v>
      </c>
      <c r="P112" s="15" t="s">
        <v>9780</v>
      </c>
    </row>
    <row r="113" spans="1:16" ht="17.25" customHeight="1" x14ac:dyDescent="0.35">
      <c r="A113" s="110"/>
      <c r="B113" s="91" t="s">
        <v>9865</v>
      </c>
      <c r="C113" s="91" t="s">
        <v>10282</v>
      </c>
      <c r="D113" s="96" t="s">
        <v>10027</v>
      </c>
      <c r="E113" s="97" t="s">
        <v>10059</v>
      </c>
      <c r="F113" s="94" t="s">
        <v>9687</v>
      </c>
      <c r="G113" s="94" t="s">
        <v>9719</v>
      </c>
      <c r="H113" s="15" t="s">
        <v>9780</v>
      </c>
      <c r="I113" s="99">
        <v>0</v>
      </c>
      <c r="J113" s="99">
        <v>0</v>
      </c>
      <c r="K113" s="94" t="s">
        <v>9780</v>
      </c>
      <c r="L113" s="15" t="s">
        <v>9780</v>
      </c>
      <c r="M113" s="15" t="s">
        <v>9780</v>
      </c>
      <c r="N113" s="94" t="str">
        <f t="shared" si="1"/>
        <v>Sim</v>
      </c>
      <c r="O113" s="15">
        <v>0</v>
      </c>
      <c r="P113" s="15">
        <v>100000000</v>
      </c>
    </row>
    <row r="114" spans="1:16" s="18" customFormat="1" ht="17.25" customHeight="1" x14ac:dyDescent="0.35">
      <c r="A114" s="110"/>
      <c r="B114" s="91" t="s">
        <v>9865</v>
      </c>
      <c r="C114" s="91" t="s">
        <v>10282</v>
      </c>
      <c r="D114" s="96" t="s">
        <v>10030</v>
      </c>
      <c r="E114" s="97" t="s">
        <v>10261</v>
      </c>
      <c r="F114" s="94" t="s">
        <v>9687</v>
      </c>
      <c r="G114" s="94" t="s">
        <v>9719</v>
      </c>
      <c r="H114" s="15" t="s">
        <v>9634</v>
      </c>
      <c r="I114" s="99">
        <v>30</v>
      </c>
      <c r="J114" s="99">
        <v>30</v>
      </c>
      <c r="K114" s="94" t="s">
        <v>9951</v>
      </c>
      <c r="L114" s="15" t="s">
        <v>9837</v>
      </c>
      <c r="M114" s="15" t="s">
        <v>10049</v>
      </c>
      <c r="N114" s="94" t="str">
        <f t="shared" si="1"/>
        <v>Sim</v>
      </c>
      <c r="O114" s="15">
        <v>0</v>
      </c>
      <c r="P114" s="15">
        <v>100</v>
      </c>
    </row>
    <row r="115" spans="1:16" ht="17.25" customHeight="1" x14ac:dyDescent="0.35">
      <c r="A115" s="110"/>
      <c r="B115" s="91" t="s">
        <v>9865</v>
      </c>
      <c r="C115" s="91" t="s">
        <v>10282</v>
      </c>
      <c r="D115" s="96" t="s">
        <v>10031</v>
      </c>
      <c r="E115" s="97" t="s">
        <v>10262</v>
      </c>
      <c r="F115" s="94" t="s">
        <v>9642</v>
      </c>
      <c r="G115" s="94" t="s">
        <v>9719</v>
      </c>
      <c r="H115" s="15" t="s">
        <v>10043</v>
      </c>
      <c r="I115" s="99" t="s">
        <v>10044</v>
      </c>
      <c r="J115" s="99" t="s">
        <v>10044</v>
      </c>
      <c r="K115" s="94" t="s">
        <v>9951</v>
      </c>
      <c r="L115" s="15" t="s">
        <v>9837</v>
      </c>
      <c r="M115" s="15" t="s">
        <v>10050</v>
      </c>
      <c r="N115" s="94" t="str">
        <f t="shared" si="1"/>
        <v>Sim</v>
      </c>
      <c r="O115" s="15" t="s">
        <v>9780</v>
      </c>
      <c r="P115" s="15" t="s">
        <v>9780</v>
      </c>
    </row>
    <row r="116" spans="1:16" ht="17.25" customHeight="1" x14ac:dyDescent="0.35">
      <c r="A116" s="110"/>
      <c r="B116" s="91" t="s">
        <v>9865</v>
      </c>
      <c r="C116" s="91" t="s">
        <v>10282</v>
      </c>
      <c r="D116" s="96" t="s">
        <v>10032</v>
      </c>
      <c r="E116" s="97" t="s">
        <v>10269</v>
      </c>
      <c r="F116" s="94" t="s">
        <v>9687</v>
      </c>
      <c r="G116" s="94" t="s">
        <v>9719</v>
      </c>
      <c r="H116" s="15" t="s">
        <v>9634</v>
      </c>
      <c r="I116" s="99">
        <v>12.5</v>
      </c>
      <c r="J116" s="99">
        <v>12.5</v>
      </c>
      <c r="K116" s="94" t="s">
        <v>9951</v>
      </c>
      <c r="L116" s="15" t="s">
        <v>9837</v>
      </c>
      <c r="M116" s="15" t="s">
        <v>10051</v>
      </c>
      <c r="N116" s="94" t="str">
        <f t="shared" si="1"/>
        <v>Sim</v>
      </c>
      <c r="O116" s="15">
        <v>0</v>
      </c>
      <c r="P116" s="15">
        <v>35</v>
      </c>
    </row>
    <row r="117" spans="1:16" ht="17.25" customHeight="1" x14ac:dyDescent="0.35">
      <c r="A117" s="110"/>
      <c r="B117" s="91" t="s">
        <v>9865</v>
      </c>
      <c r="C117" s="91" t="s">
        <v>10282</v>
      </c>
      <c r="D117" s="96" t="s">
        <v>10033</v>
      </c>
      <c r="E117" s="97" t="s">
        <v>10263</v>
      </c>
      <c r="F117" s="94" t="s">
        <v>9687</v>
      </c>
      <c r="G117" s="94" t="s">
        <v>9719</v>
      </c>
      <c r="H117" s="15" t="s">
        <v>9634</v>
      </c>
      <c r="I117" s="99">
        <v>4.3499999999999996</v>
      </c>
      <c r="J117" s="99">
        <v>4.3499999999999996</v>
      </c>
      <c r="K117" s="94" t="s">
        <v>9951</v>
      </c>
      <c r="L117" s="15" t="s">
        <v>9837</v>
      </c>
      <c r="M117" s="15" t="s">
        <v>10052</v>
      </c>
      <c r="N117" s="94" t="str">
        <f t="shared" si="1"/>
        <v>Sim</v>
      </c>
      <c r="O117" s="15">
        <v>0</v>
      </c>
      <c r="P117" s="15">
        <v>25</v>
      </c>
    </row>
    <row r="118" spans="1:16" ht="17.25" customHeight="1" x14ac:dyDescent="0.35">
      <c r="A118" s="110"/>
      <c r="B118" s="91" t="s">
        <v>9865</v>
      </c>
      <c r="C118" s="91" t="s">
        <v>10282</v>
      </c>
      <c r="D118" s="96" t="s">
        <v>10034</v>
      </c>
      <c r="E118" s="97" t="s">
        <v>10264</v>
      </c>
      <c r="F118" s="94" t="s">
        <v>10029</v>
      </c>
      <c r="G118" s="94" t="s">
        <v>9719</v>
      </c>
      <c r="H118" s="15" t="s">
        <v>9962</v>
      </c>
      <c r="I118" s="99">
        <v>20</v>
      </c>
      <c r="J118" s="99">
        <v>20</v>
      </c>
      <c r="K118" s="94" t="s">
        <v>9951</v>
      </c>
      <c r="L118" s="15" t="s">
        <v>9837</v>
      </c>
      <c r="M118" s="15" t="s">
        <v>10053</v>
      </c>
      <c r="N118" s="94" t="str">
        <f t="shared" si="1"/>
        <v>Sim</v>
      </c>
      <c r="O118" s="15">
        <v>5</v>
      </c>
      <c r="P118" s="15">
        <v>35</v>
      </c>
    </row>
    <row r="119" spans="1:16" ht="17.25" customHeight="1" x14ac:dyDescent="0.35">
      <c r="A119" s="110"/>
      <c r="B119" s="91" t="s">
        <v>9865</v>
      </c>
      <c r="C119" s="91" t="s">
        <v>10282</v>
      </c>
      <c r="D119" s="96" t="s">
        <v>10035</v>
      </c>
      <c r="E119" s="97" t="s">
        <v>10265</v>
      </c>
      <c r="F119" s="94" t="s">
        <v>10029</v>
      </c>
      <c r="G119" s="94" t="s">
        <v>9719</v>
      </c>
      <c r="H119" s="15" t="s">
        <v>9962</v>
      </c>
      <c r="I119" s="99">
        <v>2</v>
      </c>
      <c r="J119" s="99">
        <v>2</v>
      </c>
      <c r="K119" s="94" t="s">
        <v>9951</v>
      </c>
      <c r="L119" s="15" t="s">
        <v>9837</v>
      </c>
      <c r="M119" s="15" t="s">
        <v>10054</v>
      </c>
      <c r="N119" s="94" t="str">
        <f t="shared" si="1"/>
        <v>Sim</v>
      </c>
      <c r="O119" s="15">
        <v>0</v>
      </c>
      <c r="P119" s="15">
        <v>5</v>
      </c>
    </row>
    <row r="120" spans="1:16" ht="17.25" customHeight="1" x14ac:dyDescent="0.35">
      <c r="A120" s="110"/>
      <c r="B120" s="91" t="s">
        <v>9865</v>
      </c>
      <c r="C120" s="91" t="s">
        <v>10282</v>
      </c>
      <c r="D120" s="96" t="s">
        <v>10494</v>
      </c>
      <c r="E120" s="97" t="s">
        <v>10502</v>
      </c>
      <c r="F120" s="94" t="s">
        <v>9687</v>
      </c>
      <c r="G120" s="94" t="s">
        <v>9720</v>
      </c>
      <c r="H120" s="15" t="s">
        <v>9634</v>
      </c>
      <c r="I120" s="99">
        <f>J120</f>
        <v>5</v>
      </c>
      <c r="J120" s="99">
        <v>5</v>
      </c>
      <c r="K120" s="94" t="s">
        <v>9780</v>
      </c>
      <c r="L120" s="94" t="s">
        <v>9780</v>
      </c>
      <c r="M120" s="94" t="s">
        <v>9780</v>
      </c>
      <c r="N120" s="94" t="str">
        <f t="shared" si="1"/>
        <v>Sim</v>
      </c>
      <c r="O120" s="15">
        <v>0</v>
      </c>
      <c r="P120" s="15">
        <v>35</v>
      </c>
    </row>
    <row r="121" spans="1:16" ht="17.25" customHeight="1" x14ac:dyDescent="0.35">
      <c r="A121" s="110"/>
      <c r="B121" s="91" t="s">
        <v>9865</v>
      </c>
      <c r="C121" s="91" t="s">
        <v>10282</v>
      </c>
      <c r="D121" s="96" t="s">
        <v>10495</v>
      </c>
      <c r="E121" s="97" t="s">
        <v>10503</v>
      </c>
      <c r="F121" s="94" t="s">
        <v>9687</v>
      </c>
      <c r="G121" s="94" t="s">
        <v>9720</v>
      </c>
      <c r="H121" s="15" t="s">
        <v>9634</v>
      </c>
      <c r="I121" s="99">
        <f t="shared" ref="I121:I127" si="3">J121</f>
        <v>5</v>
      </c>
      <c r="J121" s="99">
        <v>5</v>
      </c>
      <c r="K121" s="94" t="s">
        <v>9780</v>
      </c>
      <c r="L121" s="94" t="s">
        <v>9780</v>
      </c>
      <c r="M121" s="94" t="s">
        <v>9780</v>
      </c>
      <c r="N121" s="94" t="str">
        <f t="shared" si="1"/>
        <v>Sim</v>
      </c>
      <c r="O121" s="15">
        <v>0</v>
      </c>
      <c r="P121" s="15">
        <v>25</v>
      </c>
    </row>
    <row r="122" spans="1:16" ht="17.25" customHeight="1" x14ac:dyDescent="0.35">
      <c r="A122" s="110"/>
      <c r="B122" s="91" t="s">
        <v>9865</v>
      </c>
      <c r="C122" s="91" t="s">
        <v>10282</v>
      </c>
      <c r="D122" s="96" t="s">
        <v>10496</v>
      </c>
      <c r="E122" s="97" t="s">
        <v>10504</v>
      </c>
      <c r="F122" s="94" t="s">
        <v>10029</v>
      </c>
      <c r="G122" s="94" t="s">
        <v>9720</v>
      </c>
      <c r="H122" s="15" t="s">
        <v>9962</v>
      </c>
      <c r="I122" s="99">
        <f t="shared" si="3"/>
        <v>5</v>
      </c>
      <c r="J122" s="99">
        <v>5</v>
      </c>
      <c r="K122" s="94" t="s">
        <v>9780</v>
      </c>
      <c r="L122" s="94" t="s">
        <v>9780</v>
      </c>
      <c r="M122" s="94" t="s">
        <v>9780</v>
      </c>
      <c r="N122" s="94" t="str">
        <f t="shared" si="1"/>
        <v>Sim</v>
      </c>
      <c r="O122" s="15">
        <v>5</v>
      </c>
      <c r="P122" s="15">
        <v>35</v>
      </c>
    </row>
    <row r="123" spans="1:16" ht="17.25" customHeight="1" x14ac:dyDescent="0.35">
      <c r="A123" s="110"/>
      <c r="B123" s="91" t="s">
        <v>9865</v>
      </c>
      <c r="C123" s="91" t="s">
        <v>10282</v>
      </c>
      <c r="D123" s="96" t="s">
        <v>10497</v>
      </c>
      <c r="E123" s="97" t="s">
        <v>10505</v>
      </c>
      <c r="F123" s="94" t="s">
        <v>10029</v>
      </c>
      <c r="G123" s="94" t="s">
        <v>9720</v>
      </c>
      <c r="H123" s="15" t="s">
        <v>9962</v>
      </c>
      <c r="I123" s="99">
        <f t="shared" si="3"/>
        <v>5</v>
      </c>
      <c r="J123" s="99">
        <v>5</v>
      </c>
      <c r="K123" s="94" t="s">
        <v>9780</v>
      </c>
      <c r="L123" s="94" t="s">
        <v>9780</v>
      </c>
      <c r="M123" s="94" t="s">
        <v>9780</v>
      </c>
      <c r="N123" s="94" t="str">
        <f t="shared" si="1"/>
        <v>Sim</v>
      </c>
      <c r="O123" s="15">
        <v>0</v>
      </c>
      <c r="P123" s="15">
        <v>5</v>
      </c>
    </row>
    <row r="124" spans="1:16" ht="17.25" customHeight="1" x14ac:dyDescent="0.35">
      <c r="A124" s="110"/>
      <c r="B124" s="91" t="s">
        <v>9865</v>
      </c>
      <c r="C124" s="91" t="s">
        <v>10282</v>
      </c>
      <c r="D124" s="96" t="s">
        <v>10498</v>
      </c>
      <c r="E124" s="97" t="s">
        <v>10506</v>
      </c>
      <c r="F124" s="94" t="s">
        <v>9687</v>
      </c>
      <c r="G124" s="94" t="s">
        <v>9720</v>
      </c>
      <c r="H124" s="15" t="s">
        <v>9634</v>
      </c>
      <c r="I124" s="99">
        <f t="shared" si="3"/>
        <v>10</v>
      </c>
      <c r="J124" s="99">
        <v>10</v>
      </c>
      <c r="K124" s="94" t="s">
        <v>9780</v>
      </c>
      <c r="L124" s="94" t="s">
        <v>9780</v>
      </c>
      <c r="M124" s="94" t="s">
        <v>9780</v>
      </c>
      <c r="N124" s="94" t="str">
        <f t="shared" si="1"/>
        <v>Sim</v>
      </c>
      <c r="O124" s="15">
        <v>0</v>
      </c>
      <c r="P124" s="15">
        <v>35</v>
      </c>
    </row>
    <row r="125" spans="1:16" ht="17.25" customHeight="1" x14ac:dyDescent="0.35">
      <c r="A125" s="110"/>
      <c r="B125" s="91" t="s">
        <v>9865</v>
      </c>
      <c r="C125" s="91" t="s">
        <v>10282</v>
      </c>
      <c r="D125" s="96" t="s">
        <v>10499</v>
      </c>
      <c r="E125" s="97" t="s">
        <v>10507</v>
      </c>
      <c r="F125" s="94" t="s">
        <v>9687</v>
      </c>
      <c r="G125" s="94" t="s">
        <v>9720</v>
      </c>
      <c r="H125" s="15" t="s">
        <v>9634</v>
      </c>
      <c r="I125" s="99">
        <f t="shared" si="3"/>
        <v>10</v>
      </c>
      <c r="J125" s="99">
        <v>10</v>
      </c>
      <c r="K125" s="94" t="s">
        <v>9780</v>
      </c>
      <c r="L125" s="94" t="s">
        <v>9780</v>
      </c>
      <c r="M125" s="94" t="s">
        <v>9780</v>
      </c>
      <c r="N125" s="94" t="str">
        <f t="shared" si="1"/>
        <v>Sim</v>
      </c>
      <c r="O125" s="15">
        <v>0</v>
      </c>
      <c r="P125" s="15">
        <v>25</v>
      </c>
    </row>
    <row r="126" spans="1:16" ht="17.25" customHeight="1" x14ac:dyDescent="0.35">
      <c r="A126" s="110"/>
      <c r="B126" s="91" t="s">
        <v>9865</v>
      </c>
      <c r="C126" s="91" t="s">
        <v>10282</v>
      </c>
      <c r="D126" s="96" t="s">
        <v>10500</v>
      </c>
      <c r="E126" s="97" t="s">
        <v>10508</v>
      </c>
      <c r="F126" s="94" t="s">
        <v>10029</v>
      </c>
      <c r="G126" s="94" t="s">
        <v>9720</v>
      </c>
      <c r="H126" s="15" t="s">
        <v>9962</v>
      </c>
      <c r="I126" s="99">
        <f t="shared" si="3"/>
        <v>10</v>
      </c>
      <c r="J126" s="99">
        <v>10</v>
      </c>
      <c r="K126" s="94" t="s">
        <v>9780</v>
      </c>
      <c r="L126" s="94" t="s">
        <v>9780</v>
      </c>
      <c r="M126" s="94" t="s">
        <v>9780</v>
      </c>
      <c r="N126" s="94" t="str">
        <f t="shared" si="1"/>
        <v>Sim</v>
      </c>
      <c r="O126" s="15">
        <v>5</v>
      </c>
      <c r="P126" s="15">
        <v>35</v>
      </c>
    </row>
    <row r="127" spans="1:16" ht="17.25" customHeight="1" x14ac:dyDescent="0.35">
      <c r="A127" s="110"/>
      <c r="B127" s="91" t="s">
        <v>9865</v>
      </c>
      <c r="C127" s="91" t="s">
        <v>10282</v>
      </c>
      <c r="D127" s="96" t="s">
        <v>10501</v>
      </c>
      <c r="E127" s="97" t="s">
        <v>10509</v>
      </c>
      <c r="F127" s="94" t="s">
        <v>10029</v>
      </c>
      <c r="G127" s="94" t="s">
        <v>9720</v>
      </c>
      <c r="H127" s="15" t="s">
        <v>9962</v>
      </c>
      <c r="I127" s="99">
        <f t="shared" si="3"/>
        <v>0</v>
      </c>
      <c r="J127" s="99">
        <v>0</v>
      </c>
      <c r="K127" s="94" t="s">
        <v>9780</v>
      </c>
      <c r="L127" s="94" t="s">
        <v>9780</v>
      </c>
      <c r="M127" s="94" t="s">
        <v>9780</v>
      </c>
      <c r="N127" s="94" t="str">
        <f t="shared" si="1"/>
        <v>Sim</v>
      </c>
      <c r="O127" s="15">
        <v>0</v>
      </c>
      <c r="P127" s="15">
        <v>5</v>
      </c>
    </row>
    <row r="128" spans="1:16" ht="17.25" customHeight="1" x14ac:dyDescent="0.35">
      <c r="A128" s="110"/>
      <c r="B128" s="91" t="s">
        <v>9865</v>
      </c>
      <c r="C128" s="91" t="s">
        <v>10282</v>
      </c>
      <c r="D128" s="96" t="s">
        <v>10036</v>
      </c>
      <c r="E128" s="97" t="s">
        <v>10266</v>
      </c>
      <c r="F128" s="94" t="s">
        <v>9687</v>
      </c>
      <c r="G128" s="94" t="s">
        <v>9719</v>
      </c>
      <c r="H128" s="15" t="s">
        <v>9634</v>
      </c>
      <c r="I128" s="99">
        <v>4.3499999999999996</v>
      </c>
      <c r="J128" s="99">
        <v>4.3499999999999996</v>
      </c>
      <c r="K128" s="94" t="s">
        <v>9951</v>
      </c>
      <c r="L128" s="15" t="s">
        <v>9837</v>
      </c>
      <c r="M128" s="15" t="s">
        <v>10055</v>
      </c>
      <c r="N128" s="94" t="str">
        <f t="shared" si="1"/>
        <v>Sim</v>
      </c>
      <c r="O128" s="15">
        <v>0</v>
      </c>
      <c r="P128" s="15">
        <v>25</v>
      </c>
    </row>
    <row r="129" spans="1:16" ht="17.25" customHeight="1" x14ac:dyDescent="0.35">
      <c r="A129" s="110"/>
      <c r="B129" s="91" t="s">
        <v>9865</v>
      </c>
      <c r="C129" s="91" t="s">
        <v>10282</v>
      </c>
      <c r="D129" s="96" t="s">
        <v>10037</v>
      </c>
      <c r="E129" s="97" t="s">
        <v>10056</v>
      </c>
      <c r="F129" s="94" t="s">
        <v>10270</v>
      </c>
      <c r="G129" s="94" t="s">
        <v>9719</v>
      </c>
      <c r="H129" s="15" t="s">
        <v>10272</v>
      </c>
      <c r="I129" s="99" t="s">
        <v>10165</v>
      </c>
      <c r="J129" s="99" t="s">
        <v>10165</v>
      </c>
      <c r="K129" s="94" t="s">
        <v>9780</v>
      </c>
      <c r="L129" s="15" t="s">
        <v>9780</v>
      </c>
      <c r="M129" s="15" t="s">
        <v>9780</v>
      </c>
      <c r="N129" s="94" t="str">
        <f t="shared" si="1"/>
        <v>Sim</v>
      </c>
      <c r="O129" s="15" t="s">
        <v>9780</v>
      </c>
      <c r="P129" s="15" t="s">
        <v>9780</v>
      </c>
    </row>
    <row r="130" spans="1:16" ht="17.25" customHeight="1" x14ac:dyDescent="0.35">
      <c r="A130" s="110"/>
      <c r="B130" s="91" t="s">
        <v>9865</v>
      </c>
      <c r="C130" s="91" t="s">
        <v>10282</v>
      </c>
      <c r="D130" s="96" t="s">
        <v>10038</v>
      </c>
      <c r="E130" s="97" t="s">
        <v>10057</v>
      </c>
      <c r="F130" s="94" t="s">
        <v>9687</v>
      </c>
      <c r="G130" s="94" t="s">
        <v>9719</v>
      </c>
      <c r="H130" s="15" t="s">
        <v>9780</v>
      </c>
      <c r="I130" s="99">
        <v>0</v>
      </c>
      <c r="J130" s="99">
        <v>0</v>
      </c>
      <c r="K130" s="94" t="s">
        <v>9780</v>
      </c>
      <c r="L130" s="15" t="s">
        <v>9780</v>
      </c>
      <c r="M130" s="15" t="s">
        <v>9780</v>
      </c>
      <c r="N130" s="94" t="str">
        <f t="shared" si="1"/>
        <v>Sim</v>
      </c>
      <c r="O130" s="15">
        <v>0</v>
      </c>
      <c r="P130" s="15">
        <v>100000000</v>
      </c>
    </row>
    <row r="131" spans="1:16" s="18" customFormat="1" ht="17.25" customHeight="1" x14ac:dyDescent="0.35">
      <c r="A131" s="110" t="s">
        <v>9808</v>
      </c>
      <c r="B131" s="91" t="s">
        <v>9865</v>
      </c>
      <c r="C131" s="91" t="s">
        <v>10287</v>
      </c>
      <c r="D131" s="96" t="s">
        <v>9797</v>
      </c>
      <c r="E131" s="97" t="s">
        <v>10178</v>
      </c>
      <c r="F131" s="94" t="s">
        <v>9687</v>
      </c>
      <c r="G131" s="94" t="s">
        <v>9719</v>
      </c>
      <c r="H131" s="15" t="s">
        <v>9863</v>
      </c>
      <c r="I131" s="99">
        <v>155</v>
      </c>
      <c r="J131" s="99">
        <v>155</v>
      </c>
      <c r="K131" s="94" t="s">
        <v>9951</v>
      </c>
      <c r="L131" s="15" t="s">
        <v>9851</v>
      </c>
      <c r="M131" s="15" t="s">
        <v>9852</v>
      </c>
      <c r="N131" s="94" t="str">
        <f t="shared" si="1"/>
        <v>Sim</v>
      </c>
      <c r="O131" s="15">
        <v>140</v>
      </c>
      <c r="P131" s="15">
        <v>160</v>
      </c>
    </row>
    <row r="132" spans="1:16" ht="17.25" customHeight="1" x14ac:dyDescent="0.35">
      <c r="A132" s="110"/>
      <c r="B132" s="91" t="s">
        <v>9865</v>
      </c>
      <c r="C132" s="91" t="s">
        <v>10287</v>
      </c>
      <c r="D132" s="96" t="s">
        <v>9798</v>
      </c>
      <c r="E132" s="97" t="s">
        <v>10179</v>
      </c>
      <c r="F132" s="94" t="s">
        <v>9687</v>
      </c>
      <c r="G132" s="94" t="s">
        <v>9719</v>
      </c>
      <c r="H132" s="15" t="s">
        <v>9634</v>
      </c>
      <c r="I132" s="28">
        <v>100</v>
      </c>
      <c r="J132" s="28">
        <v>100</v>
      </c>
      <c r="K132" s="94" t="s">
        <v>9951</v>
      </c>
      <c r="L132" s="15" t="s">
        <v>9851</v>
      </c>
      <c r="M132" s="15" t="s">
        <v>9853</v>
      </c>
      <c r="N132" s="94" t="str">
        <f t="shared" si="1"/>
        <v>Sim</v>
      </c>
      <c r="O132" s="15">
        <v>50</v>
      </c>
      <c r="P132" s="15">
        <v>100</v>
      </c>
    </row>
    <row r="133" spans="1:16" ht="17.25" customHeight="1" x14ac:dyDescent="0.35">
      <c r="A133" s="110"/>
      <c r="B133" s="91" t="s">
        <v>9865</v>
      </c>
      <c r="C133" s="91" t="s">
        <v>10287</v>
      </c>
      <c r="D133" s="96" t="s">
        <v>9799</v>
      </c>
      <c r="E133" s="97" t="s">
        <v>10180</v>
      </c>
      <c r="F133" s="94" t="s">
        <v>9687</v>
      </c>
      <c r="G133" s="94" t="s">
        <v>9719</v>
      </c>
      <c r="H133" s="15" t="s">
        <v>9634</v>
      </c>
      <c r="I133" s="28">
        <v>1</v>
      </c>
      <c r="J133" s="28">
        <v>1</v>
      </c>
      <c r="K133" s="94" t="s">
        <v>9951</v>
      </c>
      <c r="L133" s="15" t="s">
        <v>9851</v>
      </c>
      <c r="M133" s="15" t="s">
        <v>9854</v>
      </c>
      <c r="N133" s="94" t="str">
        <f t="shared" si="1"/>
        <v>Sim</v>
      </c>
      <c r="O133" s="15">
        <v>0</v>
      </c>
      <c r="P133" s="15">
        <v>10</v>
      </c>
    </row>
    <row r="134" spans="1:16" ht="17.25" customHeight="1" x14ac:dyDescent="0.35">
      <c r="A134" s="110"/>
      <c r="B134" s="91" t="s">
        <v>9865</v>
      </c>
      <c r="C134" s="91" t="s">
        <v>10287</v>
      </c>
      <c r="D134" s="96" t="s">
        <v>9800</v>
      </c>
      <c r="E134" s="97" t="s">
        <v>10181</v>
      </c>
      <c r="F134" s="94" t="s">
        <v>9687</v>
      </c>
      <c r="G134" s="94" t="s">
        <v>9719</v>
      </c>
      <c r="H134" s="15" t="s">
        <v>9634</v>
      </c>
      <c r="I134" s="28">
        <v>5</v>
      </c>
      <c r="J134" s="28">
        <v>5</v>
      </c>
      <c r="K134" s="94" t="s">
        <v>9951</v>
      </c>
      <c r="L134" s="15" t="s">
        <v>9851</v>
      </c>
      <c r="M134" s="15" t="s">
        <v>9855</v>
      </c>
      <c r="N134" s="94" t="str">
        <f t="shared" si="1"/>
        <v>Sim</v>
      </c>
      <c r="O134" s="15">
        <v>0</v>
      </c>
      <c r="P134" s="15">
        <v>15</v>
      </c>
    </row>
    <row r="135" spans="1:16" ht="17.25" customHeight="1" x14ac:dyDescent="0.35">
      <c r="A135" s="110"/>
      <c r="B135" s="91" t="s">
        <v>9865</v>
      </c>
      <c r="C135" s="91" t="s">
        <v>10287</v>
      </c>
      <c r="D135" s="96" t="s">
        <v>9801</v>
      </c>
      <c r="E135" s="97" t="s">
        <v>10188</v>
      </c>
      <c r="F135" s="94" t="s">
        <v>9687</v>
      </c>
      <c r="G135" s="94" t="s">
        <v>9719</v>
      </c>
      <c r="H135" s="15" t="s">
        <v>9634</v>
      </c>
      <c r="I135" s="28">
        <v>2.5</v>
      </c>
      <c r="J135" s="28">
        <v>2.5</v>
      </c>
      <c r="K135" s="94" t="s">
        <v>9951</v>
      </c>
      <c r="L135" s="15" t="s">
        <v>9851</v>
      </c>
      <c r="M135" s="15" t="s">
        <v>9856</v>
      </c>
      <c r="N135" s="94" t="str">
        <f t="shared" si="1"/>
        <v>Sim</v>
      </c>
      <c r="O135" s="15">
        <v>0</v>
      </c>
      <c r="P135" s="15">
        <v>10</v>
      </c>
    </row>
    <row r="136" spans="1:16" ht="17.25" customHeight="1" x14ac:dyDescent="0.35">
      <c r="A136" s="110"/>
      <c r="B136" s="91" t="s">
        <v>9865</v>
      </c>
      <c r="C136" s="91" t="s">
        <v>10287</v>
      </c>
      <c r="D136" s="96" t="s">
        <v>9802</v>
      </c>
      <c r="E136" s="97" t="s">
        <v>10182</v>
      </c>
      <c r="F136" s="94" t="s">
        <v>9687</v>
      </c>
      <c r="G136" s="94" t="s">
        <v>9719</v>
      </c>
      <c r="H136" s="15" t="s">
        <v>9864</v>
      </c>
      <c r="I136" s="28">
        <v>300000</v>
      </c>
      <c r="J136" s="28">
        <v>300000</v>
      </c>
      <c r="K136" s="94" t="s">
        <v>9951</v>
      </c>
      <c r="L136" s="15" t="s">
        <v>9851</v>
      </c>
      <c r="M136" s="15" t="s">
        <v>9857</v>
      </c>
      <c r="N136" s="94" t="str">
        <f t="shared" si="1"/>
        <v>Sim</v>
      </c>
      <c r="O136" s="15">
        <v>0</v>
      </c>
      <c r="P136" s="15">
        <v>1000000</v>
      </c>
    </row>
    <row r="137" spans="1:16" ht="17.25" customHeight="1" x14ac:dyDescent="0.35">
      <c r="A137" s="110"/>
      <c r="B137" s="91" t="s">
        <v>9865</v>
      </c>
      <c r="C137" s="91" t="s">
        <v>10287</v>
      </c>
      <c r="D137" s="96" t="s">
        <v>9803</v>
      </c>
      <c r="E137" s="97" t="s">
        <v>10183</v>
      </c>
      <c r="F137" s="94" t="s">
        <v>9687</v>
      </c>
      <c r="G137" s="94" t="s">
        <v>9719</v>
      </c>
      <c r="H137" s="15" t="s">
        <v>9634</v>
      </c>
      <c r="I137" s="28">
        <v>30</v>
      </c>
      <c r="J137" s="28">
        <v>30</v>
      </c>
      <c r="K137" s="94" t="s">
        <v>9951</v>
      </c>
      <c r="L137" s="15" t="s">
        <v>9851</v>
      </c>
      <c r="M137" s="15" t="s">
        <v>9858</v>
      </c>
      <c r="N137" s="94" t="str">
        <f t="shared" si="1"/>
        <v>Sim</v>
      </c>
      <c r="O137" s="15">
        <v>0</v>
      </c>
      <c r="P137" s="15">
        <v>75</v>
      </c>
    </row>
    <row r="138" spans="1:16" ht="17.25" customHeight="1" x14ac:dyDescent="0.35">
      <c r="A138" s="110"/>
      <c r="B138" s="91" t="s">
        <v>9865</v>
      </c>
      <c r="C138" s="91" t="s">
        <v>10287</v>
      </c>
      <c r="D138" s="96" t="s">
        <v>9804</v>
      </c>
      <c r="E138" s="97" t="s">
        <v>10184</v>
      </c>
      <c r="F138" s="94" t="s">
        <v>9687</v>
      </c>
      <c r="G138" s="94" t="s">
        <v>9719</v>
      </c>
      <c r="H138" s="15" t="s">
        <v>9634</v>
      </c>
      <c r="I138" s="28">
        <v>50</v>
      </c>
      <c r="J138" s="28">
        <v>50</v>
      </c>
      <c r="K138" s="94" t="s">
        <v>9951</v>
      </c>
      <c r="L138" s="15" t="s">
        <v>9851</v>
      </c>
      <c r="M138" s="15" t="s">
        <v>9859</v>
      </c>
      <c r="N138" s="94" t="str">
        <f t="shared" si="1"/>
        <v>Sim</v>
      </c>
      <c r="O138" s="15">
        <v>0</v>
      </c>
      <c r="P138" s="15">
        <v>100</v>
      </c>
    </row>
    <row r="139" spans="1:16" ht="17.25" customHeight="1" x14ac:dyDescent="0.35">
      <c r="A139" s="110"/>
      <c r="B139" s="91" t="s">
        <v>9865</v>
      </c>
      <c r="C139" s="91" t="s">
        <v>10287</v>
      </c>
      <c r="D139" s="96" t="s">
        <v>9805</v>
      </c>
      <c r="E139" s="97" t="s">
        <v>10185</v>
      </c>
      <c r="F139" s="94" t="s">
        <v>9687</v>
      </c>
      <c r="G139" s="94" t="s">
        <v>9719</v>
      </c>
      <c r="H139" s="15" t="s">
        <v>9864</v>
      </c>
      <c r="I139" s="28">
        <v>10000</v>
      </c>
      <c r="J139" s="28">
        <v>10000</v>
      </c>
      <c r="K139" s="94" t="s">
        <v>9951</v>
      </c>
      <c r="L139" s="15" t="s">
        <v>9851</v>
      </c>
      <c r="M139" s="15" t="s">
        <v>9860</v>
      </c>
      <c r="N139" s="94" t="str">
        <f t="shared" si="1"/>
        <v>Sim</v>
      </c>
      <c r="O139" s="15">
        <v>0</v>
      </c>
      <c r="P139" s="15">
        <v>100000</v>
      </c>
    </row>
    <row r="140" spans="1:16" ht="17.25" customHeight="1" x14ac:dyDescent="0.35">
      <c r="A140" s="110"/>
      <c r="B140" s="91" t="s">
        <v>9865</v>
      </c>
      <c r="C140" s="91" t="s">
        <v>10287</v>
      </c>
      <c r="D140" s="96" t="s">
        <v>9806</v>
      </c>
      <c r="E140" s="97" t="s">
        <v>10186</v>
      </c>
      <c r="F140" s="94" t="s">
        <v>9687</v>
      </c>
      <c r="G140" s="94" t="s">
        <v>9719</v>
      </c>
      <c r="H140" s="15" t="s">
        <v>9864</v>
      </c>
      <c r="I140" s="28">
        <v>100</v>
      </c>
      <c r="J140" s="28">
        <v>100</v>
      </c>
      <c r="K140" s="94" t="s">
        <v>9951</v>
      </c>
      <c r="L140" s="15" t="s">
        <v>9851</v>
      </c>
      <c r="M140" s="15" t="s">
        <v>9861</v>
      </c>
      <c r="N140" s="94" t="str">
        <f t="shared" si="1"/>
        <v>Sim</v>
      </c>
      <c r="O140" s="15">
        <v>0</v>
      </c>
      <c r="P140" s="15">
        <v>500</v>
      </c>
    </row>
    <row r="141" spans="1:16" ht="17.25" customHeight="1" x14ac:dyDescent="0.35">
      <c r="A141" s="110"/>
      <c r="B141" s="91" t="s">
        <v>9865</v>
      </c>
      <c r="C141" s="91" t="s">
        <v>10287</v>
      </c>
      <c r="D141" s="96" t="s">
        <v>9807</v>
      </c>
      <c r="E141" s="97" t="s">
        <v>10187</v>
      </c>
      <c r="F141" s="94" t="s">
        <v>9687</v>
      </c>
      <c r="G141" s="94" t="s">
        <v>9719</v>
      </c>
      <c r="H141" s="15" t="s">
        <v>9864</v>
      </c>
      <c r="I141" s="28">
        <v>103</v>
      </c>
      <c r="J141" s="28">
        <v>103</v>
      </c>
      <c r="K141" s="94" t="s">
        <v>9951</v>
      </c>
      <c r="L141" s="15" t="s">
        <v>9851</v>
      </c>
      <c r="M141" s="15" t="s">
        <v>9862</v>
      </c>
      <c r="N141" s="94" t="str">
        <f t="shared" si="1"/>
        <v>Sim</v>
      </c>
      <c r="O141" s="15">
        <v>0</v>
      </c>
      <c r="P141" s="15">
        <v>500</v>
      </c>
    </row>
    <row r="142" spans="1:16" ht="17.25" customHeight="1" x14ac:dyDescent="0.35">
      <c r="A142" s="90" t="s">
        <v>10251</v>
      </c>
      <c r="B142" s="91" t="s">
        <v>9866</v>
      </c>
      <c r="C142" s="91" t="s">
        <v>10288</v>
      </c>
      <c r="D142" s="96" t="s">
        <v>10252</v>
      </c>
      <c r="E142" s="97" t="s">
        <v>10253</v>
      </c>
      <c r="F142" s="94" t="s">
        <v>9687</v>
      </c>
      <c r="G142" s="94" t="s">
        <v>9719</v>
      </c>
      <c r="H142" s="15" t="s">
        <v>9634</v>
      </c>
      <c r="I142" s="28">
        <v>100</v>
      </c>
      <c r="J142" s="28">
        <v>100</v>
      </c>
      <c r="K142" s="27" t="s">
        <v>9968</v>
      </c>
      <c r="L142" s="15" t="s">
        <v>9874</v>
      </c>
      <c r="M142" s="15" t="s">
        <v>9969</v>
      </c>
      <c r="N142" s="94" t="str">
        <f t="shared" si="1"/>
        <v>Sim</v>
      </c>
      <c r="O142" s="15">
        <v>0</v>
      </c>
      <c r="P142" s="15">
        <v>100</v>
      </c>
    </row>
    <row r="143" spans="1:16" ht="17.25" customHeight="1" x14ac:dyDescent="0.35">
      <c r="A143" s="110"/>
      <c r="B143" s="91" t="s">
        <v>9866</v>
      </c>
      <c r="C143" s="91" t="s">
        <v>10289</v>
      </c>
      <c r="D143" s="96" t="s">
        <v>10060</v>
      </c>
      <c r="E143" s="97" t="s">
        <v>10189</v>
      </c>
      <c r="F143" s="94" t="s">
        <v>9687</v>
      </c>
      <c r="G143" s="94" t="s">
        <v>9719</v>
      </c>
      <c r="H143" s="15" t="s">
        <v>9813</v>
      </c>
      <c r="I143" s="99">
        <v>390</v>
      </c>
      <c r="J143" s="99">
        <v>390</v>
      </c>
      <c r="K143" s="27" t="s">
        <v>9968</v>
      </c>
      <c r="L143" s="15" t="s">
        <v>9874</v>
      </c>
      <c r="M143" s="15" t="s">
        <v>9971</v>
      </c>
      <c r="N143" s="94" t="str">
        <f t="shared" si="1"/>
        <v>Sim</v>
      </c>
      <c r="O143" s="15">
        <v>250</v>
      </c>
      <c r="P143" s="15">
        <v>750</v>
      </c>
    </row>
    <row r="144" spans="1:16" ht="17.25" customHeight="1" x14ac:dyDescent="0.35">
      <c r="A144" s="110"/>
      <c r="B144" s="91" t="s">
        <v>9866</v>
      </c>
      <c r="C144" s="91" t="s">
        <v>10289</v>
      </c>
      <c r="D144" s="96" t="s">
        <v>10061</v>
      </c>
      <c r="E144" s="97" t="s">
        <v>10190</v>
      </c>
      <c r="F144" s="94" t="s">
        <v>9687</v>
      </c>
      <c r="G144" s="94" t="s">
        <v>9719</v>
      </c>
      <c r="H144" s="15" t="s">
        <v>9813</v>
      </c>
      <c r="I144" s="99">
        <v>549.4</v>
      </c>
      <c r="J144" s="99">
        <v>549.4</v>
      </c>
      <c r="K144" s="27" t="s">
        <v>9968</v>
      </c>
      <c r="L144" s="15" t="s">
        <v>9874</v>
      </c>
      <c r="M144" s="15" t="s">
        <v>10166</v>
      </c>
      <c r="N144" s="94" t="str">
        <f t="shared" si="1"/>
        <v>Sim</v>
      </c>
      <c r="O144" s="15">
        <v>250</v>
      </c>
      <c r="P144" s="15">
        <v>750</v>
      </c>
    </row>
    <row r="145" spans="1:16" ht="17.25" customHeight="1" x14ac:dyDescent="0.35">
      <c r="A145" s="110"/>
      <c r="B145" s="91" t="s">
        <v>9866</v>
      </c>
      <c r="C145" s="91" t="s">
        <v>10289</v>
      </c>
      <c r="D145" s="96" t="s">
        <v>10062</v>
      </c>
      <c r="E145" s="97" t="s">
        <v>10191</v>
      </c>
      <c r="F145" s="94" t="s">
        <v>9687</v>
      </c>
      <c r="G145" s="94" t="s">
        <v>9719</v>
      </c>
      <c r="H145" s="15" t="s">
        <v>9867</v>
      </c>
      <c r="I145" s="99">
        <v>2</v>
      </c>
      <c r="J145" s="99">
        <v>2</v>
      </c>
      <c r="K145" s="27" t="s">
        <v>9968</v>
      </c>
      <c r="L145" s="15" t="s">
        <v>9874</v>
      </c>
      <c r="M145" s="15" t="s">
        <v>10167</v>
      </c>
      <c r="N145" s="94" t="str">
        <f t="shared" si="1"/>
        <v>Sim</v>
      </c>
      <c r="O145" s="15">
        <v>1</v>
      </c>
      <c r="P145" s="15">
        <v>10</v>
      </c>
    </row>
    <row r="146" spans="1:16" ht="17.25" customHeight="1" x14ac:dyDescent="0.35">
      <c r="A146" s="110"/>
      <c r="B146" s="91" t="s">
        <v>9866</v>
      </c>
      <c r="C146" s="91" t="s">
        <v>10289</v>
      </c>
      <c r="D146" s="96" t="s">
        <v>10063</v>
      </c>
      <c r="E146" s="97" t="s">
        <v>10192</v>
      </c>
      <c r="F146" s="94" t="s">
        <v>9687</v>
      </c>
      <c r="G146" s="94" t="s">
        <v>9719</v>
      </c>
      <c r="H146" s="15" t="s">
        <v>9794</v>
      </c>
      <c r="I146" s="99">
        <v>0</v>
      </c>
      <c r="J146" s="99">
        <v>0</v>
      </c>
      <c r="K146" s="27" t="s">
        <v>9968</v>
      </c>
      <c r="L146" s="15" t="s">
        <v>9874</v>
      </c>
      <c r="M146" s="15" t="s">
        <v>9972</v>
      </c>
      <c r="N146" s="94" t="str">
        <f t="shared" si="1"/>
        <v>Sim</v>
      </c>
      <c r="O146" s="15">
        <v>0</v>
      </c>
      <c r="P146" s="15">
        <v>500</v>
      </c>
    </row>
    <row r="147" spans="1:16" ht="17.25" customHeight="1" x14ac:dyDescent="0.35">
      <c r="A147" s="110"/>
      <c r="B147" s="91" t="s">
        <v>9866</v>
      </c>
      <c r="C147" s="91" t="s">
        <v>10289</v>
      </c>
      <c r="D147" s="96" t="s">
        <v>10064</v>
      </c>
      <c r="E147" s="97" t="s">
        <v>10193</v>
      </c>
      <c r="F147" s="94" t="s">
        <v>9687</v>
      </c>
      <c r="G147" s="94" t="s">
        <v>9719</v>
      </c>
      <c r="H147" s="15" t="s">
        <v>9794</v>
      </c>
      <c r="I147" s="99">
        <v>0</v>
      </c>
      <c r="J147" s="99">
        <v>0</v>
      </c>
      <c r="K147" s="27" t="s">
        <v>9968</v>
      </c>
      <c r="L147" s="15" t="s">
        <v>9874</v>
      </c>
      <c r="M147" s="15" t="s">
        <v>10168</v>
      </c>
      <c r="N147" s="94" t="str">
        <f t="shared" si="1"/>
        <v>Sim</v>
      </c>
      <c r="O147" s="15">
        <v>0</v>
      </c>
      <c r="P147" s="15">
        <v>50</v>
      </c>
    </row>
    <row r="148" spans="1:16" s="18" customFormat="1" ht="17.25" customHeight="1" x14ac:dyDescent="0.35">
      <c r="A148" s="110"/>
      <c r="B148" s="91" t="s">
        <v>9866</v>
      </c>
      <c r="C148" s="91" t="s">
        <v>10289</v>
      </c>
      <c r="D148" s="96" t="s">
        <v>10065</v>
      </c>
      <c r="E148" s="97" t="s">
        <v>10194</v>
      </c>
      <c r="F148" s="94" t="s">
        <v>10270</v>
      </c>
      <c r="G148" s="94" t="s">
        <v>9719</v>
      </c>
      <c r="H148" s="15" t="s">
        <v>10271</v>
      </c>
      <c r="I148" s="28" t="s">
        <v>9719</v>
      </c>
      <c r="J148" s="28" t="s">
        <v>9719</v>
      </c>
      <c r="K148" s="27" t="s">
        <v>9968</v>
      </c>
      <c r="L148" s="15" t="s">
        <v>9874</v>
      </c>
      <c r="M148" s="15" t="s">
        <v>9973</v>
      </c>
      <c r="N148" s="94" t="str">
        <f t="shared" si="1"/>
        <v>Sim</v>
      </c>
      <c r="O148" s="15" t="s">
        <v>9780</v>
      </c>
      <c r="P148" s="15" t="s">
        <v>10267</v>
      </c>
    </row>
    <row r="149" spans="1:16" ht="17.25" customHeight="1" x14ac:dyDescent="0.35">
      <c r="A149" s="110"/>
      <c r="B149" s="91" t="s">
        <v>9866</v>
      </c>
      <c r="C149" s="91" t="s">
        <v>10289</v>
      </c>
      <c r="D149" s="96" t="s">
        <v>10066</v>
      </c>
      <c r="E149" s="97" t="s">
        <v>10195</v>
      </c>
      <c r="F149" s="94" t="s">
        <v>9687</v>
      </c>
      <c r="G149" s="94" t="s">
        <v>9719</v>
      </c>
      <c r="H149" s="15" t="s">
        <v>9634</v>
      </c>
      <c r="I149" s="99">
        <v>0.25</v>
      </c>
      <c r="J149" s="99">
        <v>0.25</v>
      </c>
      <c r="K149" s="27" t="s">
        <v>9968</v>
      </c>
      <c r="L149" s="15" t="s">
        <v>9874</v>
      </c>
      <c r="M149" s="15" t="s">
        <v>9974</v>
      </c>
      <c r="N149" s="94" t="str">
        <f t="shared" si="1"/>
        <v>Sim</v>
      </c>
      <c r="O149" s="15">
        <v>0</v>
      </c>
      <c r="P149" s="15">
        <v>100</v>
      </c>
    </row>
    <row r="150" spans="1:16" ht="17.25" customHeight="1" x14ac:dyDescent="0.35">
      <c r="A150" s="110"/>
      <c r="B150" s="91" t="s">
        <v>9866</v>
      </c>
      <c r="C150" s="91" t="s">
        <v>10289</v>
      </c>
      <c r="D150" s="96" t="s">
        <v>10067</v>
      </c>
      <c r="E150" s="97" t="s">
        <v>10196</v>
      </c>
      <c r="F150" s="94" t="s">
        <v>9687</v>
      </c>
      <c r="G150" s="94" t="s">
        <v>9719</v>
      </c>
      <c r="H150" s="15" t="s">
        <v>9634</v>
      </c>
      <c r="I150" s="99">
        <v>0</v>
      </c>
      <c r="J150" s="99">
        <v>0</v>
      </c>
      <c r="K150" s="27" t="s">
        <v>9968</v>
      </c>
      <c r="L150" s="15" t="s">
        <v>9874</v>
      </c>
      <c r="M150" s="15" t="s">
        <v>9975</v>
      </c>
      <c r="N150" s="94" t="str">
        <f t="shared" si="1"/>
        <v>Sim</v>
      </c>
      <c r="O150" s="15">
        <v>0</v>
      </c>
      <c r="P150" s="15">
        <v>100</v>
      </c>
    </row>
    <row r="151" spans="1:16" ht="17.25" customHeight="1" x14ac:dyDescent="0.35">
      <c r="A151" s="110"/>
      <c r="B151" s="91" t="s">
        <v>9866</v>
      </c>
      <c r="C151" s="91" t="s">
        <v>10289</v>
      </c>
      <c r="D151" s="96" t="s">
        <v>10068</v>
      </c>
      <c r="E151" s="97" t="s">
        <v>10197</v>
      </c>
      <c r="F151" s="94" t="s">
        <v>9687</v>
      </c>
      <c r="G151" s="94" t="s">
        <v>9719</v>
      </c>
      <c r="H151" s="15" t="s">
        <v>9794</v>
      </c>
      <c r="I151" s="99">
        <v>950</v>
      </c>
      <c r="J151" s="99">
        <v>950</v>
      </c>
      <c r="K151" s="27" t="s">
        <v>9968</v>
      </c>
      <c r="L151" s="15" t="s">
        <v>9874</v>
      </c>
      <c r="M151" s="15" t="s">
        <v>9976</v>
      </c>
      <c r="N151" s="94" t="str">
        <f t="shared" ref="N151:N205" si="4">IF(F151="String",IF(I151&lt;&gt;"","Sim","Não"),IF(F151="List",IF(I151&lt;&gt;"","Sim","Não"),IF(AND(I151&gt;=O151,I151&lt;=P151,I151&lt;&gt;""),"Sim","Não")))</f>
        <v>Sim</v>
      </c>
      <c r="O151" s="15">
        <v>0</v>
      </c>
      <c r="P151" s="15">
        <v>5000</v>
      </c>
    </row>
    <row r="152" spans="1:16" ht="17.25" customHeight="1" x14ac:dyDescent="0.35">
      <c r="A152" s="110"/>
      <c r="B152" s="91" t="s">
        <v>9866</v>
      </c>
      <c r="C152" s="91" t="s">
        <v>10289</v>
      </c>
      <c r="D152" s="96" t="s">
        <v>10069</v>
      </c>
      <c r="E152" s="97" t="s">
        <v>10198</v>
      </c>
      <c r="F152" s="94" t="s">
        <v>9687</v>
      </c>
      <c r="G152" s="94" t="s">
        <v>9719</v>
      </c>
      <c r="H152" s="15" t="s">
        <v>9794</v>
      </c>
      <c r="I152" s="28">
        <v>2000</v>
      </c>
      <c r="J152" s="28">
        <v>2000</v>
      </c>
      <c r="K152" s="27" t="s">
        <v>9968</v>
      </c>
      <c r="L152" s="15" t="s">
        <v>9874</v>
      </c>
      <c r="M152" s="15" t="s">
        <v>9977</v>
      </c>
      <c r="N152" s="94" t="str">
        <f t="shared" si="4"/>
        <v>Sim</v>
      </c>
      <c r="O152" s="15">
        <v>0</v>
      </c>
      <c r="P152" s="15">
        <v>5000</v>
      </c>
    </row>
    <row r="153" spans="1:16" ht="17.25" customHeight="1" x14ac:dyDescent="0.35">
      <c r="A153" s="110"/>
      <c r="B153" s="91" t="s">
        <v>9866</v>
      </c>
      <c r="C153" s="91" t="s">
        <v>10289</v>
      </c>
      <c r="D153" s="96" t="s">
        <v>10070</v>
      </c>
      <c r="E153" s="97" t="s">
        <v>10200</v>
      </c>
      <c r="F153" s="94" t="s">
        <v>9687</v>
      </c>
      <c r="G153" s="94" t="s">
        <v>9719</v>
      </c>
      <c r="H153" s="15" t="s">
        <v>9794</v>
      </c>
      <c r="I153" s="99">
        <v>2750</v>
      </c>
      <c r="J153" s="99">
        <v>2750</v>
      </c>
      <c r="K153" s="27" t="s">
        <v>9968</v>
      </c>
      <c r="L153" s="15" t="s">
        <v>9874</v>
      </c>
      <c r="M153" s="15" t="s">
        <v>9978</v>
      </c>
      <c r="N153" s="94" t="str">
        <f t="shared" si="4"/>
        <v>Sim</v>
      </c>
      <c r="O153" s="15">
        <v>0</v>
      </c>
      <c r="P153" s="15">
        <v>5000</v>
      </c>
    </row>
    <row r="154" spans="1:16" ht="17.25" customHeight="1" x14ac:dyDescent="0.35">
      <c r="A154" s="110"/>
      <c r="B154" s="91" t="s">
        <v>9866</v>
      </c>
      <c r="C154" s="91" t="s">
        <v>10289</v>
      </c>
      <c r="D154" s="96" t="s">
        <v>10071</v>
      </c>
      <c r="E154" s="97" t="s">
        <v>10199</v>
      </c>
      <c r="F154" s="94" t="s">
        <v>9687</v>
      </c>
      <c r="G154" s="94" t="s">
        <v>9719</v>
      </c>
      <c r="H154" s="15" t="s">
        <v>9794</v>
      </c>
      <c r="I154" s="99">
        <v>300</v>
      </c>
      <c r="J154" s="99">
        <v>300</v>
      </c>
      <c r="K154" s="27" t="s">
        <v>9968</v>
      </c>
      <c r="L154" s="15" t="s">
        <v>9874</v>
      </c>
      <c r="M154" s="15" t="s">
        <v>9979</v>
      </c>
      <c r="N154" s="94" t="str">
        <f t="shared" si="4"/>
        <v>Sim</v>
      </c>
      <c r="O154" s="15">
        <v>0</v>
      </c>
      <c r="P154" s="15">
        <v>1000</v>
      </c>
    </row>
    <row r="155" spans="1:16" ht="17.25" customHeight="1" x14ac:dyDescent="0.35">
      <c r="A155" s="110"/>
      <c r="B155" s="91" t="s">
        <v>9866</v>
      </c>
      <c r="C155" s="91" t="s">
        <v>10289</v>
      </c>
      <c r="D155" s="96" t="s">
        <v>10072</v>
      </c>
      <c r="E155" s="97" t="s">
        <v>10201</v>
      </c>
      <c r="F155" s="94" t="s">
        <v>9687</v>
      </c>
      <c r="G155" s="94" t="s">
        <v>9719</v>
      </c>
      <c r="H155" s="15" t="s">
        <v>9794</v>
      </c>
      <c r="I155" s="99">
        <v>1500</v>
      </c>
      <c r="J155" s="99">
        <v>1500</v>
      </c>
      <c r="K155" s="27" t="s">
        <v>9968</v>
      </c>
      <c r="L155" s="15" t="s">
        <v>9874</v>
      </c>
      <c r="M155" s="15" t="s">
        <v>9980</v>
      </c>
      <c r="N155" s="94" t="str">
        <f t="shared" si="4"/>
        <v>Sim</v>
      </c>
      <c r="O155" s="15">
        <v>0</v>
      </c>
      <c r="P155" s="15">
        <v>5000</v>
      </c>
    </row>
    <row r="156" spans="1:16" ht="17.25" customHeight="1" x14ac:dyDescent="0.35">
      <c r="A156" s="110"/>
      <c r="B156" s="91" t="s">
        <v>9866</v>
      </c>
      <c r="C156" s="91" t="s">
        <v>10289</v>
      </c>
      <c r="D156" s="96" t="s">
        <v>10073</v>
      </c>
      <c r="E156" s="97" t="s">
        <v>10202</v>
      </c>
      <c r="F156" s="94" t="s">
        <v>9687</v>
      </c>
      <c r="G156" s="94" t="s">
        <v>9719</v>
      </c>
      <c r="H156" s="15" t="s">
        <v>9794</v>
      </c>
      <c r="I156" s="99">
        <v>2250</v>
      </c>
      <c r="J156" s="99">
        <v>2250</v>
      </c>
      <c r="K156" s="27" t="s">
        <v>9968</v>
      </c>
      <c r="L156" s="15" t="s">
        <v>9874</v>
      </c>
      <c r="M156" s="15" t="s">
        <v>10162</v>
      </c>
      <c r="N156" s="94" t="str">
        <f t="shared" si="4"/>
        <v>Sim</v>
      </c>
      <c r="O156" s="15">
        <v>0</v>
      </c>
      <c r="P156" s="15">
        <v>5000</v>
      </c>
    </row>
    <row r="157" spans="1:16" ht="17.25" customHeight="1" x14ac:dyDescent="0.35">
      <c r="A157" s="110"/>
      <c r="B157" s="91" t="s">
        <v>9866</v>
      </c>
      <c r="C157" s="91" t="s">
        <v>10291</v>
      </c>
      <c r="D157" s="96" t="s">
        <v>10074</v>
      </c>
      <c r="E157" s="97" t="s">
        <v>10203</v>
      </c>
      <c r="F157" s="94" t="s">
        <v>9687</v>
      </c>
      <c r="G157" s="94" t="s">
        <v>9719</v>
      </c>
      <c r="H157" s="15" t="s">
        <v>9813</v>
      </c>
      <c r="I157" s="99">
        <v>500</v>
      </c>
      <c r="J157" s="99">
        <v>500</v>
      </c>
      <c r="K157" s="27" t="s">
        <v>9968</v>
      </c>
      <c r="L157" s="15" t="s">
        <v>9874</v>
      </c>
      <c r="M157" s="15" t="s">
        <v>9981</v>
      </c>
      <c r="N157" s="94" t="str">
        <f t="shared" si="4"/>
        <v>Sim</v>
      </c>
      <c r="O157" s="15">
        <v>400</v>
      </c>
      <c r="P157" s="15">
        <v>750</v>
      </c>
    </row>
    <row r="158" spans="1:16" ht="17.25" customHeight="1" x14ac:dyDescent="0.35">
      <c r="A158" s="110"/>
      <c r="B158" s="91" t="s">
        <v>9866</v>
      </c>
      <c r="C158" s="91" t="s">
        <v>10291</v>
      </c>
      <c r="D158" s="96" t="s">
        <v>10075</v>
      </c>
      <c r="E158" s="97" t="s">
        <v>10208</v>
      </c>
      <c r="F158" s="94" t="s">
        <v>9687</v>
      </c>
      <c r="G158" s="94" t="s">
        <v>9719</v>
      </c>
      <c r="H158" s="15" t="s">
        <v>9868</v>
      </c>
      <c r="I158" s="99">
        <v>5.21</v>
      </c>
      <c r="J158" s="99">
        <v>5.21</v>
      </c>
      <c r="K158" s="27" t="s">
        <v>9968</v>
      </c>
      <c r="L158" s="15" t="s">
        <v>9874</v>
      </c>
      <c r="M158" s="15" t="s">
        <v>9982</v>
      </c>
      <c r="N158" s="94" t="str">
        <f t="shared" si="4"/>
        <v>Sim</v>
      </c>
      <c r="O158" s="15">
        <v>0</v>
      </c>
      <c r="P158" s="15">
        <v>10</v>
      </c>
    </row>
    <row r="159" spans="1:16" ht="17.25" customHeight="1" x14ac:dyDescent="0.35">
      <c r="A159" s="110"/>
      <c r="B159" s="91" t="s">
        <v>9866</v>
      </c>
      <c r="C159" s="91" t="s">
        <v>10291</v>
      </c>
      <c r="D159" s="96" t="s">
        <v>10076</v>
      </c>
      <c r="E159" s="97" t="s">
        <v>10209</v>
      </c>
      <c r="F159" s="94" t="s">
        <v>9687</v>
      </c>
      <c r="G159" s="94" t="s">
        <v>9719</v>
      </c>
      <c r="H159" s="15" t="s">
        <v>9868</v>
      </c>
      <c r="I159" s="99">
        <v>5.21</v>
      </c>
      <c r="J159" s="99">
        <v>5.21</v>
      </c>
      <c r="K159" s="27" t="s">
        <v>9968</v>
      </c>
      <c r="L159" s="15" t="s">
        <v>9874</v>
      </c>
      <c r="M159" s="15" t="s">
        <v>9983</v>
      </c>
      <c r="N159" s="94" t="str">
        <f t="shared" si="4"/>
        <v>Sim</v>
      </c>
      <c r="O159" s="15">
        <v>0</v>
      </c>
      <c r="P159" s="15">
        <v>10</v>
      </c>
    </row>
    <row r="160" spans="1:16" ht="17.25" customHeight="1" x14ac:dyDescent="0.35">
      <c r="A160" s="110"/>
      <c r="B160" s="91" t="s">
        <v>9866</v>
      </c>
      <c r="C160" s="91" t="s">
        <v>10292</v>
      </c>
      <c r="D160" s="96" t="s">
        <v>10077</v>
      </c>
      <c r="E160" s="97" t="s">
        <v>10206</v>
      </c>
      <c r="F160" s="94" t="s">
        <v>9687</v>
      </c>
      <c r="G160" s="94" t="s">
        <v>9719</v>
      </c>
      <c r="H160" s="15" t="s">
        <v>9813</v>
      </c>
      <c r="I160" s="99">
        <v>520</v>
      </c>
      <c r="J160" s="99">
        <v>520</v>
      </c>
      <c r="K160" s="27" t="s">
        <v>9968</v>
      </c>
      <c r="L160" s="15" t="s">
        <v>9874</v>
      </c>
      <c r="M160" s="15" t="s">
        <v>9984</v>
      </c>
      <c r="N160" s="94" t="str">
        <f t="shared" si="4"/>
        <v>Sim</v>
      </c>
      <c r="O160" s="15">
        <v>400</v>
      </c>
      <c r="P160" s="15">
        <v>750</v>
      </c>
    </row>
    <row r="161" spans="1:16" ht="17.25" customHeight="1" x14ac:dyDescent="0.35">
      <c r="A161" s="110"/>
      <c r="B161" s="91" t="s">
        <v>9866</v>
      </c>
      <c r="C161" s="91" t="s">
        <v>10292</v>
      </c>
      <c r="D161" s="96" t="s">
        <v>10290</v>
      </c>
      <c r="E161" s="97" t="s">
        <v>10207</v>
      </c>
      <c r="F161" s="94" t="s">
        <v>9687</v>
      </c>
      <c r="G161" s="94" t="s">
        <v>9719</v>
      </c>
      <c r="H161" s="15" t="s">
        <v>9813</v>
      </c>
      <c r="I161" s="99">
        <v>520</v>
      </c>
      <c r="J161" s="99">
        <v>520</v>
      </c>
      <c r="K161" s="27" t="s">
        <v>9968</v>
      </c>
      <c r="L161" s="15" t="s">
        <v>9874</v>
      </c>
      <c r="M161" s="15" t="s">
        <v>9985</v>
      </c>
      <c r="N161" s="94" t="str">
        <f t="shared" si="4"/>
        <v>Sim</v>
      </c>
      <c r="O161" s="15">
        <v>0</v>
      </c>
      <c r="P161" s="15">
        <v>750</v>
      </c>
    </row>
    <row r="162" spans="1:16" ht="17.25" customHeight="1" x14ac:dyDescent="0.35">
      <c r="A162" s="110"/>
      <c r="B162" s="91" t="s">
        <v>9866</v>
      </c>
      <c r="C162" s="91" t="s">
        <v>10292</v>
      </c>
      <c r="D162" s="96" t="s">
        <v>10075</v>
      </c>
      <c r="E162" s="97" t="s">
        <v>10204</v>
      </c>
      <c r="F162" s="94" t="s">
        <v>9687</v>
      </c>
      <c r="G162" s="94" t="s">
        <v>9719</v>
      </c>
      <c r="H162" s="15" t="s">
        <v>9868</v>
      </c>
      <c r="I162" s="99">
        <v>5.21</v>
      </c>
      <c r="J162" s="99">
        <v>5.21</v>
      </c>
      <c r="K162" s="27" t="s">
        <v>9968</v>
      </c>
      <c r="L162" s="15" t="s">
        <v>9874</v>
      </c>
      <c r="M162" s="15" t="s">
        <v>9986</v>
      </c>
      <c r="N162" s="94" t="str">
        <f t="shared" si="4"/>
        <v>Sim</v>
      </c>
      <c r="O162" s="15">
        <v>0</v>
      </c>
      <c r="P162" s="15">
        <v>10</v>
      </c>
    </row>
    <row r="163" spans="1:16" ht="17.25" customHeight="1" x14ac:dyDescent="0.35">
      <c r="A163" s="110"/>
      <c r="B163" s="91" t="s">
        <v>9866</v>
      </c>
      <c r="C163" s="91" t="s">
        <v>10292</v>
      </c>
      <c r="D163" s="96" t="s">
        <v>10076</v>
      </c>
      <c r="E163" s="97" t="s">
        <v>10205</v>
      </c>
      <c r="F163" s="94" t="s">
        <v>9687</v>
      </c>
      <c r="G163" s="94" t="s">
        <v>9719</v>
      </c>
      <c r="H163" s="15" t="s">
        <v>9868</v>
      </c>
      <c r="I163" s="99">
        <v>5.21</v>
      </c>
      <c r="J163" s="99">
        <v>5.21</v>
      </c>
      <c r="K163" s="27" t="s">
        <v>9968</v>
      </c>
      <c r="L163" s="15" t="s">
        <v>9874</v>
      </c>
      <c r="M163" s="15" t="s">
        <v>9987</v>
      </c>
      <c r="N163" s="94" t="str">
        <f t="shared" si="4"/>
        <v>Sim</v>
      </c>
      <c r="O163" s="15">
        <v>0</v>
      </c>
      <c r="P163" s="15">
        <v>10</v>
      </c>
    </row>
    <row r="164" spans="1:16" ht="17.25" customHeight="1" x14ac:dyDescent="0.35">
      <c r="A164" s="110"/>
      <c r="B164" s="91" t="s">
        <v>9866</v>
      </c>
      <c r="C164" s="91" t="s">
        <v>10289</v>
      </c>
      <c r="D164" s="96" t="s">
        <v>10078</v>
      </c>
      <c r="E164" s="97" t="s">
        <v>10210</v>
      </c>
      <c r="F164" s="94" t="s">
        <v>9687</v>
      </c>
      <c r="G164" s="94" t="s">
        <v>9719</v>
      </c>
      <c r="H164" s="15" t="s">
        <v>9813</v>
      </c>
      <c r="I164" s="99">
        <v>549.4</v>
      </c>
      <c r="J164" s="99">
        <v>549.4</v>
      </c>
      <c r="K164" s="27" t="s">
        <v>9968</v>
      </c>
      <c r="L164" s="15" t="s">
        <v>9874</v>
      </c>
      <c r="M164" s="15" t="s">
        <v>9971</v>
      </c>
      <c r="N164" s="94" t="str">
        <f t="shared" si="4"/>
        <v>Sim</v>
      </c>
      <c r="O164" s="15">
        <v>250</v>
      </c>
      <c r="P164" s="15">
        <v>750</v>
      </c>
    </row>
    <row r="165" spans="1:16" s="18" customFormat="1" ht="17.25" customHeight="1" x14ac:dyDescent="0.35">
      <c r="A165" s="110"/>
      <c r="B165" s="91" t="s">
        <v>9866</v>
      </c>
      <c r="C165" s="91" t="s">
        <v>10289</v>
      </c>
      <c r="D165" s="96" t="s">
        <v>10079</v>
      </c>
      <c r="E165" s="97" t="s">
        <v>10211</v>
      </c>
      <c r="F165" s="94" t="s">
        <v>9687</v>
      </c>
      <c r="G165" s="94" t="s">
        <v>9719</v>
      </c>
      <c r="H165" s="15" t="s">
        <v>9813</v>
      </c>
      <c r="I165" s="99">
        <v>549.4</v>
      </c>
      <c r="J165" s="99">
        <v>549.4</v>
      </c>
      <c r="K165" s="27" t="s">
        <v>9968</v>
      </c>
      <c r="L165" s="15" t="s">
        <v>9874</v>
      </c>
      <c r="M165" s="15" t="s">
        <v>10166</v>
      </c>
      <c r="N165" s="94" t="str">
        <f t="shared" si="4"/>
        <v>Sim</v>
      </c>
      <c r="O165" s="15">
        <v>250</v>
      </c>
      <c r="P165" s="15">
        <v>750</v>
      </c>
    </row>
    <row r="166" spans="1:16" ht="17.25" customHeight="1" x14ac:dyDescent="0.35">
      <c r="A166" s="110"/>
      <c r="B166" s="91" t="s">
        <v>9866</v>
      </c>
      <c r="C166" s="91" t="s">
        <v>10289</v>
      </c>
      <c r="D166" s="96" t="s">
        <v>10080</v>
      </c>
      <c r="E166" s="97" t="s">
        <v>10212</v>
      </c>
      <c r="F166" s="94" t="s">
        <v>9687</v>
      </c>
      <c r="G166" s="94" t="s">
        <v>9719</v>
      </c>
      <c r="H166" s="15" t="s">
        <v>9867</v>
      </c>
      <c r="I166" s="99">
        <v>4</v>
      </c>
      <c r="J166" s="99">
        <v>4</v>
      </c>
      <c r="K166" s="27" t="s">
        <v>9968</v>
      </c>
      <c r="L166" s="15" t="s">
        <v>9874</v>
      </c>
      <c r="M166" s="15" t="s">
        <v>10167</v>
      </c>
      <c r="N166" s="94" t="str">
        <f t="shared" si="4"/>
        <v>Sim</v>
      </c>
      <c r="O166" s="15">
        <v>1</v>
      </c>
      <c r="P166" s="15">
        <v>10</v>
      </c>
    </row>
    <row r="167" spans="1:16" ht="17.25" customHeight="1" x14ac:dyDescent="0.35">
      <c r="A167" s="110"/>
      <c r="B167" s="91" t="s">
        <v>9866</v>
      </c>
      <c r="C167" s="91" t="s">
        <v>10289</v>
      </c>
      <c r="D167" s="96" t="s">
        <v>10081</v>
      </c>
      <c r="E167" s="97" t="s">
        <v>10213</v>
      </c>
      <c r="F167" s="94" t="s">
        <v>9687</v>
      </c>
      <c r="G167" s="94" t="s">
        <v>9719</v>
      </c>
      <c r="H167" s="15" t="s">
        <v>9794</v>
      </c>
      <c r="I167" s="99">
        <v>150</v>
      </c>
      <c r="J167" s="99">
        <v>150</v>
      </c>
      <c r="K167" s="27" t="s">
        <v>9968</v>
      </c>
      <c r="L167" s="15" t="s">
        <v>9874</v>
      </c>
      <c r="M167" s="15" t="s">
        <v>9972</v>
      </c>
      <c r="N167" s="94" t="str">
        <f t="shared" si="4"/>
        <v>Sim</v>
      </c>
      <c r="O167" s="15">
        <v>0</v>
      </c>
      <c r="P167" s="15">
        <v>500</v>
      </c>
    </row>
    <row r="168" spans="1:16" ht="17.25" customHeight="1" x14ac:dyDescent="0.35">
      <c r="A168" s="110"/>
      <c r="B168" s="91" t="s">
        <v>9866</v>
      </c>
      <c r="C168" s="91" t="s">
        <v>10289</v>
      </c>
      <c r="D168" s="96" t="s">
        <v>10082</v>
      </c>
      <c r="E168" s="97" t="s">
        <v>10214</v>
      </c>
      <c r="F168" s="94" t="s">
        <v>9687</v>
      </c>
      <c r="G168" s="94" t="s">
        <v>9719</v>
      </c>
      <c r="H168" s="15" t="s">
        <v>9794</v>
      </c>
      <c r="I168" s="99">
        <v>0</v>
      </c>
      <c r="J168" s="99">
        <v>0</v>
      </c>
      <c r="K168" s="27" t="s">
        <v>9968</v>
      </c>
      <c r="L168" s="15" t="s">
        <v>9874</v>
      </c>
      <c r="M168" s="15" t="s">
        <v>10168</v>
      </c>
      <c r="N168" s="94" t="str">
        <f t="shared" si="4"/>
        <v>Sim</v>
      </c>
      <c r="O168" s="15">
        <v>0</v>
      </c>
      <c r="P168" s="15">
        <v>50</v>
      </c>
    </row>
    <row r="169" spans="1:16" ht="17.25" customHeight="1" x14ac:dyDescent="0.35">
      <c r="A169" s="110"/>
      <c r="B169" s="91" t="s">
        <v>9866</v>
      </c>
      <c r="C169" s="91" t="s">
        <v>10289</v>
      </c>
      <c r="D169" s="96" t="s">
        <v>10083</v>
      </c>
      <c r="E169" s="97" t="s">
        <v>10215</v>
      </c>
      <c r="F169" s="94" t="s">
        <v>10270</v>
      </c>
      <c r="G169" s="94" t="s">
        <v>9719</v>
      </c>
      <c r="H169" s="15" t="s">
        <v>10271</v>
      </c>
      <c r="I169" s="28" t="s">
        <v>9719</v>
      </c>
      <c r="J169" s="28" t="s">
        <v>9719</v>
      </c>
      <c r="K169" s="27" t="s">
        <v>9968</v>
      </c>
      <c r="L169" s="15" t="s">
        <v>9874</v>
      </c>
      <c r="M169" s="15" t="s">
        <v>9973</v>
      </c>
      <c r="N169" s="94" t="str">
        <f t="shared" si="4"/>
        <v>Sim</v>
      </c>
      <c r="O169" s="15" t="s">
        <v>9780</v>
      </c>
      <c r="P169" s="15" t="s">
        <v>10267</v>
      </c>
    </row>
    <row r="170" spans="1:16" ht="17.25" customHeight="1" x14ac:dyDescent="0.35">
      <c r="A170" s="110"/>
      <c r="B170" s="91" t="s">
        <v>9866</v>
      </c>
      <c r="C170" s="91" t="s">
        <v>10289</v>
      </c>
      <c r="D170" s="96" t="s">
        <v>10084</v>
      </c>
      <c r="E170" s="97" t="s">
        <v>10216</v>
      </c>
      <c r="F170" s="94" t="s">
        <v>9687</v>
      </c>
      <c r="G170" s="94" t="s">
        <v>9719</v>
      </c>
      <c r="H170" s="15" t="s">
        <v>9634</v>
      </c>
      <c r="I170" s="99">
        <v>0.25</v>
      </c>
      <c r="J170" s="99">
        <v>0.25</v>
      </c>
      <c r="K170" s="27" t="s">
        <v>9968</v>
      </c>
      <c r="L170" s="15" t="s">
        <v>9874</v>
      </c>
      <c r="M170" s="15" t="s">
        <v>9974</v>
      </c>
      <c r="N170" s="94" t="str">
        <f t="shared" si="4"/>
        <v>Sim</v>
      </c>
      <c r="O170" s="15">
        <v>0</v>
      </c>
      <c r="P170" s="15">
        <v>100</v>
      </c>
    </row>
    <row r="171" spans="1:16" ht="17.25" customHeight="1" x14ac:dyDescent="0.35">
      <c r="A171" s="110"/>
      <c r="B171" s="91" t="s">
        <v>9866</v>
      </c>
      <c r="C171" s="91" t="s">
        <v>10289</v>
      </c>
      <c r="D171" s="96" t="s">
        <v>10085</v>
      </c>
      <c r="E171" s="97" t="s">
        <v>10217</v>
      </c>
      <c r="F171" s="94" t="s">
        <v>9687</v>
      </c>
      <c r="G171" s="94" t="s">
        <v>9719</v>
      </c>
      <c r="H171" s="15" t="s">
        <v>9634</v>
      </c>
      <c r="I171" s="99">
        <v>0</v>
      </c>
      <c r="J171" s="99">
        <v>0</v>
      </c>
      <c r="K171" s="27" t="s">
        <v>9968</v>
      </c>
      <c r="L171" s="15" t="s">
        <v>9874</v>
      </c>
      <c r="M171" s="15" t="s">
        <v>9975</v>
      </c>
      <c r="N171" s="94" t="str">
        <f t="shared" si="4"/>
        <v>Sim</v>
      </c>
      <c r="O171" s="15">
        <v>0</v>
      </c>
      <c r="P171" s="15">
        <v>100</v>
      </c>
    </row>
    <row r="172" spans="1:16" ht="17.25" customHeight="1" x14ac:dyDescent="0.35">
      <c r="A172" s="110"/>
      <c r="B172" s="91" t="s">
        <v>9866</v>
      </c>
      <c r="C172" s="91" t="s">
        <v>10289</v>
      </c>
      <c r="D172" s="96" t="s">
        <v>10086</v>
      </c>
      <c r="E172" s="97" t="s">
        <v>10218</v>
      </c>
      <c r="F172" s="94" t="s">
        <v>9687</v>
      </c>
      <c r="G172" s="94" t="s">
        <v>9719</v>
      </c>
      <c r="H172" s="15" t="s">
        <v>9794</v>
      </c>
      <c r="I172" s="99">
        <v>950</v>
      </c>
      <c r="J172" s="99">
        <v>950</v>
      </c>
      <c r="K172" s="27" t="s">
        <v>9968</v>
      </c>
      <c r="L172" s="15" t="s">
        <v>9874</v>
      </c>
      <c r="M172" s="15" t="s">
        <v>9976</v>
      </c>
      <c r="N172" s="94" t="str">
        <f t="shared" si="4"/>
        <v>Sim</v>
      </c>
      <c r="O172" s="15">
        <v>0</v>
      </c>
      <c r="P172" s="15">
        <v>5000</v>
      </c>
    </row>
    <row r="173" spans="1:16" ht="17.25" customHeight="1" x14ac:dyDescent="0.35">
      <c r="A173" s="110"/>
      <c r="B173" s="91" t="s">
        <v>9866</v>
      </c>
      <c r="C173" s="91" t="s">
        <v>10289</v>
      </c>
      <c r="D173" s="96" t="s">
        <v>10087</v>
      </c>
      <c r="E173" s="97" t="s">
        <v>10219</v>
      </c>
      <c r="F173" s="94" t="s">
        <v>9687</v>
      </c>
      <c r="G173" s="94" t="s">
        <v>9719</v>
      </c>
      <c r="H173" s="15" t="s">
        <v>9794</v>
      </c>
      <c r="I173" s="28">
        <v>2000</v>
      </c>
      <c r="J173" s="28">
        <v>2000</v>
      </c>
      <c r="K173" s="27" t="s">
        <v>9968</v>
      </c>
      <c r="L173" s="15" t="s">
        <v>9874</v>
      </c>
      <c r="M173" s="15" t="s">
        <v>9977</v>
      </c>
      <c r="N173" s="94" t="str">
        <f t="shared" si="4"/>
        <v>Sim</v>
      </c>
      <c r="O173" s="15">
        <v>0</v>
      </c>
      <c r="P173" s="15">
        <v>5000</v>
      </c>
    </row>
    <row r="174" spans="1:16" ht="17.25" customHeight="1" x14ac:dyDescent="0.35">
      <c r="A174" s="110"/>
      <c r="B174" s="91" t="s">
        <v>9866</v>
      </c>
      <c r="C174" s="91" t="s">
        <v>10289</v>
      </c>
      <c r="D174" s="96" t="s">
        <v>10088</v>
      </c>
      <c r="E174" s="97" t="s">
        <v>10220</v>
      </c>
      <c r="F174" s="94" t="s">
        <v>9687</v>
      </c>
      <c r="G174" s="94" t="s">
        <v>9719</v>
      </c>
      <c r="H174" s="15" t="s">
        <v>9794</v>
      </c>
      <c r="I174" s="99">
        <v>2750</v>
      </c>
      <c r="J174" s="99">
        <v>2750</v>
      </c>
      <c r="K174" s="27" t="s">
        <v>9968</v>
      </c>
      <c r="L174" s="15" t="s">
        <v>9874</v>
      </c>
      <c r="M174" s="15" t="s">
        <v>9978</v>
      </c>
      <c r="N174" s="94" t="str">
        <f t="shared" si="4"/>
        <v>Sim</v>
      </c>
      <c r="O174" s="15">
        <v>0</v>
      </c>
      <c r="P174" s="15">
        <v>5000</v>
      </c>
    </row>
    <row r="175" spans="1:16" ht="17.25" customHeight="1" x14ac:dyDescent="0.35">
      <c r="A175" s="110"/>
      <c r="B175" s="91" t="s">
        <v>9866</v>
      </c>
      <c r="C175" s="91" t="s">
        <v>10289</v>
      </c>
      <c r="D175" s="96" t="s">
        <v>10089</v>
      </c>
      <c r="E175" s="97" t="s">
        <v>10221</v>
      </c>
      <c r="F175" s="94" t="s">
        <v>9687</v>
      </c>
      <c r="G175" s="94" t="s">
        <v>9719</v>
      </c>
      <c r="H175" s="15" t="s">
        <v>9794</v>
      </c>
      <c r="I175" s="99">
        <v>300</v>
      </c>
      <c r="J175" s="99">
        <v>300</v>
      </c>
      <c r="K175" s="27" t="s">
        <v>9968</v>
      </c>
      <c r="L175" s="15" t="s">
        <v>9874</v>
      </c>
      <c r="M175" s="15" t="s">
        <v>9979</v>
      </c>
      <c r="N175" s="94" t="str">
        <f t="shared" si="4"/>
        <v>Sim</v>
      </c>
      <c r="O175" s="15">
        <v>0</v>
      </c>
      <c r="P175" s="15">
        <v>1000</v>
      </c>
    </row>
    <row r="176" spans="1:16" ht="17.25" customHeight="1" x14ac:dyDescent="0.35">
      <c r="A176" s="110"/>
      <c r="B176" s="91" t="s">
        <v>9866</v>
      </c>
      <c r="C176" s="91" t="s">
        <v>10289</v>
      </c>
      <c r="D176" s="96" t="s">
        <v>10090</v>
      </c>
      <c r="E176" s="97" t="s">
        <v>10222</v>
      </c>
      <c r="F176" s="94" t="s">
        <v>9687</v>
      </c>
      <c r="G176" s="94" t="s">
        <v>9719</v>
      </c>
      <c r="H176" s="15" t="s">
        <v>9794</v>
      </c>
      <c r="I176" s="99">
        <v>1500</v>
      </c>
      <c r="J176" s="99">
        <v>1500</v>
      </c>
      <c r="K176" s="27" t="s">
        <v>9968</v>
      </c>
      <c r="L176" s="15" t="s">
        <v>9874</v>
      </c>
      <c r="M176" s="15" t="s">
        <v>9980</v>
      </c>
      <c r="N176" s="94" t="str">
        <f t="shared" si="4"/>
        <v>Sim</v>
      </c>
      <c r="O176" s="15">
        <v>0</v>
      </c>
      <c r="P176" s="15">
        <v>5000</v>
      </c>
    </row>
    <row r="177" spans="1:16" ht="17.25" customHeight="1" x14ac:dyDescent="0.35">
      <c r="A177" s="110"/>
      <c r="B177" s="91" t="s">
        <v>9866</v>
      </c>
      <c r="C177" s="91" t="s">
        <v>10289</v>
      </c>
      <c r="D177" s="96" t="s">
        <v>10091</v>
      </c>
      <c r="E177" s="97" t="s">
        <v>10223</v>
      </c>
      <c r="F177" s="94" t="s">
        <v>9687</v>
      </c>
      <c r="G177" s="94" t="s">
        <v>9719</v>
      </c>
      <c r="H177" s="15" t="s">
        <v>9794</v>
      </c>
      <c r="I177" s="99">
        <v>2250</v>
      </c>
      <c r="J177" s="99">
        <v>2250</v>
      </c>
      <c r="K177" s="27" t="s">
        <v>9968</v>
      </c>
      <c r="L177" s="15" t="s">
        <v>9874</v>
      </c>
      <c r="M177" s="15" t="s">
        <v>10162</v>
      </c>
      <c r="N177" s="94" t="str">
        <f t="shared" si="4"/>
        <v>Sim</v>
      </c>
      <c r="O177" s="15">
        <v>0</v>
      </c>
      <c r="P177" s="15">
        <v>5000</v>
      </c>
    </row>
    <row r="178" spans="1:16" ht="17.25" customHeight="1" x14ac:dyDescent="0.35">
      <c r="A178" s="110"/>
      <c r="B178" s="91" t="s">
        <v>9866</v>
      </c>
      <c r="C178" s="91" t="s">
        <v>10291</v>
      </c>
      <c r="D178" s="96" t="s">
        <v>10092</v>
      </c>
      <c r="E178" s="97" t="s">
        <v>10224</v>
      </c>
      <c r="F178" s="94" t="s">
        <v>9687</v>
      </c>
      <c r="G178" s="94" t="s">
        <v>9719</v>
      </c>
      <c r="H178" s="15" t="s">
        <v>9813</v>
      </c>
      <c r="I178" s="99">
        <v>500</v>
      </c>
      <c r="J178" s="99">
        <v>500</v>
      </c>
      <c r="K178" s="27" t="s">
        <v>9968</v>
      </c>
      <c r="L178" s="15" t="s">
        <v>9874</v>
      </c>
      <c r="M178" s="15" t="s">
        <v>9981</v>
      </c>
      <c r="N178" s="94" t="str">
        <f t="shared" si="4"/>
        <v>Sim</v>
      </c>
      <c r="O178" s="15">
        <v>400</v>
      </c>
      <c r="P178" s="15">
        <v>750</v>
      </c>
    </row>
    <row r="179" spans="1:16" ht="17.25" customHeight="1" x14ac:dyDescent="0.35">
      <c r="A179" s="110"/>
      <c r="B179" s="91" t="s">
        <v>9866</v>
      </c>
      <c r="C179" s="91" t="s">
        <v>10291</v>
      </c>
      <c r="D179" s="96" t="s">
        <v>10093</v>
      </c>
      <c r="E179" s="97" t="s">
        <v>10225</v>
      </c>
      <c r="F179" s="94" t="s">
        <v>9687</v>
      </c>
      <c r="G179" s="94" t="s">
        <v>9719</v>
      </c>
      <c r="H179" s="15" t="s">
        <v>9868</v>
      </c>
      <c r="I179" s="99">
        <v>5.21</v>
      </c>
      <c r="J179" s="99">
        <v>5.21</v>
      </c>
      <c r="K179" s="27" t="s">
        <v>9968</v>
      </c>
      <c r="L179" s="15" t="s">
        <v>9874</v>
      </c>
      <c r="M179" s="15" t="s">
        <v>9982</v>
      </c>
      <c r="N179" s="94" t="str">
        <f t="shared" si="4"/>
        <v>Sim</v>
      </c>
      <c r="O179" s="15">
        <v>0</v>
      </c>
      <c r="P179" s="15">
        <v>10</v>
      </c>
    </row>
    <row r="180" spans="1:16" ht="17.25" customHeight="1" x14ac:dyDescent="0.35">
      <c r="A180" s="110"/>
      <c r="B180" s="91" t="s">
        <v>9866</v>
      </c>
      <c r="C180" s="91" t="s">
        <v>10291</v>
      </c>
      <c r="D180" s="96" t="s">
        <v>10094</v>
      </c>
      <c r="E180" s="97" t="s">
        <v>10226</v>
      </c>
      <c r="F180" s="94" t="s">
        <v>9687</v>
      </c>
      <c r="G180" s="94" t="s">
        <v>9719</v>
      </c>
      <c r="H180" s="15" t="s">
        <v>9868</v>
      </c>
      <c r="I180" s="99">
        <v>5.21</v>
      </c>
      <c r="J180" s="99">
        <v>5.21</v>
      </c>
      <c r="K180" s="27" t="s">
        <v>9968</v>
      </c>
      <c r="L180" s="15" t="s">
        <v>9874</v>
      </c>
      <c r="M180" s="15" t="s">
        <v>9983</v>
      </c>
      <c r="N180" s="94" t="str">
        <f t="shared" si="4"/>
        <v>Sim</v>
      </c>
      <c r="O180" s="15">
        <v>0</v>
      </c>
      <c r="P180" s="15">
        <v>10</v>
      </c>
    </row>
    <row r="181" spans="1:16" ht="17.25" customHeight="1" x14ac:dyDescent="0.35">
      <c r="A181" s="110"/>
      <c r="B181" s="91" t="s">
        <v>9866</v>
      </c>
      <c r="C181" s="91" t="s">
        <v>10292</v>
      </c>
      <c r="D181" s="96" t="s">
        <v>10095</v>
      </c>
      <c r="E181" s="97" t="s">
        <v>10227</v>
      </c>
      <c r="F181" s="94" t="s">
        <v>9687</v>
      </c>
      <c r="G181" s="94" t="s">
        <v>9719</v>
      </c>
      <c r="H181" s="15" t="s">
        <v>9813</v>
      </c>
      <c r="I181" s="99">
        <v>520</v>
      </c>
      <c r="J181" s="99">
        <v>520</v>
      </c>
      <c r="K181" s="27" t="s">
        <v>9968</v>
      </c>
      <c r="L181" s="15" t="s">
        <v>9874</v>
      </c>
      <c r="M181" s="15" t="s">
        <v>9984</v>
      </c>
      <c r="N181" s="94" t="str">
        <f t="shared" si="4"/>
        <v>Sim</v>
      </c>
      <c r="O181" s="15">
        <v>400</v>
      </c>
      <c r="P181" s="15">
        <v>750</v>
      </c>
    </row>
    <row r="182" spans="1:16" s="18" customFormat="1" ht="17.25" customHeight="1" x14ac:dyDescent="0.35">
      <c r="A182" s="110"/>
      <c r="B182" s="91" t="s">
        <v>9866</v>
      </c>
      <c r="C182" s="91" t="s">
        <v>10292</v>
      </c>
      <c r="D182" s="96" t="s">
        <v>10096</v>
      </c>
      <c r="E182" s="97" t="s">
        <v>10228</v>
      </c>
      <c r="F182" s="94" t="s">
        <v>9687</v>
      </c>
      <c r="G182" s="94" t="s">
        <v>9719</v>
      </c>
      <c r="H182" s="15" t="s">
        <v>9813</v>
      </c>
      <c r="I182" s="99">
        <v>520</v>
      </c>
      <c r="J182" s="99">
        <v>520</v>
      </c>
      <c r="K182" s="27" t="s">
        <v>9968</v>
      </c>
      <c r="L182" s="15" t="s">
        <v>9874</v>
      </c>
      <c r="M182" s="15" t="s">
        <v>9985</v>
      </c>
      <c r="N182" s="94" t="str">
        <f t="shared" si="4"/>
        <v>Sim</v>
      </c>
      <c r="O182" s="15">
        <v>0</v>
      </c>
      <c r="P182" s="15">
        <v>750</v>
      </c>
    </row>
    <row r="183" spans="1:16" ht="17.25" customHeight="1" x14ac:dyDescent="0.35">
      <c r="A183" s="110"/>
      <c r="B183" s="91" t="s">
        <v>9866</v>
      </c>
      <c r="C183" s="91" t="s">
        <v>10292</v>
      </c>
      <c r="D183" s="96" t="s">
        <v>10093</v>
      </c>
      <c r="E183" s="97" t="s">
        <v>10229</v>
      </c>
      <c r="F183" s="94" t="s">
        <v>9687</v>
      </c>
      <c r="G183" s="94" t="s">
        <v>9719</v>
      </c>
      <c r="H183" s="15" t="s">
        <v>9868</v>
      </c>
      <c r="I183" s="99">
        <v>5.21</v>
      </c>
      <c r="J183" s="99">
        <v>5.21</v>
      </c>
      <c r="K183" s="27" t="s">
        <v>9968</v>
      </c>
      <c r="L183" s="15" t="s">
        <v>9874</v>
      </c>
      <c r="M183" s="15" t="s">
        <v>9986</v>
      </c>
      <c r="N183" s="94" t="str">
        <f t="shared" si="4"/>
        <v>Sim</v>
      </c>
      <c r="O183" s="15">
        <v>0</v>
      </c>
      <c r="P183" s="15">
        <v>10</v>
      </c>
    </row>
    <row r="184" spans="1:16" ht="17.25" customHeight="1" x14ac:dyDescent="0.35">
      <c r="A184" s="110"/>
      <c r="B184" s="91" t="s">
        <v>9866</v>
      </c>
      <c r="C184" s="91" t="s">
        <v>10292</v>
      </c>
      <c r="D184" s="96" t="s">
        <v>10094</v>
      </c>
      <c r="E184" s="97" t="s">
        <v>10230</v>
      </c>
      <c r="F184" s="94" t="s">
        <v>9687</v>
      </c>
      <c r="G184" s="94" t="s">
        <v>9719</v>
      </c>
      <c r="H184" s="15" t="s">
        <v>9868</v>
      </c>
      <c r="I184" s="99">
        <v>5.21</v>
      </c>
      <c r="J184" s="99">
        <v>5.21</v>
      </c>
      <c r="K184" s="27" t="s">
        <v>9968</v>
      </c>
      <c r="L184" s="15" t="s">
        <v>9874</v>
      </c>
      <c r="M184" s="15" t="s">
        <v>9987</v>
      </c>
      <c r="N184" s="94" t="str">
        <f t="shared" si="4"/>
        <v>Sim</v>
      </c>
      <c r="O184" s="15">
        <v>0</v>
      </c>
      <c r="P184" s="15">
        <v>10</v>
      </c>
    </row>
    <row r="185" spans="1:16" ht="17.25" customHeight="1" x14ac:dyDescent="0.35">
      <c r="A185" s="110" t="s">
        <v>10115</v>
      </c>
      <c r="B185" s="91" t="s">
        <v>9866</v>
      </c>
      <c r="C185" s="91" t="s">
        <v>10293</v>
      </c>
      <c r="D185" s="96" t="s">
        <v>10106</v>
      </c>
      <c r="E185" s="97" t="s">
        <v>10231</v>
      </c>
      <c r="F185" s="94" t="s">
        <v>9687</v>
      </c>
      <c r="G185" s="94" t="s">
        <v>9719</v>
      </c>
      <c r="H185" s="15" t="s">
        <v>9869</v>
      </c>
      <c r="I185" s="99">
        <v>4500000</v>
      </c>
      <c r="J185" s="99">
        <v>4500000</v>
      </c>
      <c r="K185" s="27" t="s">
        <v>9968</v>
      </c>
      <c r="L185" s="15" t="s">
        <v>9874</v>
      </c>
      <c r="M185" s="15" t="s">
        <v>9988</v>
      </c>
      <c r="N185" s="94" t="str">
        <f t="shared" si="4"/>
        <v>Sim</v>
      </c>
      <c r="O185" s="15">
        <v>0</v>
      </c>
      <c r="P185" s="15">
        <v>10000000</v>
      </c>
    </row>
    <row r="186" spans="1:16" ht="17.25" customHeight="1" x14ac:dyDescent="0.35">
      <c r="A186" s="110"/>
      <c r="B186" s="91" t="s">
        <v>9866</v>
      </c>
      <c r="C186" s="91" t="s">
        <v>10293</v>
      </c>
      <c r="D186" s="96" t="s">
        <v>10107</v>
      </c>
      <c r="E186" s="97" t="s">
        <v>10232</v>
      </c>
      <c r="F186" s="94" t="s">
        <v>9687</v>
      </c>
      <c r="G186" s="94" t="s">
        <v>9719</v>
      </c>
      <c r="H186" s="15" t="s">
        <v>9870</v>
      </c>
      <c r="I186" s="99">
        <v>25</v>
      </c>
      <c r="J186" s="99">
        <v>25</v>
      </c>
      <c r="K186" s="27" t="s">
        <v>9968</v>
      </c>
      <c r="L186" s="15" t="s">
        <v>9874</v>
      </c>
      <c r="M186" s="15" t="s">
        <v>9989</v>
      </c>
      <c r="N186" s="94" t="str">
        <f t="shared" si="4"/>
        <v>Sim</v>
      </c>
      <c r="O186" s="15">
        <v>0</v>
      </c>
      <c r="P186" s="15">
        <v>500</v>
      </c>
    </row>
    <row r="187" spans="1:16" ht="17.25" customHeight="1" x14ac:dyDescent="0.35">
      <c r="A187" s="110"/>
      <c r="B187" s="91" t="s">
        <v>9866</v>
      </c>
      <c r="C187" s="91" t="s">
        <v>10294</v>
      </c>
      <c r="D187" s="96" t="s">
        <v>10108</v>
      </c>
      <c r="E187" s="97" t="s">
        <v>10233</v>
      </c>
      <c r="F187" s="94" t="s">
        <v>9687</v>
      </c>
      <c r="G187" s="94" t="s">
        <v>9719</v>
      </c>
      <c r="H187" s="15" t="s">
        <v>9871</v>
      </c>
      <c r="I187" s="99">
        <v>25</v>
      </c>
      <c r="J187" s="99">
        <v>25</v>
      </c>
      <c r="K187" s="27" t="s">
        <v>9968</v>
      </c>
      <c r="L187" s="15" t="s">
        <v>9874</v>
      </c>
      <c r="M187" s="15" t="s">
        <v>9990</v>
      </c>
      <c r="N187" s="94" t="str">
        <f t="shared" si="4"/>
        <v>Sim</v>
      </c>
      <c r="O187" s="15">
        <v>0</v>
      </c>
      <c r="P187" s="15">
        <v>500</v>
      </c>
    </row>
    <row r="188" spans="1:16" ht="17.25" customHeight="1" x14ac:dyDescent="0.35">
      <c r="A188" s="110"/>
      <c r="B188" s="91" t="s">
        <v>9866</v>
      </c>
      <c r="C188" s="91" t="s">
        <v>10294</v>
      </c>
      <c r="D188" s="96" t="s">
        <v>10109</v>
      </c>
      <c r="E188" s="97" t="s">
        <v>10234</v>
      </c>
      <c r="F188" s="94" t="s">
        <v>9687</v>
      </c>
      <c r="G188" s="94" t="s">
        <v>9719</v>
      </c>
      <c r="H188" s="15" t="s">
        <v>9872</v>
      </c>
      <c r="I188" s="99">
        <v>2000</v>
      </c>
      <c r="J188" s="99">
        <v>2000</v>
      </c>
      <c r="K188" s="27" t="s">
        <v>9968</v>
      </c>
      <c r="L188" s="15" t="s">
        <v>9874</v>
      </c>
      <c r="M188" s="15" t="s">
        <v>9991</v>
      </c>
      <c r="N188" s="94" t="str">
        <f t="shared" si="4"/>
        <v>Sim</v>
      </c>
      <c r="O188" s="15">
        <v>0</v>
      </c>
      <c r="P188" s="15">
        <v>5000</v>
      </c>
    </row>
    <row r="189" spans="1:16" ht="17.25" customHeight="1" x14ac:dyDescent="0.35">
      <c r="A189" s="110"/>
      <c r="B189" s="91" t="s">
        <v>9866</v>
      </c>
      <c r="C189" s="91" t="s">
        <v>10294</v>
      </c>
      <c r="D189" s="96" t="s">
        <v>10110</v>
      </c>
      <c r="E189" s="97" t="s">
        <v>10238</v>
      </c>
      <c r="F189" s="94" t="s">
        <v>9687</v>
      </c>
      <c r="G189" s="94" t="s">
        <v>9719</v>
      </c>
      <c r="H189" s="15" t="s">
        <v>9952</v>
      </c>
      <c r="I189" s="99">
        <v>10</v>
      </c>
      <c r="J189" s="99">
        <v>10</v>
      </c>
      <c r="K189" s="27" t="s">
        <v>9968</v>
      </c>
      <c r="L189" s="15" t="s">
        <v>9874</v>
      </c>
      <c r="M189" s="15" t="s">
        <v>10331</v>
      </c>
      <c r="N189" s="94" t="str">
        <f t="shared" si="4"/>
        <v>Sim</v>
      </c>
      <c r="O189" s="15">
        <v>0</v>
      </c>
      <c r="P189" s="15">
        <v>10</v>
      </c>
    </row>
    <row r="190" spans="1:16" ht="17.25" customHeight="1" x14ac:dyDescent="0.35">
      <c r="A190" s="110"/>
      <c r="B190" s="91" t="s">
        <v>9866</v>
      </c>
      <c r="C190" s="91" t="s">
        <v>10294</v>
      </c>
      <c r="D190" s="96" t="s">
        <v>10111</v>
      </c>
      <c r="E190" s="97" t="s">
        <v>10235</v>
      </c>
      <c r="F190" s="94" t="s">
        <v>9687</v>
      </c>
      <c r="G190" s="94" t="s">
        <v>9719</v>
      </c>
      <c r="H190" s="15" t="s">
        <v>9870</v>
      </c>
      <c r="I190" s="99">
        <v>25</v>
      </c>
      <c r="J190" s="99">
        <v>25</v>
      </c>
      <c r="K190" s="27" t="s">
        <v>9968</v>
      </c>
      <c r="L190" s="15" t="s">
        <v>9874</v>
      </c>
      <c r="M190" s="15" t="s">
        <v>10332</v>
      </c>
      <c r="N190" s="94" t="str">
        <f t="shared" si="4"/>
        <v>Sim</v>
      </c>
      <c r="O190" s="15">
        <v>0</v>
      </c>
      <c r="P190" s="15">
        <v>100</v>
      </c>
    </row>
    <row r="191" spans="1:16" ht="17.25" customHeight="1" x14ac:dyDescent="0.35">
      <c r="A191" s="110"/>
      <c r="B191" s="91" t="s">
        <v>9866</v>
      </c>
      <c r="C191" s="91" t="s">
        <v>10295</v>
      </c>
      <c r="D191" s="96" t="s">
        <v>10112</v>
      </c>
      <c r="E191" s="97" t="s">
        <v>10236</v>
      </c>
      <c r="F191" s="94" t="s">
        <v>9687</v>
      </c>
      <c r="G191" s="94" t="s">
        <v>9719</v>
      </c>
      <c r="H191" s="15" t="s">
        <v>9873</v>
      </c>
      <c r="I191" s="99">
        <v>50</v>
      </c>
      <c r="J191" s="99">
        <v>50</v>
      </c>
      <c r="K191" s="27" t="s">
        <v>9968</v>
      </c>
      <c r="L191" s="15" t="s">
        <v>9874</v>
      </c>
      <c r="M191" s="15" t="s">
        <v>9992</v>
      </c>
      <c r="N191" s="94" t="str">
        <f t="shared" si="4"/>
        <v>Sim</v>
      </c>
      <c r="O191" s="15">
        <v>0</v>
      </c>
      <c r="P191" s="15">
        <v>500</v>
      </c>
    </row>
    <row r="192" spans="1:16" ht="17.25" customHeight="1" x14ac:dyDescent="0.35">
      <c r="A192" s="110"/>
      <c r="B192" s="91" t="s">
        <v>9866</v>
      </c>
      <c r="C192" s="91" t="s">
        <v>10295</v>
      </c>
      <c r="D192" s="96" t="s">
        <v>10113</v>
      </c>
      <c r="E192" s="97" t="s">
        <v>10237</v>
      </c>
      <c r="F192" s="94" t="s">
        <v>9687</v>
      </c>
      <c r="G192" s="94" t="s">
        <v>9719</v>
      </c>
      <c r="H192" s="15" t="s">
        <v>9872</v>
      </c>
      <c r="I192" s="99">
        <v>2250</v>
      </c>
      <c r="J192" s="99">
        <v>2250</v>
      </c>
      <c r="K192" s="27" t="s">
        <v>9968</v>
      </c>
      <c r="L192" s="15" t="s">
        <v>9874</v>
      </c>
      <c r="M192" s="15" t="s">
        <v>9993</v>
      </c>
      <c r="N192" s="94" t="str">
        <f t="shared" si="4"/>
        <v>Sim</v>
      </c>
      <c r="O192" s="15">
        <v>0</v>
      </c>
      <c r="P192" s="15">
        <v>5000</v>
      </c>
    </row>
    <row r="193" spans="1:16" ht="17.25" customHeight="1" x14ac:dyDescent="0.35">
      <c r="A193" s="110"/>
      <c r="B193" s="91" t="s">
        <v>9866</v>
      </c>
      <c r="C193" s="91" t="s">
        <v>10295</v>
      </c>
      <c r="D193" s="96" t="s">
        <v>10110</v>
      </c>
      <c r="E193" s="97" t="s">
        <v>10239</v>
      </c>
      <c r="F193" s="94" t="s">
        <v>9687</v>
      </c>
      <c r="G193" s="94" t="s">
        <v>9719</v>
      </c>
      <c r="H193" s="15" t="s">
        <v>9952</v>
      </c>
      <c r="I193" s="99">
        <v>5</v>
      </c>
      <c r="J193" s="99">
        <v>5</v>
      </c>
      <c r="K193" s="27" t="s">
        <v>9968</v>
      </c>
      <c r="L193" s="15" t="s">
        <v>9874</v>
      </c>
      <c r="M193" s="15" t="s">
        <v>9994</v>
      </c>
      <c r="N193" s="94" t="str">
        <f t="shared" si="4"/>
        <v>Sim</v>
      </c>
      <c r="O193" s="15">
        <v>0</v>
      </c>
      <c r="P193" s="15">
        <v>10</v>
      </c>
    </row>
    <row r="194" spans="1:16" ht="17.25" customHeight="1" x14ac:dyDescent="0.35">
      <c r="A194" s="110"/>
      <c r="B194" s="91" t="s">
        <v>9866</v>
      </c>
      <c r="C194" s="91" t="s">
        <v>10295</v>
      </c>
      <c r="D194" s="96" t="s">
        <v>10114</v>
      </c>
      <c r="E194" s="97" t="s">
        <v>10240</v>
      </c>
      <c r="F194" s="94" t="s">
        <v>9687</v>
      </c>
      <c r="G194" s="94" t="s">
        <v>9719</v>
      </c>
      <c r="H194" s="15" t="s">
        <v>9870</v>
      </c>
      <c r="I194" s="99">
        <v>25</v>
      </c>
      <c r="J194" s="99">
        <v>25</v>
      </c>
      <c r="K194" s="27" t="s">
        <v>9968</v>
      </c>
      <c r="L194" s="15" t="s">
        <v>9874</v>
      </c>
      <c r="M194" s="15" t="s">
        <v>9995</v>
      </c>
      <c r="N194" s="94" t="str">
        <f t="shared" si="4"/>
        <v>Sim</v>
      </c>
      <c r="O194" s="15">
        <v>0</v>
      </c>
      <c r="P194" s="15">
        <v>100</v>
      </c>
    </row>
    <row r="195" spans="1:16" ht="17.25" customHeight="1" x14ac:dyDescent="0.35">
      <c r="A195" s="110" t="s">
        <v>10116</v>
      </c>
      <c r="B195" s="91" t="s">
        <v>9866</v>
      </c>
      <c r="C195" s="91" t="s">
        <v>10293</v>
      </c>
      <c r="D195" s="96" t="s">
        <v>10097</v>
      </c>
      <c r="E195" s="97" t="s">
        <v>10241</v>
      </c>
      <c r="F195" s="94" t="s">
        <v>9687</v>
      </c>
      <c r="G195" s="94" t="s">
        <v>9719</v>
      </c>
      <c r="H195" s="15" t="s">
        <v>9869</v>
      </c>
      <c r="I195" s="99">
        <v>4500000</v>
      </c>
      <c r="J195" s="99">
        <v>4500000</v>
      </c>
      <c r="K195" s="27" t="s">
        <v>9968</v>
      </c>
      <c r="L195" s="15" t="s">
        <v>9874</v>
      </c>
      <c r="M195" s="15" t="s">
        <v>9988</v>
      </c>
      <c r="N195" s="94" t="str">
        <f t="shared" si="4"/>
        <v>Sim</v>
      </c>
      <c r="O195" s="15">
        <v>0</v>
      </c>
      <c r="P195" s="15">
        <v>10000000</v>
      </c>
    </row>
    <row r="196" spans="1:16" ht="17.25" customHeight="1" x14ac:dyDescent="0.35">
      <c r="A196" s="110"/>
      <c r="B196" s="91" t="s">
        <v>9866</v>
      </c>
      <c r="C196" s="91" t="s">
        <v>10293</v>
      </c>
      <c r="D196" s="96" t="s">
        <v>10098</v>
      </c>
      <c r="E196" s="97" t="s">
        <v>10242</v>
      </c>
      <c r="F196" s="94" t="s">
        <v>9687</v>
      </c>
      <c r="G196" s="94" t="s">
        <v>9719</v>
      </c>
      <c r="H196" s="15" t="s">
        <v>9870</v>
      </c>
      <c r="I196" s="99">
        <v>25</v>
      </c>
      <c r="J196" s="99">
        <v>25</v>
      </c>
      <c r="K196" s="27" t="s">
        <v>9968</v>
      </c>
      <c r="L196" s="15" t="s">
        <v>9874</v>
      </c>
      <c r="M196" s="15" t="s">
        <v>9989</v>
      </c>
      <c r="N196" s="94" t="str">
        <f t="shared" si="4"/>
        <v>Sim</v>
      </c>
      <c r="O196" s="15">
        <v>0</v>
      </c>
      <c r="P196" s="15">
        <v>500</v>
      </c>
    </row>
    <row r="197" spans="1:16" ht="17.25" customHeight="1" x14ac:dyDescent="0.35">
      <c r="A197" s="110"/>
      <c r="B197" s="91" t="s">
        <v>9866</v>
      </c>
      <c r="C197" s="91" t="s">
        <v>10294</v>
      </c>
      <c r="D197" s="96" t="s">
        <v>10099</v>
      </c>
      <c r="E197" s="97" t="s">
        <v>10243</v>
      </c>
      <c r="F197" s="94" t="s">
        <v>9687</v>
      </c>
      <c r="G197" s="94" t="s">
        <v>9719</v>
      </c>
      <c r="H197" s="15" t="s">
        <v>9871</v>
      </c>
      <c r="I197" s="99">
        <v>25</v>
      </c>
      <c r="J197" s="99">
        <v>25</v>
      </c>
      <c r="K197" s="27" t="s">
        <v>9968</v>
      </c>
      <c r="L197" s="15" t="s">
        <v>9874</v>
      </c>
      <c r="M197" s="15" t="s">
        <v>9990</v>
      </c>
      <c r="N197" s="94" t="str">
        <f t="shared" si="4"/>
        <v>Sim</v>
      </c>
      <c r="O197" s="15">
        <v>0</v>
      </c>
      <c r="P197" s="15">
        <v>500</v>
      </c>
    </row>
    <row r="198" spans="1:16" ht="17.25" customHeight="1" x14ac:dyDescent="0.35">
      <c r="A198" s="110"/>
      <c r="B198" s="91" t="s">
        <v>9866</v>
      </c>
      <c r="C198" s="91" t="s">
        <v>10294</v>
      </c>
      <c r="D198" s="96" t="s">
        <v>10100</v>
      </c>
      <c r="E198" s="97" t="s">
        <v>10244</v>
      </c>
      <c r="F198" s="94" t="s">
        <v>9687</v>
      </c>
      <c r="G198" s="94" t="s">
        <v>9719</v>
      </c>
      <c r="H198" s="15" t="s">
        <v>9872</v>
      </c>
      <c r="I198" s="99">
        <v>2000</v>
      </c>
      <c r="J198" s="99">
        <v>2000</v>
      </c>
      <c r="K198" s="27" t="s">
        <v>9968</v>
      </c>
      <c r="L198" s="15" t="s">
        <v>9874</v>
      </c>
      <c r="M198" s="15" t="s">
        <v>9991</v>
      </c>
      <c r="N198" s="94" t="str">
        <f t="shared" si="4"/>
        <v>Sim</v>
      </c>
      <c r="O198" s="15">
        <v>0</v>
      </c>
      <c r="P198" s="15">
        <v>5000</v>
      </c>
    </row>
    <row r="199" spans="1:16" ht="17.25" customHeight="1" x14ac:dyDescent="0.35">
      <c r="A199" s="110"/>
      <c r="B199" s="91" t="s">
        <v>9866</v>
      </c>
      <c r="C199" s="91" t="s">
        <v>10294</v>
      </c>
      <c r="D199" s="96" t="s">
        <v>10101</v>
      </c>
      <c r="E199" s="97" t="s">
        <v>10245</v>
      </c>
      <c r="F199" s="94" t="s">
        <v>9687</v>
      </c>
      <c r="G199" s="94" t="s">
        <v>9719</v>
      </c>
      <c r="H199" s="15" t="s">
        <v>9952</v>
      </c>
      <c r="I199" s="99">
        <v>10</v>
      </c>
      <c r="J199" s="99">
        <v>10</v>
      </c>
      <c r="K199" s="27" t="s">
        <v>9968</v>
      </c>
      <c r="L199" s="15" t="s">
        <v>9874</v>
      </c>
      <c r="M199" s="15" t="s">
        <v>10331</v>
      </c>
      <c r="N199" s="94" t="str">
        <f t="shared" si="4"/>
        <v>Sim</v>
      </c>
      <c r="O199" s="15">
        <v>0</v>
      </c>
      <c r="P199" s="15">
        <v>10</v>
      </c>
    </row>
    <row r="200" spans="1:16" ht="17.25" customHeight="1" x14ac:dyDescent="0.35">
      <c r="A200" s="110"/>
      <c r="B200" s="91" t="s">
        <v>9866</v>
      </c>
      <c r="C200" s="91" t="s">
        <v>10294</v>
      </c>
      <c r="D200" s="96" t="s">
        <v>10102</v>
      </c>
      <c r="E200" s="97" t="s">
        <v>10246</v>
      </c>
      <c r="F200" s="94" t="s">
        <v>9687</v>
      </c>
      <c r="G200" s="94" t="s">
        <v>9719</v>
      </c>
      <c r="H200" s="15" t="s">
        <v>9870</v>
      </c>
      <c r="I200" s="99">
        <v>25</v>
      </c>
      <c r="J200" s="99">
        <v>25</v>
      </c>
      <c r="K200" s="27" t="s">
        <v>9968</v>
      </c>
      <c r="L200" s="15" t="s">
        <v>9874</v>
      </c>
      <c r="M200" s="15" t="s">
        <v>10332</v>
      </c>
      <c r="N200" s="94" t="str">
        <f t="shared" si="4"/>
        <v>Sim</v>
      </c>
      <c r="O200" s="15">
        <v>0</v>
      </c>
      <c r="P200" s="15">
        <v>100</v>
      </c>
    </row>
    <row r="201" spans="1:16" ht="17.25" customHeight="1" x14ac:dyDescent="0.35">
      <c r="A201" s="110"/>
      <c r="B201" s="91" t="s">
        <v>9866</v>
      </c>
      <c r="C201" s="91" t="s">
        <v>10295</v>
      </c>
      <c r="D201" s="96" t="s">
        <v>10103</v>
      </c>
      <c r="E201" s="97" t="s">
        <v>10247</v>
      </c>
      <c r="F201" s="94" t="s">
        <v>9687</v>
      </c>
      <c r="G201" s="94" t="s">
        <v>9719</v>
      </c>
      <c r="H201" s="15" t="s">
        <v>9873</v>
      </c>
      <c r="I201" s="99">
        <v>50</v>
      </c>
      <c r="J201" s="99">
        <v>50</v>
      </c>
      <c r="K201" s="27" t="s">
        <v>9968</v>
      </c>
      <c r="L201" s="15" t="s">
        <v>9874</v>
      </c>
      <c r="M201" s="15" t="s">
        <v>9993</v>
      </c>
      <c r="N201" s="94" t="str">
        <f t="shared" si="4"/>
        <v>Sim</v>
      </c>
      <c r="O201" s="15">
        <v>0</v>
      </c>
      <c r="P201" s="15">
        <v>500</v>
      </c>
    </row>
    <row r="202" spans="1:16" ht="17.25" customHeight="1" x14ac:dyDescent="0.35">
      <c r="A202" s="110"/>
      <c r="B202" s="91" t="s">
        <v>9866</v>
      </c>
      <c r="C202" s="91" t="s">
        <v>10295</v>
      </c>
      <c r="D202" s="96" t="s">
        <v>10104</v>
      </c>
      <c r="E202" s="97" t="s">
        <v>10248</v>
      </c>
      <c r="F202" s="94" t="s">
        <v>9687</v>
      </c>
      <c r="G202" s="94" t="s">
        <v>9719</v>
      </c>
      <c r="H202" s="15" t="s">
        <v>9872</v>
      </c>
      <c r="I202" s="99">
        <v>2250</v>
      </c>
      <c r="J202" s="99">
        <v>2250</v>
      </c>
      <c r="K202" s="27" t="s">
        <v>9968</v>
      </c>
      <c r="L202" s="15" t="s">
        <v>9874</v>
      </c>
      <c r="M202" s="15" t="s">
        <v>9994</v>
      </c>
      <c r="N202" s="94" t="str">
        <f t="shared" si="4"/>
        <v>Sim</v>
      </c>
      <c r="O202" s="15">
        <v>0</v>
      </c>
      <c r="P202" s="15">
        <v>5000</v>
      </c>
    </row>
    <row r="203" spans="1:16" ht="17.25" customHeight="1" x14ac:dyDescent="0.35">
      <c r="A203" s="110"/>
      <c r="B203" s="91" t="s">
        <v>9866</v>
      </c>
      <c r="C203" s="91" t="s">
        <v>10295</v>
      </c>
      <c r="D203" s="96" t="s">
        <v>10101</v>
      </c>
      <c r="E203" s="97" t="s">
        <v>10249</v>
      </c>
      <c r="F203" s="94" t="s">
        <v>9687</v>
      </c>
      <c r="G203" s="94" t="s">
        <v>9719</v>
      </c>
      <c r="H203" s="15" t="s">
        <v>9952</v>
      </c>
      <c r="I203" s="99">
        <v>5</v>
      </c>
      <c r="J203" s="99">
        <v>5</v>
      </c>
      <c r="K203" s="27" t="s">
        <v>9968</v>
      </c>
      <c r="L203" s="15" t="s">
        <v>9874</v>
      </c>
      <c r="M203" s="15" t="s">
        <v>10333</v>
      </c>
      <c r="N203" s="94" t="str">
        <f t="shared" si="4"/>
        <v>Sim</v>
      </c>
      <c r="O203" s="15">
        <v>0</v>
      </c>
      <c r="P203" s="15">
        <v>10</v>
      </c>
    </row>
    <row r="204" spans="1:16" ht="17.25" customHeight="1" x14ac:dyDescent="0.35">
      <c r="A204" s="110"/>
      <c r="B204" s="91" t="s">
        <v>9866</v>
      </c>
      <c r="C204" s="91" t="s">
        <v>10295</v>
      </c>
      <c r="D204" s="96" t="s">
        <v>10105</v>
      </c>
      <c r="E204" s="97" t="s">
        <v>10250</v>
      </c>
      <c r="F204" s="94" t="s">
        <v>9687</v>
      </c>
      <c r="G204" s="94" t="s">
        <v>9719</v>
      </c>
      <c r="H204" s="15" t="s">
        <v>9870</v>
      </c>
      <c r="I204" s="99">
        <v>25</v>
      </c>
      <c r="J204" s="99">
        <v>25</v>
      </c>
      <c r="K204" s="27" t="s">
        <v>9968</v>
      </c>
      <c r="L204" s="15" t="s">
        <v>9874</v>
      </c>
      <c r="M204" s="15" t="s">
        <v>10334</v>
      </c>
      <c r="N204" s="94" t="str">
        <f t="shared" si="4"/>
        <v>Sim</v>
      </c>
      <c r="O204" s="15">
        <v>0</v>
      </c>
      <c r="P204" s="15">
        <v>100</v>
      </c>
    </row>
    <row r="205" spans="1:16" ht="17.25" customHeight="1" x14ac:dyDescent="0.35">
      <c r="A205" s="90" t="s">
        <v>10359</v>
      </c>
      <c r="B205" s="91" t="s">
        <v>9866</v>
      </c>
      <c r="C205" s="91" t="s">
        <v>10360</v>
      </c>
      <c r="D205" s="96" t="s">
        <v>10361</v>
      </c>
      <c r="E205" s="97" t="s">
        <v>10362</v>
      </c>
      <c r="F205" s="94" t="s">
        <v>9642</v>
      </c>
      <c r="G205" s="94" t="s">
        <v>9719</v>
      </c>
      <c r="H205" s="15" t="s">
        <v>9780</v>
      </c>
      <c r="I205" s="99" t="s">
        <v>9720</v>
      </c>
      <c r="J205" s="99" t="s">
        <v>9780</v>
      </c>
      <c r="K205" s="27" t="s">
        <v>9780</v>
      </c>
      <c r="L205" s="15" t="s">
        <v>9780</v>
      </c>
      <c r="M205" s="15" t="s">
        <v>9780</v>
      </c>
      <c r="N205" s="94" t="str">
        <f t="shared" si="4"/>
        <v>Sim</v>
      </c>
      <c r="O205" s="15" t="s">
        <v>9780</v>
      </c>
      <c r="P205" s="15" t="s">
        <v>9780</v>
      </c>
    </row>
    <row r="206" spans="1:16" ht="17.25" customHeight="1" x14ac:dyDescent="0.35">
      <c r="A206" s="111" t="s">
        <v>10358</v>
      </c>
      <c r="B206" s="3" t="s">
        <v>10340</v>
      </c>
      <c r="C206" s="3" t="s">
        <v>10567</v>
      </c>
      <c r="D206" s="92" t="s">
        <v>10341</v>
      </c>
      <c r="E206" s="93" t="s">
        <v>10341</v>
      </c>
      <c r="F206" s="3" t="s">
        <v>9642</v>
      </c>
      <c r="G206" s="94" t="s">
        <v>9719</v>
      </c>
      <c r="H206" s="3" t="s">
        <v>9780</v>
      </c>
      <c r="I206"/>
      <c r="J206" t="s">
        <v>10421</v>
      </c>
      <c r="K206" s="3" t="s">
        <v>9780</v>
      </c>
      <c r="L206" s="3" t="s">
        <v>9780</v>
      </c>
      <c r="M206" s="3" t="s">
        <v>9780</v>
      </c>
      <c r="N206" s="94" t="str">
        <f t="shared" ref="N206" si="5">IF(F206="String",IF(I206&lt;&gt;"","Sim","Não"),IF(F206="List",IF(I206&lt;&gt;"","Sim","Não"),IF(AND(I206&gt;=O206,I206&lt;=P206,I206&lt;&gt;""),"Sim","Não")))</f>
        <v>Não</v>
      </c>
      <c r="O206" s="3" t="s">
        <v>9780</v>
      </c>
      <c r="P206" s="3" t="s">
        <v>9780</v>
      </c>
    </row>
    <row r="207" spans="1:16" ht="17.25" customHeight="1" x14ac:dyDescent="0.35">
      <c r="A207" s="111"/>
      <c r="B207" s="3" t="s">
        <v>10340</v>
      </c>
      <c r="C207" s="3" t="s">
        <v>10567</v>
      </c>
      <c r="D207" s="92" t="s">
        <v>10342</v>
      </c>
      <c r="E207" s="93" t="s">
        <v>10342</v>
      </c>
      <c r="F207" s="3" t="s">
        <v>9642</v>
      </c>
      <c r="G207" s="94" t="s">
        <v>9719</v>
      </c>
      <c r="H207" s="3" t="s">
        <v>9780</v>
      </c>
      <c r="I207"/>
      <c r="J207" t="s">
        <v>10422</v>
      </c>
      <c r="K207" s="3" t="s">
        <v>9780</v>
      </c>
      <c r="L207" s="3" t="s">
        <v>9780</v>
      </c>
      <c r="M207" s="3" t="s">
        <v>9780</v>
      </c>
      <c r="N207" s="94" t="str">
        <f t="shared" ref="N207" si="6">IF(F207="String",IF(I207&lt;&gt;"","Sim","Não"),IF(F207="List",IF(I207&lt;&gt;"","Sim","Não"),IF(AND(I207&gt;=O207,I207&lt;=P207,I207&lt;&gt;""),"Sim","Não")))</f>
        <v>Não</v>
      </c>
      <c r="O207" s="3" t="s">
        <v>9780</v>
      </c>
      <c r="P207" s="3" t="s">
        <v>9780</v>
      </c>
    </row>
    <row r="208" spans="1:16" ht="17.25" customHeight="1" x14ac:dyDescent="0.35">
      <c r="A208" s="111"/>
      <c r="B208" s="3" t="s">
        <v>10340</v>
      </c>
      <c r="C208" s="3" t="s">
        <v>10567</v>
      </c>
      <c r="D208" s="92" t="s">
        <v>10343</v>
      </c>
      <c r="E208" s="93" t="s">
        <v>10343</v>
      </c>
      <c r="F208" s="3" t="s">
        <v>9642</v>
      </c>
      <c r="G208" s="94" t="s">
        <v>9719</v>
      </c>
      <c r="H208" s="3" t="s">
        <v>9780</v>
      </c>
      <c r="I208"/>
      <c r="J208" t="s">
        <v>10423</v>
      </c>
      <c r="K208" s="3" t="s">
        <v>9780</v>
      </c>
      <c r="L208" s="3" t="s">
        <v>9780</v>
      </c>
      <c r="M208" s="3" t="s">
        <v>9780</v>
      </c>
      <c r="N208" s="94" t="str">
        <f t="shared" ref="N208:N220" si="7"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35">
      <c r="A209" s="111"/>
      <c r="B209" s="3" t="s">
        <v>10340</v>
      </c>
      <c r="C209" s="3" t="s">
        <v>10567</v>
      </c>
      <c r="D209" s="92" t="s">
        <v>10344</v>
      </c>
      <c r="E209" s="93" t="s">
        <v>10344</v>
      </c>
      <c r="F209" s="3" t="s">
        <v>9642</v>
      </c>
      <c r="G209" s="94" t="s">
        <v>9719</v>
      </c>
      <c r="H209" s="3" t="s">
        <v>9780</v>
      </c>
      <c r="I209"/>
      <c r="J209" t="s">
        <v>10424</v>
      </c>
      <c r="K209" s="3" t="s">
        <v>9780</v>
      </c>
      <c r="L209" s="3" t="s">
        <v>9780</v>
      </c>
      <c r="M209" s="3" t="s">
        <v>9780</v>
      </c>
      <c r="N209" s="94" t="str">
        <f t="shared" si="7"/>
        <v>Não</v>
      </c>
      <c r="O209" s="3" t="s">
        <v>9780</v>
      </c>
      <c r="P209" s="3" t="s">
        <v>9780</v>
      </c>
    </row>
    <row r="210" spans="1:16" ht="17.25" customHeight="1" x14ac:dyDescent="0.35">
      <c r="A210" s="111"/>
      <c r="B210" s="3" t="s">
        <v>10340</v>
      </c>
      <c r="C210" s="3" t="s">
        <v>10567</v>
      </c>
      <c r="D210" s="92" t="s">
        <v>10345</v>
      </c>
      <c r="E210" s="93" t="s">
        <v>10345</v>
      </c>
      <c r="F210" s="3" t="s">
        <v>9642</v>
      </c>
      <c r="G210" s="94" t="s">
        <v>9719</v>
      </c>
      <c r="H210" s="3" t="s">
        <v>9780</v>
      </c>
      <c r="I210"/>
      <c r="J210" t="s">
        <v>10425</v>
      </c>
      <c r="K210" s="3" t="s">
        <v>9780</v>
      </c>
      <c r="L210" s="3" t="s">
        <v>9780</v>
      </c>
      <c r="M210" s="3" t="s">
        <v>9780</v>
      </c>
      <c r="N210" s="94" t="str">
        <f t="shared" si="7"/>
        <v>Não</v>
      </c>
      <c r="O210" s="3" t="s">
        <v>9780</v>
      </c>
      <c r="P210" s="3" t="s">
        <v>9780</v>
      </c>
    </row>
    <row r="211" spans="1:16" ht="17.25" customHeight="1" x14ac:dyDescent="0.35">
      <c r="A211" s="111"/>
      <c r="B211" s="3" t="s">
        <v>10340</v>
      </c>
      <c r="C211" s="3" t="s">
        <v>10567</v>
      </c>
      <c r="D211" s="92" t="s">
        <v>10346</v>
      </c>
      <c r="E211" s="93" t="s">
        <v>10346</v>
      </c>
      <c r="F211" s="3" t="s">
        <v>9642</v>
      </c>
      <c r="G211" s="94" t="s">
        <v>9719</v>
      </c>
      <c r="H211" s="3" t="s">
        <v>9780</v>
      </c>
      <c r="I211"/>
      <c r="J211" t="s">
        <v>10434</v>
      </c>
      <c r="K211" s="3" t="s">
        <v>9780</v>
      </c>
      <c r="L211" s="3" t="s">
        <v>9780</v>
      </c>
      <c r="M211" s="3" t="s">
        <v>9780</v>
      </c>
      <c r="N211" s="94" t="str">
        <f t="shared" si="7"/>
        <v>Não</v>
      </c>
      <c r="O211" s="3" t="s">
        <v>9780</v>
      </c>
      <c r="P211" s="3" t="s">
        <v>9780</v>
      </c>
    </row>
    <row r="212" spans="1:16" ht="17.25" customHeight="1" x14ac:dyDescent="0.35">
      <c r="A212" s="111"/>
      <c r="B212" s="3" t="s">
        <v>10340</v>
      </c>
      <c r="C212" s="3" t="s">
        <v>10567</v>
      </c>
      <c r="D212" s="92" t="s">
        <v>10347</v>
      </c>
      <c r="E212" s="93" t="s">
        <v>10357</v>
      </c>
      <c r="F212" s="3" t="s">
        <v>9642</v>
      </c>
      <c r="G212" s="94" t="s">
        <v>9719</v>
      </c>
      <c r="H212" s="3" t="s">
        <v>9780</v>
      </c>
      <c r="I212"/>
      <c r="J212" t="s">
        <v>10426</v>
      </c>
      <c r="K212" s="3" t="s">
        <v>9780</v>
      </c>
      <c r="L212" s="3" t="s">
        <v>9780</v>
      </c>
      <c r="M212" s="3" t="s">
        <v>9780</v>
      </c>
      <c r="N212" s="94" t="str">
        <f t="shared" si="7"/>
        <v>Não</v>
      </c>
      <c r="O212" s="3" t="s">
        <v>9780</v>
      </c>
      <c r="P212" s="3" t="s">
        <v>9780</v>
      </c>
    </row>
    <row r="213" spans="1:16" ht="17.25" customHeight="1" x14ac:dyDescent="0.35">
      <c r="A213" s="111"/>
      <c r="B213" s="3" t="s">
        <v>10340</v>
      </c>
      <c r="C213" s="3" t="s">
        <v>10567</v>
      </c>
      <c r="D213" s="92" t="s">
        <v>10348</v>
      </c>
      <c r="E213" s="93" t="s">
        <v>10348</v>
      </c>
      <c r="F213" s="3" t="s">
        <v>9642</v>
      </c>
      <c r="G213" s="94" t="s">
        <v>9719</v>
      </c>
      <c r="H213" s="3" t="s">
        <v>9780</v>
      </c>
      <c r="I213"/>
      <c r="J213" t="s">
        <v>10427</v>
      </c>
      <c r="K213" s="3" t="s">
        <v>9780</v>
      </c>
      <c r="L213" s="3" t="s">
        <v>9780</v>
      </c>
      <c r="M213" s="3" t="s">
        <v>9780</v>
      </c>
      <c r="N213" s="94" t="str">
        <f t="shared" si="7"/>
        <v>Não</v>
      </c>
      <c r="O213" s="3" t="s">
        <v>9780</v>
      </c>
      <c r="P213" s="3" t="s">
        <v>9780</v>
      </c>
    </row>
    <row r="214" spans="1:16" ht="17.25" customHeight="1" x14ac:dyDescent="0.35">
      <c r="A214" s="111"/>
      <c r="B214" s="3" t="s">
        <v>10340</v>
      </c>
      <c r="C214" s="3" t="s">
        <v>10567</v>
      </c>
      <c r="D214" s="92" t="s">
        <v>10349</v>
      </c>
      <c r="E214" s="93" t="s">
        <v>10356</v>
      </c>
      <c r="F214" s="3" t="s">
        <v>9642</v>
      </c>
      <c r="G214" s="94" t="s">
        <v>9719</v>
      </c>
      <c r="H214" s="3" t="s">
        <v>9780</v>
      </c>
      <c r="I214"/>
      <c r="J214" t="s">
        <v>10428</v>
      </c>
      <c r="K214" s="3" t="s">
        <v>9780</v>
      </c>
      <c r="L214" s="3" t="s">
        <v>9780</v>
      </c>
      <c r="M214" s="3" t="s">
        <v>9780</v>
      </c>
      <c r="N214" s="94" t="str">
        <f t="shared" si="7"/>
        <v>Não</v>
      </c>
      <c r="O214" s="3" t="s">
        <v>9780</v>
      </c>
      <c r="P214" s="3" t="s">
        <v>9780</v>
      </c>
    </row>
    <row r="215" spans="1:16" ht="17.25" customHeight="1" x14ac:dyDescent="0.35">
      <c r="A215" s="111"/>
      <c r="B215" s="3" t="s">
        <v>10340</v>
      </c>
      <c r="C215" s="3" t="s">
        <v>10567</v>
      </c>
      <c r="D215" s="92" t="s">
        <v>10350</v>
      </c>
      <c r="E215" s="93" t="s">
        <v>10350</v>
      </c>
      <c r="F215" s="3" t="s">
        <v>9642</v>
      </c>
      <c r="G215" s="94" t="s">
        <v>9719</v>
      </c>
      <c r="H215" s="3" t="s">
        <v>9780</v>
      </c>
      <c r="I215"/>
      <c r="J215" t="s">
        <v>10429</v>
      </c>
      <c r="K215" s="3" t="s">
        <v>9780</v>
      </c>
      <c r="L215" s="3" t="s">
        <v>9780</v>
      </c>
      <c r="M215" s="3" t="s">
        <v>9780</v>
      </c>
      <c r="N215" s="94" t="str">
        <f t="shared" si="7"/>
        <v>Não</v>
      </c>
      <c r="O215" s="3" t="s">
        <v>9780</v>
      </c>
      <c r="P215" s="3" t="s">
        <v>9780</v>
      </c>
    </row>
    <row r="216" spans="1:16" ht="17.25" customHeight="1" x14ac:dyDescent="0.35">
      <c r="A216" s="111"/>
      <c r="B216" s="3" t="s">
        <v>10340</v>
      </c>
      <c r="C216" s="3" t="s">
        <v>10567</v>
      </c>
      <c r="D216" s="92" t="s">
        <v>10351</v>
      </c>
      <c r="E216" s="93" t="s">
        <v>10351</v>
      </c>
      <c r="F216" s="3" t="s">
        <v>9642</v>
      </c>
      <c r="G216" s="94" t="s">
        <v>9719</v>
      </c>
      <c r="H216" s="3" t="s">
        <v>9780</v>
      </c>
      <c r="I216"/>
      <c r="J216" t="s">
        <v>10430</v>
      </c>
      <c r="K216" s="3" t="s">
        <v>9780</v>
      </c>
      <c r="L216" s="3" t="s">
        <v>9780</v>
      </c>
      <c r="M216" s="3" t="s">
        <v>9780</v>
      </c>
      <c r="N216" s="94" t="str">
        <f t="shared" si="7"/>
        <v>Não</v>
      </c>
      <c r="O216" s="3" t="s">
        <v>9780</v>
      </c>
      <c r="P216" s="3" t="s">
        <v>9780</v>
      </c>
    </row>
    <row r="217" spans="1:16" ht="17.25" customHeight="1" x14ac:dyDescent="0.35">
      <c r="A217" s="111"/>
      <c r="B217" s="3" t="s">
        <v>10340</v>
      </c>
      <c r="C217" s="3" t="s">
        <v>10567</v>
      </c>
      <c r="D217" s="92" t="s">
        <v>10352</v>
      </c>
      <c r="E217" s="93" t="s">
        <v>10352</v>
      </c>
      <c r="F217" s="3" t="s">
        <v>9642</v>
      </c>
      <c r="G217" s="94" t="s">
        <v>9719</v>
      </c>
      <c r="H217" s="3" t="s">
        <v>9780</v>
      </c>
      <c r="I217"/>
      <c r="J217" t="s">
        <v>10430</v>
      </c>
      <c r="K217" s="3" t="s">
        <v>9780</v>
      </c>
      <c r="L217" s="3" t="s">
        <v>9780</v>
      </c>
      <c r="M217" s="3" t="s">
        <v>9780</v>
      </c>
      <c r="N217" s="94" t="str">
        <f t="shared" si="7"/>
        <v>Não</v>
      </c>
      <c r="O217" s="3" t="s">
        <v>9780</v>
      </c>
      <c r="P217" s="3" t="s">
        <v>9780</v>
      </c>
    </row>
    <row r="218" spans="1:16" ht="17.25" customHeight="1" x14ac:dyDescent="0.35">
      <c r="A218" s="111"/>
      <c r="B218" s="3" t="s">
        <v>10340</v>
      </c>
      <c r="C218" s="3" t="s">
        <v>10567</v>
      </c>
      <c r="D218" s="92" t="s">
        <v>10353</v>
      </c>
      <c r="E218" s="93" t="s">
        <v>10353</v>
      </c>
      <c r="F218" s="3" t="s">
        <v>9642</v>
      </c>
      <c r="G218" s="94" t="s">
        <v>9719</v>
      </c>
      <c r="H218" s="3" t="s">
        <v>9780</v>
      </c>
      <c r="I218"/>
      <c r="J218" t="s">
        <v>10431</v>
      </c>
      <c r="K218" s="3" t="s">
        <v>9780</v>
      </c>
      <c r="L218" s="3" t="s">
        <v>9780</v>
      </c>
      <c r="M218" s="3" t="s">
        <v>9780</v>
      </c>
      <c r="N218" s="94" t="str">
        <f t="shared" si="7"/>
        <v>Não</v>
      </c>
      <c r="O218" s="3" t="s">
        <v>9780</v>
      </c>
      <c r="P218" s="3" t="s">
        <v>9780</v>
      </c>
    </row>
    <row r="219" spans="1:16" ht="17.25" customHeight="1" x14ac:dyDescent="0.35">
      <c r="A219" s="111"/>
      <c r="B219" s="3" t="s">
        <v>10340</v>
      </c>
      <c r="C219" s="3" t="s">
        <v>10567</v>
      </c>
      <c r="D219" s="92" t="s">
        <v>10354</v>
      </c>
      <c r="E219" s="93" t="s">
        <v>10354</v>
      </c>
      <c r="F219" s="3" t="s">
        <v>9642</v>
      </c>
      <c r="G219" s="94" t="s">
        <v>9719</v>
      </c>
      <c r="H219" s="3" t="s">
        <v>9780</v>
      </c>
      <c r="I219"/>
      <c r="J219" t="s">
        <v>10432</v>
      </c>
      <c r="K219" s="3" t="s">
        <v>9780</v>
      </c>
      <c r="L219" s="3" t="s">
        <v>9780</v>
      </c>
      <c r="M219" s="3" t="s">
        <v>9780</v>
      </c>
      <c r="N219" s="94" t="str">
        <f t="shared" si="7"/>
        <v>Não</v>
      </c>
      <c r="O219" s="3" t="s">
        <v>9780</v>
      </c>
      <c r="P219" s="3" t="s">
        <v>9780</v>
      </c>
    </row>
    <row r="220" spans="1:16" ht="17.25" customHeight="1" x14ac:dyDescent="0.35">
      <c r="A220" s="111"/>
      <c r="B220" s="3" t="s">
        <v>10340</v>
      </c>
      <c r="C220" s="3" t="s">
        <v>10567</v>
      </c>
      <c r="D220" s="92" t="s">
        <v>10355</v>
      </c>
      <c r="E220" s="93" t="s">
        <v>10355</v>
      </c>
      <c r="F220" s="3" t="s">
        <v>9642</v>
      </c>
      <c r="G220" s="94" t="s">
        <v>9719</v>
      </c>
      <c r="H220" s="3" t="s">
        <v>9780</v>
      </c>
      <c r="I220"/>
      <c r="J220" t="s">
        <v>10433</v>
      </c>
      <c r="K220" s="3" t="s">
        <v>9780</v>
      </c>
      <c r="L220" s="3" t="s">
        <v>9780</v>
      </c>
      <c r="M220" s="3" t="s">
        <v>9780</v>
      </c>
      <c r="N220" s="94" t="str">
        <f t="shared" si="7"/>
        <v>Não</v>
      </c>
      <c r="O220" s="3" t="s">
        <v>9780</v>
      </c>
      <c r="P220" s="3" t="s">
        <v>9780</v>
      </c>
    </row>
    <row r="221" spans="1:16" ht="17.25" customHeight="1" x14ac:dyDescent="0.35">
      <c r="A221" s="111"/>
      <c r="B221" s="3" t="s">
        <v>10340</v>
      </c>
      <c r="C221" s="3" t="s">
        <v>10567</v>
      </c>
      <c r="D221" s="100" t="s">
        <v>10437</v>
      </c>
      <c r="E221" s="1" t="s">
        <v>10437</v>
      </c>
      <c r="F221" s="3" t="s">
        <v>9642</v>
      </c>
      <c r="G221" s="94" t="s">
        <v>9719</v>
      </c>
      <c r="H221" s="3" t="s">
        <v>9780</v>
      </c>
      <c r="J221" t="s">
        <v>10435</v>
      </c>
      <c r="K221" s="3" t="s">
        <v>9780</v>
      </c>
      <c r="L221" s="3" t="s">
        <v>9780</v>
      </c>
      <c r="M221" s="3" t="s">
        <v>9780</v>
      </c>
      <c r="N221" s="94" t="str">
        <f t="shared" ref="N221:N222" si="8">IF(F221="String",IF(I221&lt;&gt;"","Sim","Não"),IF(F221="List",IF(I221&lt;&gt;"","Sim","Não"),IF(AND(I221&gt;=O221,I221&lt;=P221,I221&lt;&gt;""),"Sim","Não")))</f>
        <v>Não</v>
      </c>
      <c r="O221" s="3" t="s">
        <v>9780</v>
      </c>
      <c r="P221" s="3" t="s">
        <v>9780</v>
      </c>
    </row>
    <row r="222" spans="1:16" ht="17.25" customHeight="1" x14ac:dyDescent="0.35">
      <c r="A222" s="111"/>
      <c r="B222" s="3" t="s">
        <v>10340</v>
      </c>
      <c r="C222" s="3" t="s">
        <v>10567</v>
      </c>
      <c r="D222" s="100" t="s">
        <v>10438</v>
      </c>
      <c r="E222" s="1" t="s">
        <v>10438</v>
      </c>
      <c r="F222" s="3" t="s">
        <v>9642</v>
      </c>
      <c r="G222" s="94" t="s">
        <v>9719</v>
      </c>
      <c r="H222" s="3" t="s">
        <v>9780</v>
      </c>
      <c r="J222" t="s">
        <v>10436</v>
      </c>
      <c r="K222" s="3" t="s">
        <v>9780</v>
      </c>
      <c r="L222" s="3" t="s">
        <v>9780</v>
      </c>
      <c r="M222" s="3" t="s">
        <v>9780</v>
      </c>
      <c r="N222" s="94" t="str">
        <f t="shared" si="8"/>
        <v>Não</v>
      </c>
      <c r="O222" s="3" t="s">
        <v>9780</v>
      </c>
      <c r="P222" s="3" t="s">
        <v>9780</v>
      </c>
    </row>
    <row r="223" spans="1:16" ht="17.25" customHeight="1" x14ac:dyDescent="0.35">
      <c r="A223" s="110" t="s">
        <v>10550</v>
      </c>
      <c r="B223" s="91" t="s">
        <v>10549</v>
      </c>
      <c r="C223" s="91" t="s">
        <v>10551</v>
      </c>
      <c r="D223" s="96" t="s">
        <v>10552</v>
      </c>
      <c r="E223" s="97" t="s">
        <v>10565</v>
      </c>
      <c r="F223" s="94" t="s">
        <v>9642</v>
      </c>
      <c r="G223" s="94" t="s">
        <v>9719</v>
      </c>
      <c r="H223" s="15" t="s">
        <v>9780</v>
      </c>
      <c r="I223" s="99"/>
      <c r="J223" s="99" t="s">
        <v>9780</v>
      </c>
      <c r="K223" s="27" t="s">
        <v>9780</v>
      </c>
      <c r="L223" s="15" t="s">
        <v>9780</v>
      </c>
      <c r="M223" s="15" t="s">
        <v>9780</v>
      </c>
      <c r="N223" s="94" t="str">
        <f t="shared" ref="N223:N229" si="9">IF(F223="String",IF(I223&lt;&gt;"","Sim","Não"),IF(F223="List",IF(I223&lt;&gt;"","Sim","Não"),IF(AND(I223&gt;=O223,I223&lt;=P223,I223&lt;&gt;""),"Sim","Não")))</f>
        <v>Não</v>
      </c>
      <c r="O223" s="15" t="s">
        <v>9780</v>
      </c>
      <c r="P223" s="15" t="s">
        <v>9780</v>
      </c>
    </row>
    <row r="224" spans="1:16" ht="17.25" customHeight="1" x14ac:dyDescent="0.35">
      <c r="A224" s="110"/>
      <c r="B224" s="91" t="s">
        <v>10549</v>
      </c>
      <c r="C224" s="91" t="s">
        <v>10551</v>
      </c>
      <c r="D224" s="96" t="s">
        <v>10553</v>
      </c>
      <c r="E224" s="97" t="s">
        <v>10564</v>
      </c>
      <c r="F224" s="94" t="s">
        <v>9642</v>
      </c>
      <c r="G224" s="94" t="s">
        <v>9719</v>
      </c>
      <c r="H224" s="15" t="s">
        <v>9780</v>
      </c>
      <c r="I224" s="99"/>
      <c r="J224" s="99" t="s">
        <v>9780</v>
      </c>
      <c r="K224" s="27" t="s">
        <v>9780</v>
      </c>
      <c r="L224" s="15" t="s">
        <v>9780</v>
      </c>
      <c r="M224" s="15" t="s">
        <v>9780</v>
      </c>
      <c r="N224" s="94" t="str">
        <f t="shared" si="9"/>
        <v>Não</v>
      </c>
      <c r="O224" s="15" t="s">
        <v>9780</v>
      </c>
      <c r="P224" s="15" t="s">
        <v>9780</v>
      </c>
    </row>
    <row r="225" spans="1:16" ht="17.25" customHeight="1" x14ac:dyDescent="0.35">
      <c r="A225" s="110"/>
      <c r="B225" s="91" t="s">
        <v>10549</v>
      </c>
      <c r="C225" s="91" t="s">
        <v>10551</v>
      </c>
      <c r="D225" s="96" t="s">
        <v>10554</v>
      </c>
      <c r="E225" s="97" t="s">
        <v>10563</v>
      </c>
      <c r="F225" s="94" t="s">
        <v>9642</v>
      </c>
      <c r="G225" s="94" t="s">
        <v>9719</v>
      </c>
      <c r="H225" s="15" t="s">
        <v>9780</v>
      </c>
      <c r="I225" s="99"/>
      <c r="J225" s="99" t="s">
        <v>9780</v>
      </c>
      <c r="K225" s="27" t="s">
        <v>9780</v>
      </c>
      <c r="L225" s="15" t="s">
        <v>9780</v>
      </c>
      <c r="M225" s="15" t="s">
        <v>9780</v>
      </c>
      <c r="N225" s="94" t="str">
        <f t="shared" si="9"/>
        <v>Não</v>
      </c>
      <c r="O225" s="15" t="s">
        <v>9780</v>
      </c>
      <c r="P225" s="15" t="s">
        <v>9780</v>
      </c>
    </row>
    <row r="226" spans="1:16" ht="17.25" customHeight="1" x14ac:dyDescent="0.35">
      <c r="A226" s="110"/>
      <c r="B226" s="91" t="s">
        <v>10549</v>
      </c>
      <c r="C226" s="91" t="s">
        <v>10551</v>
      </c>
      <c r="D226" s="96" t="s">
        <v>10555</v>
      </c>
      <c r="E226" s="97" t="s">
        <v>10562</v>
      </c>
      <c r="F226" s="94" t="s">
        <v>9642</v>
      </c>
      <c r="G226" s="94" t="s">
        <v>9719</v>
      </c>
      <c r="H226" s="15" t="s">
        <v>9780</v>
      </c>
      <c r="I226" s="99"/>
      <c r="J226" s="99" t="s">
        <v>9780</v>
      </c>
      <c r="K226" s="27" t="s">
        <v>9780</v>
      </c>
      <c r="L226" s="15" t="s">
        <v>9780</v>
      </c>
      <c r="M226" s="15" t="s">
        <v>9780</v>
      </c>
      <c r="N226" s="94" t="str">
        <f t="shared" si="9"/>
        <v>Não</v>
      </c>
      <c r="O226" s="15" t="s">
        <v>9780</v>
      </c>
      <c r="P226" s="15" t="s">
        <v>9780</v>
      </c>
    </row>
    <row r="227" spans="1:16" ht="17.25" customHeight="1" x14ac:dyDescent="0.35">
      <c r="A227" s="110"/>
      <c r="B227" s="91" t="s">
        <v>10549</v>
      </c>
      <c r="C227" s="91" t="s">
        <v>10551</v>
      </c>
      <c r="D227" s="96" t="s">
        <v>10556</v>
      </c>
      <c r="E227" s="97" t="s">
        <v>10561</v>
      </c>
      <c r="F227" s="94" t="s">
        <v>9642</v>
      </c>
      <c r="G227" s="94" t="s">
        <v>9719</v>
      </c>
      <c r="H227" s="15" t="s">
        <v>9780</v>
      </c>
      <c r="I227" s="99"/>
      <c r="J227" s="99" t="s">
        <v>9780</v>
      </c>
      <c r="K227" s="27" t="s">
        <v>9780</v>
      </c>
      <c r="L227" s="15" t="s">
        <v>9780</v>
      </c>
      <c r="M227" s="15" t="s">
        <v>9780</v>
      </c>
      <c r="N227" s="94" t="str">
        <f t="shared" si="9"/>
        <v>Não</v>
      </c>
      <c r="O227" s="15" t="s">
        <v>9780</v>
      </c>
      <c r="P227" s="15" t="s">
        <v>9780</v>
      </c>
    </row>
    <row r="228" spans="1:16" ht="17.25" customHeight="1" x14ac:dyDescent="0.35">
      <c r="A228" s="110"/>
      <c r="B228" s="91" t="s">
        <v>10549</v>
      </c>
      <c r="C228" s="91" t="s">
        <v>10551</v>
      </c>
      <c r="D228" s="96" t="s">
        <v>10557</v>
      </c>
      <c r="E228" s="97" t="s">
        <v>10560</v>
      </c>
      <c r="F228" s="94" t="s">
        <v>9642</v>
      </c>
      <c r="G228" s="94" t="s">
        <v>9719</v>
      </c>
      <c r="H228" s="15" t="s">
        <v>9780</v>
      </c>
      <c r="I228" s="99"/>
      <c r="J228" s="99" t="s">
        <v>9780</v>
      </c>
      <c r="K228" s="27" t="s">
        <v>9780</v>
      </c>
      <c r="L228" s="15" t="s">
        <v>9780</v>
      </c>
      <c r="M228" s="15" t="s">
        <v>9780</v>
      </c>
      <c r="N228" s="94" t="str">
        <f t="shared" si="9"/>
        <v>Não</v>
      </c>
      <c r="O228" s="15" t="s">
        <v>9780</v>
      </c>
      <c r="P228" s="15" t="s">
        <v>9780</v>
      </c>
    </row>
    <row r="229" spans="1:16" ht="17.25" customHeight="1" x14ac:dyDescent="0.35">
      <c r="A229" s="110"/>
      <c r="B229" s="91" t="s">
        <v>10549</v>
      </c>
      <c r="C229" s="91" t="s">
        <v>10551</v>
      </c>
      <c r="D229" s="96" t="s">
        <v>10558</v>
      </c>
      <c r="E229" s="97" t="s">
        <v>10559</v>
      </c>
      <c r="F229" s="94" t="s">
        <v>9642</v>
      </c>
      <c r="G229" s="94" t="s">
        <v>9719</v>
      </c>
      <c r="H229" s="15" t="s">
        <v>9780</v>
      </c>
      <c r="I229" s="99"/>
      <c r="J229" s="99" t="s">
        <v>9780</v>
      </c>
      <c r="K229" s="27" t="s">
        <v>9780</v>
      </c>
      <c r="L229" s="15" t="s">
        <v>9780</v>
      </c>
      <c r="M229" s="15" t="s">
        <v>9780</v>
      </c>
      <c r="N229" s="94" t="str">
        <f t="shared" si="9"/>
        <v>Não</v>
      </c>
      <c r="O229" s="15" t="s">
        <v>9780</v>
      </c>
      <c r="P229" s="15" t="s">
        <v>9780</v>
      </c>
    </row>
  </sheetData>
  <dataConsolidate link="1"/>
  <mergeCells count="19">
    <mergeCell ref="A37:A40"/>
    <mergeCell ref="A4:A7"/>
    <mergeCell ref="A2:A3"/>
    <mergeCell ref="A23:A30"/>
    <mergeCell ref="A31:A36"/>
    <mergeCell ref="A8:A22"/>
    <mergeCell ref="A223:A229"/>
    <mergeCell ref="A41:A42"/>
    <mergeCell ref="A43:A65"/>
    <mergeCell ref="A66:A82"/>
    <mergeCell ref="A83:A86"/>
    <mergeCell ref="A206:A222"/>
    <mergeCell ref="A87:A95"/>
    <mergeCell ref="A131:A141"/>
    <mergeCell ref="A143:A163"/>
    <mergeCell ref="A195:A204"/>
    <mergeCell ref="A96:A130"/>
    <mergeCell ref="A164:A184"/>
    <mergeCell ref="A185:A194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35">
      <c r="A2" s="10" t="s">
        <v>7160</v>
      </c>
      <c r="B2" s="3">
        <v>4101200</v>
      </c>
      <c r="C2" s="3">
        <f>IFERROR(VLOOKUP(B2,Municípios!$D$1:$H$5571,4,FALSE),"")</f>
        <v>-25.438600000000001</v>
      </c>
      <c r="D2" s="3">
        <f>IFERROR(VLOOKUP(B2,Municípios!$D$1:$H$5571,5,FALSE),"")</f>
        <v>-48.719099999999997</v>
      </c>
      <c r="E2" s="5">
        <f>IFERROR(VLOOKUP(B2,Municípios!$D$1:$H$5571,3,FALSE),"")</f>
        <v>18919</v>
      </c>
      <c r="F2" s="7">
        <f>IFERROR(E2*'Banco de Dados'!$I$4*365/313/1000,"")</f>
        <v>19.855883386581475</v>
      </c>
      <c r="G2" s="3">
        <v>0</v>
      </c>
      <c r="H2" s="3">
        <v>0</v>
      </c>
      <c r="I2" s="3">
        <v>0</v>
      </c>
      <c r="J2" s="3" t="s">
        <v>9720</v>
      </c>
      <c r="K2" s="3" t="s">
        <v>9720</v>
      </c>
      <c r="L2" s="3" t="s">
        <v>9720</v>
      </c>
    </row>
    <row r="3" spans="1:15" ht="17.25" customHeight="1" x14ac:dyDescent="0.35">
      <c r="A3" s="10" t="s">
        <v>7495</v>
      </c>
      <c r="B3" s="3">
        <v>4119954</v>
      </c>
      <c r="C3" s="3">
        <f>IFERROR(VLOOKUP(B3,Municípios!$D$1:$H$5571,4,FALSE),"")</f>
        <v>-25.673500000000001</v>
      </c>
      <c r="D3" s="3">
        <f>IFERROR(VLOOKUP(B3,Municípios!$D$1:$H$5571,5,FALSE),"")</f>
        <v>-48.511099999999999</v>
      </c>
      <c r="E3" s="5">
        <f>IFERROR(VLOOKUP(B3,Municípios!$D$1:$H$5571,3,FALSE),"")</f>
        <v>28529</v>
      </c>
      <c r="F3" s="7">
        <f>IFERROR(E3*'Banco de Dados'!$I$4*365/313/1000,"")</f>
        <v>29.941777955271565</v>
      </c>
      <c r="G3" s="3">
        <v>0</v>
      </c>
      <c r="H3" s="3">
        <v>0</v>
      </c>
      <c r="I3" s="3">
        <v>0</v>
      </c>
      <c r="J3" s="3" t="s">
        <v>9720</v>
      </c>
      <c r="K3" s="3" t="s">
        <v>9720</v>
      </c>
      <c r="L3" s="3" t="s">
        <v>9720</v>
      </c>
    </row>
    <row r="4" spans="1:15" ht="17.25" customHeight="1" x14ac:dyDescent="0.35">
      <c r="A4" s="10" t="s">
        <v>7404</v>
      </c>
      <c r="B4" s="3">
        <v>4115705</v>
      </c>
      <c r="C4" s="3">
        <f>IFERROR(VLOOKUP(B4,Municípios!$D$1:$H$5571,4,FALSE),"")</f>
        <v>-25.823699999999999</v>
      </c>
      <c r="D4" s="3">
        <f>IFERROR(VLOOKUP(B4,Municípios!$D$1:$H$5571,5,FALSE),"")</f>
        <v>-48.548999999999999</v>
      </c>
      <c r="E4" s="5">
        <f>IFERROR(VLOOKUP(B4,Municípios!$D$1:$H$5571,3,FALSE),"")</f>
        <v>35705</v>
      </c>
      <c r="F4" s="7">
        <f>IFERROR(E4*'Banco de Dados'!$I$4*365/313/1000,"")</f>
        <v>37.473138977635784</v>
      </c>
      <c r="G4" s="3">
        <v>0</v>
      </c>
      <c r="H4" s="3">
        <v>0</v>
      </c>
      <c r="I4" s="3">
        <v>0</v>
      </c>
      <c r="J4" s="3" t="s">
        <v>9720</v>
      </c>
      <c r="K4" s="3" t="s">
        <v>9720</v>
      </c>
      <c r="L4" s="3" t="s">
        <v>9720</v>
      </c>
      <c r="O4" s="4"/>
    </row>
    <row r="5" spans="1:15" ht="17.25" customHeight="1" x14ac:dyDescent="0.35">
      <c r="A5" s="10" t="s">
        <v>7297</v>
      </c>
      <c r="B5" s="3">
        <v>4109609</v>
      </c>
      <c r="C5" s="3">
        <f>IFERROR(VLOOKUP(B5,Municípios!$D$1:$H$5571,4,FALSE),"")</f>
        <v>-25.881699999999999</v>
      </c>
      <c r="D5" s="3">
        <f>IFERROR(VLOOKUP(B5,Municípios!$D$1:$H$5571,5,FALSE),"")</f>
        <v>-48.575200000000002</v>
      </c>
      <c r="E5" s="5">
        <f>IFERROR(VLOOKUP(B5,Municípios!$D$1:$H$5571,3,FALSE),"")</f>
        <v>37974</v>
      </c>
      <c r="F5" s="7">
        <f>IFERROR(E5*'Banco de Dados'!$I$4*365/313/1000,"")</f>
        <v>39.854501597444091</v>
      </c>
      <c r="G5" s="3">
        <v>0</v>
      </c>
      <c r="H5" s="3">
        <v>0</v>
      </c>
      <c r="I5" s="3">
        <v>0</v>
      </c>
      <c r="J5" s="3" t="s">
        <v>9720</v>
      </c>
      <c r="K5" s="3" t="s">
        <v>9720</v>
      </c>
      <c r="L5" s="3" t="s">
        <v>9720</v>
      </c>
    </row>
    <row r="6" spans="1:15" ht="17.25" customHeight="1" x14ac:dyDescent="0.35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35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35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35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35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35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35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35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35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35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35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35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35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35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35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35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35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35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35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35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35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35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35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35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35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35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35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35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35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35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35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D4"/>
  <sheetViews>
    <sheetView zoomScale="80" zoomScaleNormal="80" workbookViewId="0"/>
  </sheetViews>
  <sheetFormatPr defaultColWidth="15.42578125" defaultRowHeight="15" x14ac:dyDescent="0.25"/>
  <sheetData>
    <row r="1" spans="1:4" x14ac:dyDescent="0.25">
      <c r="A1">
        <v>0</v>
      </c>
      <c r="B1">
        <v>33.43</v>
      </c>
      <c r="C1">
        <v>46.09</v>
      </c>
      <c r="D1">
        <v>51.34</v>
      </c>
    </row>
    <row r="2" spans="1:4" x14ac:dyDescent="0.25">
      <c r="A2">
        <v>33.43</v>
      </c>
      <c r="B2">
        <v>0</v>
      </c>
      <c r="C2">
        <v>17.13</v>
      </c>
      <c r="D2">
        <v>24.02</v>
      </c>
    </row>
    <row r="3" spans="1:4" x14ac:dyDescent="0.25">
      <c r="A3">
        <v>46.09</v>
      </c>
      <c r="B3">
        <v>17.13</v>
      </c>
      <c r="C3">
        <v>0</v>
      </c>
      <c r="D3">
        <v>6.96</v>
      </c>
    </row>
    <row r="4" spans="1:4" x14ac:dyDescent="0.25">
      <c r="A4">
        <v>51.34</v>
      </c>
      <c r="B4">
        <v>24.02</v>
      </c>
      <c r="C4">
        <v>6.96</v>
      </c>
      <c r="D4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10159</v>
      </c>
      <c r="N1" s="20" t="s">
        <v>10160</v>
      </c>
      <c r="O1" s="20" t="s">
        <v>10161</v>
      </c>
    </row>
    <row r="2" spans="1:15" s="84" customFormat="1" x14ac:dyDescent="0.35">
      <c r="A2" s="15">
        <v>1</v>
      </c>
      <c r="B2" s="15" t="s">
        <v>9720</v>
      </c>
      <c r="C2" s="15" t="s">
        <v>10455</v>
      </c>
      <c r="D2" s="15" t="s">
        <v>10575</v>
      </c>
      <c r="E2" s="15" t="s">
        <v>10576</v>
      </c>
      <c r="F2" s="15" t="s">
        <v>9780</v>
      </c>
      <c r="G2" s="15" t="s">
        <v>9780</v>
      </c>
      <c r="H2" s="15" t="s">
        <v>9780</v>
      </c>
      <c r="I2" s="15">
        <v>121127</v>
      </c>
      <c r="J2" s="15">
        <v>569.56320000000005</v>
      </c>
      <c r="K2" s="15">
        <v>127.126</v>
      </c>
      <c r="L2" s="15">
        <v>569.56320000000005</v>
      </c>
      <c r="M2" s="15">
        <v>0</v>
      </c>
      <c r="N2" s="15">
        <v>0</v>
      </c>
      <c r="O2" s="15">
        <v>0</v>
      </c>
    </row>
    <row r="3" spans="1:15" s="15" customFormat="1" x14ac:dyDescent="0.35">
      <c r="A3" s="15">
        <v>1</v>
      </c>
      <c r="B3" s="15" t="s">
        <v>9720</v>
      </c>
      <c r="C3" s="15" t="s">
        <v>10456</v>
      </c>
      <c r="D3" s="15" t="s">
        <v>10575</v>
      </c>
      <c r="E3" s="15" t="s">
        <v>10577</v>
      </c>
      <c r="F3" s="85" t="s">
        <v>10578</v>
      </c>
      <c r="G3" s="85" t="s">
        <v>10579</v>
      </c>
      <c r="H3" s="85" t="s">
        <v>10579</v>
      </c>
      <c r="I3" s="85">
        <v>121127</v>
      </c>
      <c r="J3" s="15">
        <v>569.56320000000005</v>
      </c>
      <c r="K3" s="15">
        <v>127.126</v>
      </c>
      <c r="L3" s="15">
        <v>569.56320000000005</v>
      </c>
      <c r="M3" s="15">
        <v>0</v>
      </c>
      <c r="N3" s="15">
        <v>0</v>
      </c>
      <c r="O3" s="15">
        <v>0</v>
      </c>
    </row>
    <row r="4" spans="1:15" s="84" customFormat="1" x14ac:dyDescent="0.35">
      <c r="A4" s="15">
        <v>2</v>
      </c>
      <c r="B4" s="15" t="s">
        <v>9719</v>
      </c>
      <c r="C4" s="15" t="s">
        <v>10546</v>
      </c>
      <c r="D4" s="15" t="s">
        <v>10575</v>
      </c>
      <c r="E4" s="15" t="s">
        <v>10576</v>
      </c>
      <c r="F4" s="15" t="s">
        <v>9780</v>
      </c>
      <c r="G4" s="15" t="s">
        <v>9780</v>
      </c>
      <c r="H4" s="15" t="s">
        <v>9780</v>
      </c>
      <c r="I4" s="15">
        <v>121127</v>
      </c>
      <c r="J4" s="15">
        <v>569.56320000000005</v>
      </c>
      <c r="K4" s="15">
        <v>127.126</v>
      </c>
      <c r="L4" s="15">
        <v>569.56320000000005</v>
      </c>
      <c r="M4" s="15">
        <v>0</v>
      </c>
      <c r="N4" s="15">
        <v>0</v>
      </c>
      <c r="O4" s="15">
        <v>0</v>
      </c>
    </row>
    <row r="5" spans="1:15" s="15" customFormat="1" x14ac:dyDescent="0.35">
      <c r="A5" s="15">
        <v>2</v>
      </c>
      <c r="B5" s="15" t="s">
        <v>9719</v>
      </c>
      <c r="C5" s="15" t="s">
        <v>10580</v>
      </c>
      <c r="D5" s="15" t="s">
        <v>10575</v>
      </c>
      <c r="E5" s="15" t="s">
        <v>10577</v>
      </c>
      <c r="F5" s="85" t="s">
        <v>10578</v>
      </c>
      <c r="G5" s="85" t="s">
        <v>10579</v>
      </c>
      <c r="H5" s="85" t="s">
        <v>10579</v>
      </c>
      <c r="I5" s="85">
        <v>121127</v>
      </c>
      <c r="J5" s="15">
        <v>569.56320000000005</v>
      </c>
      <c r="K5" s="15">
        <v>127.126</v>
      </c>
      <c r="L5" s="15">
        <v>569.56320000000005</v>
      </c>
      <c r="M5" s="15">
        <v>0</v>
      </c>
      <c r="N5" s="15">
        <v>0</v>
      </c>
      <c r="O5" s="15">
        <v>0</v>
      </c>
    </row>
    <row r="6" spans="1:15" s="15" customFormat="1" x14ac:dyDescent="0.35">
      <c r="A6" s="15">
        <v>3</v>
      </c>
      <c r="B6" s="15" t="s">
        <v>9720</v>
      </c>
      <c r="C6" s="15" t="s">
        <v>10457</v>
      </c>
      <c r="D6" s="15" t="s">
        <v>10581</v>
      </c>
      <c r="E6" s="15" t="s">
        <v>10576</v>
      </c>
      <c r="F6" s="85" t="s">
        <v>9780</v>
      </c>
      <c r="G6" s="85" t="s">
        <v>9780</v>
      </c>
      <c r="H6" s="85" t="s">
        <v>9780</v>
      </c>
      <c r="I6" s="85">
        <v>121127</v>
      </c>
      <c r="J6" s="15">
        <v>940.65518013729104</v>
      </c>
      <c r="K6" s="15">
        <v>127.126</v>
      </c>
      <c r="L6" s="15">
        <v>940.65518013729104</v>
      </c>
      <c r="M6" s="15">
        <v>0</v>
      </c>
      <c r="N6" s="15">
        <v>0</v>
      </c>
      <c r="O6" s="15">
        <v>0</v>
      </c>
    </row>
    <row r="7" spans="1:15" s="6" customFormat="1" x14ac:dyDescent="0.35">
      <c r="A7" s="15">
        <v>3</v>
      </c>
      <c r="B7" s="15" t="s">
        <v>9720</v>
      </c>
      <c r="C7" s="15" t="s">
        <v>10582</v>
      </c>
      <c r="D7" s="15" t="s">
        <v>10581</v>
      </c>
      <c r="E7" s="15" t="s">
        <v>10583</v>
      </c>
      <c r="F7" s="85" t="s">
        <v>10578</v>
      </c>
      <c r="G7" s="85" t="s">
        <v>10578</v>
      </c>
      <c r="H7" s="85" t="s">
        <v>10578</v>
      </c>
      <c r="I7" s="85">
        <v>18919</v>
      </c>
      <c r="J7" s="15">
        <v>2511.5907999999999</v>
      </c>
      <c r="K7" s="15">
        <v>19.856000000000002</v>
      </c>
      <c r="L7" s="15">
        <v>2511.5907999999999</v>
      </c>
      <c r="M7" s="15">
        <v>0</v>
      </c>
      <c r="N7" s="15">
        <v>0</v>
      </c>
      <c r="O7" s="15">
        <v>0</v>
      </c>
    </row>
    <row r="8" spans="1:15" x14ac:dyDescent="0.35">
      <c r="A8" s="15">
        <v>3</v>
      </c>
      <c r="B8" s="15" t="s">
        <v>9720</v>
      </c>
      <c r="C8" s="15" t="s">
        <v>10584</v>
      </c>
      <c r="D8" s="15" t="s">
        <v>10581</v>
      </c>
      <c r="E8" s="15" t="s">
        <v>10585</v>
      </c>
      <c r="F8" s="85" t="s">
        <v>10578</v>
      </c>
      <c r="G8" s="85" t="s">
        <v>10790</v>
      </c>
      <c r="H8" s="85" t="s">
        <v>10790</v>
      </c>
      <c r="I8" s="85">
        <v>102208</v>
      </c>
      <c r="J8" s="15">
        <v>649.870266666666</v>
      </c>
      <c r="K8" s="15">
        <v>107.27</v>
      </c>
      <c r="L8" s="15">
        <v>649.870266666666</v>
      </c>
      <c r="M8" s="15">
        <v>0</v>
      </c>
      <c r="N8" s="15">
        <v>0</v>
      </c>
      <c r="O8" s="15">
        <v>0</v>
      </c>
    </row>
    <row r="9" spans="1:15" x14ac:dyDescent="0.35">
      <c r="A9" s="15">
        <v>4</v>
      </c>
      <c r="B9" s="15" t="s">
        <v>9720</v>
      </c>
      <c r="C9" s="15" t="s">
        <v>10320</v>
      </c>
      <c r="D9" s="15" t="s">
        <v>10791</v>
      </c>
      <c r="E9" s="15" t="s">
        <v>10576</v>
      </c>
      <c r="F9" s="85" t="s">
        <v>9780</v>
      </c>
      <c r="G9" s="85" t="s">
        <v>9780</v>
      </c>
      <c r="H9" s="85" t="s">
        <v>9780</v>
      </c>
      <c r="I9" s="85">
        <v>121127</v>
      </c>
      <c r="J9" s="15">
        <v>986.52992964512896</v>
      </c>
      <c r="K9" s="15">
        <v>127.126</v>
      </c>
      <c r="L9" s="15">
        <v>986.52992964512896</v>
      </c>
      <c r="M9" s="15">
        <v>0</v>
      </c>
      <c r="N9" s="15">
        <v>0</v>
      </c>
      <c r="O9" s="15">
        <v>0</v>
      </c>
    </row>
    <row r="10" spans="1:15" x14ac:dyDescent="0.35">
      <c r="A10" s="15">
        <v>4</v>
      </c>
      <c r="B10" s="15" t="s">
        <v>9720</v>
      </c>
      <c r="C10" s="15" t="s">
        <v>10566</v>
      </c>
      <c r="D10" s="15" t="s">
        <v>10791</v>
      </c>
      <c r="E10" s="15" t="s">
        <v>10792</v>
      </c>
      <c r="F10" s="85" t="s">
        <v>10578</v>
      </c>
      <c r="G10" s="85" t="s">
        <v>10578</v>
      </c>
      <c r="H10" s="85" t="s">
        <v>10578</v>
      </c>
      <c r="I10" s="85">
        <v>92598</v>
      </c>
      <c r="J10" s="15">
        <v>702.10026666666602</v>
      </c>
      <c r="K10" s="15">
        <v>97.183999999999997</v>
      </c>
      <c r="L10" s="15">
        <v>702.10026666666602</v>
      </c>
      <c r="M10" s="15">
        <v>0</v>
      </c>
      <c r="N10" s="15">
        <v>0</v>
      </c>
      <c r="O10" s="15">
        <v>0</v>
      </c>
    </row>
    <row r="11" spans="1:15" s="6" customFormat="1" x14ac:dyDescent="0.35">
      <c r="A11" s="15">
        <v>4</v>
      </c>
      <c r="B11" s="15" t="s">
        <v>9720</v>
      </c>
      <c r="C11" s="15" t="s">
        <v>10586</v>
      </c>
      <c r="D11" s="15" t="s">
        <v>10791</v>
      </c>
      <c r="E11" s="15" t="s">
        <v>10793</v>
      </c>
      <c r="F11" s="85" t="s">
        <v>10578</v>
      </c>
      <c r="G11" s="85" t="s">
        <v>10790</v>
      </c>
      <c r="H11" s="85" t="s">
        <v>10790</v>
      </c>
      <c r="I11" s="85">
        <v>28529</v>
      </c>
      <c r="J11" s="15">
        <v>1909.71516666666</v>
      </c>
      <c r="K11" s="15">
        <v>29.942</v>
      </c>
      <c r="L11" s="15">
        <v>1909.71516666666</v>
      </c>
      <c r="M11" s="15">
        <v>0</v>
      </c>
      <c r="N11" s="15">
        <v>0</v>
      </c>
      <c r="O11" s="15">
        <v>0</v>
      </c>
    </row>
    <row r="12" spans="1:15" s="6" customFormat="1" x14ac:dyDescent="0.35">
      <c r="A12" s="15">
        <v>5</v>
      </c>
      <c r="B12" s="15" t="s">
        <v>9719</v>
      </c>
      <c r="C12" s="15" t="s">
        <v>10587</v>
      </c>
      <c r="D12" s="15" t="s">
        <v>10588</v>
      </c>
      <c r="E12" s="15" t="s">
        <v>10576</v>
      </c>
      <c r="F12" s="85" t="s">
        <v>9780</v>
      </c>
      <c r="G12" s="85" t="s">
        <v>9780</v>
      </c>
      <c r="H12" s="85" t="s">
        <v>9780</v>
      </c>
      <c r="I12" s="85">
        <v>121127</v>
      </c>
      <c r="J12" s="15">
        <v>986.54081004174304</v>
      </c>
      <c r="K12" s="15">
        <v>127.126</v>
      </c>
      <c r="L12" s="15">
        <v>986.54081004174304</v>
      </c>
      <c r="M12" s="15">
        <v>0</v>
      </c>
      <c r="N12" s="15">
        <v>0</v>
      </c>
      <c r="O12" s="15">
        <v>0</v>
      </c>
    </row>
    <row r="13" spans="1:15" x14ac:dyDescent="0.35">
      <c r="A13" s="15">
        <v>5</v>
      </c>
      <c r="B13" s="15" t="s">
        <v>9719</v>
      </c>
      <c r="C13" s="15" t="s">
        <v>10589</v>
      </c>
      <c r="D13" s="15" t="s">
        <v>10588</v>
      </c>
      <c r="E13" s="15" t="s">
        <v>10590</v>
      </c>
      <c r="F13" s="85" t="s">
        <v>10578</v>
      </c>
      <c r="G13" s="85" t="s">
        <v>10578</v>
      </c>
      <c r="H13" s="85" t="s">
        <v>10578</v>
      </c>
      <c r="I13" s="85">
        <v>83153</v>
      </c>
      <c r="J13" s="15">
        <v>761.81186666666599</v>
      </c>
      <c r="K13" s="15">
        <v>87.271000000000001</v>
      </c>
      <c r="L13" s="15">
        <v>761.81186666666599</v>
      </c>
      <c r="M13" s="15">
        <v>0</v>
      </c>
      <c r="N13" s="15">
        <v>0</v>
      </c>
      <c r="O13" s="15">
        <v>0</v>
      </c>
    </row>
    <row r="14" spans="1:15" x14ac:dyDescent="0.35">
      <c r="A14" s="15">
        <v>5</v>
      </c>
      <c r="B14" s="15" t="s">
        <v>9719</v>
      </c>
      <c r="C14" s="15" t="s">
        <v>10591</v>
      </c>
      <c r="D14" s="15" t="s">
        <v>10588</v>
      </c>
      <c r="E14" s="15" t="s">
        <v>10592</v>
      </c>
      <c r="F14" s="85" t="s">
        <v>10578</v>
      </c>
      <c r="G14" s="85" t="s">
        <v>10579</v>
      </c>
      <c r="H14" s="85" t="s">
        <v>10579</v>
      </c>
      <c r="I14" s="85">
        <v>37974</v>
      </c>
      <c r="J14" s="15">
        <v>1478.63263333333</v>
      </c>
      <c r="K14" s="15">
        <v>39.854999999999997</v>
      </c>
      <c r="L14" s="15">
        <v>1478.63263333333</v>
      </c>
      <c r="M14" s="15">
        <v>0</v>
      </c>
      <c r="N14" s="15">
        <v>0</v>
      </c>
      <c r="O14" s="15">
        <v>0</v>
      </c>
    </row>
    <row r="15" spans="1:15" x14ac:dyDescent="0.35">
      <c r="A15" s="15">
        <v>6</v>
      </c>
      <c r="B15" s="15" t="s">
        <v>9719</v>
      </c>
      <c r="C15" s="15" t="s">
        <v>10593</v>
      </c>
      <c r="D15" s="15" t="s">
        <v>10794</v>
      </c>
      <c r="E15" s="15" t="s">
        <v>10576</v>
      </c>
      <c r="F15" s="85" t="s">
        <v>9780</v>
      </c>
      <c r="G15" s="85" t="s">
        <v>9780</v>
      </c>
      <c r="H15" s="85" t="s">
        <v>9780</v>
      </c>
      <c r="I15" s="85">
        <v>121127</v>
      </c>
      <c r="J15" s="15">
        <v>987.75975480074806</v>
      </c>
      <c r="K15" s="15">
        <v>127.126</v>
      </c>
      <c r="L15" s="15">
        <v>987.75975480074806</v>
      </c>
      <c r="M15" s="15">
        <v>0</v>
      </c>
      <c r="N15" s="15">
        <v>0</v>
      </c>
      <c r="O15" s="15">
        <v>0</v>
      </c>
    </row>
    <row r="16" spans="1:15" s="6" customFormat="1" x14ac:dyDescent="0.35">
      <c r="A16" s="15">
        <v>6</v>
      </c>
      <c r="B16" s="15" t="s">
        <v>9719</v>
      </c>
      <c r="C16" s="15" t="s">
        <v>10594</v>
      </c>
      <c r="D16" s="15" t="s">
        <v>10794</v>
      </c>
      <c r="E16" s="15" t="s">
        <v>10795</v>
      </c>
      <c r="F16" s="85" t="s">
        <v>10578</v>
      </c>
      <c r="G16" s="85" t="s">
        <v>10578</v>
      </c>
      <c r="H16" s="85" t="s">
        <v>10578</v>
      </c>
      <c r="I16" s="85">
        <v>85422</v>
      </c>
      <c r="J16" s="15">
        <v>745.74069999999995</v>
      </c>
      <c r="K16" s="15">
        <v>89.653000000000006</v>
      </c>
      <c r="L16" s="15">
        <v>745.74069999999995</v>
      </c>
      <c r="M16" s="15">
        <v>0</v>
      </c>
      <c r="N16" s="15">
        <v>0</v>
      </c>
      <c r="O16" s="15">
        <v>0</v>
      </c>
    </row>
    <row r="17" spans="1:15" x14ac:dyDescent="0.35">
      <c r="A17" s="15">
        <v>6</v>
      </c>
      <c r="B17" s="15" t="s">
        <v>9719</v>
      </c>
      <c r="C17" s="15" t="s">
        <v>10595</v>
      </c>
      <c r="D17" s="15" t="s">
        <v>10794</v>
      </c>
      <c r="E17" s="15" t="s">
        <v>10796</v>
      </c>
      <c r="F17" s="85" t="s">
        <v>10578</v>
      </c>
      <c r="G17" s="85" t="s">
        <v>10797</v>
      </c>
      <c r="H17" s="85" t="s">
        <v>10797</v>
      </c>
      <c r="I17" s="85">
        <v>35705</v>
      </c>
      <c r="J17" s="15">
        <v>1566.7828999999999</v>
      </c>
      <c r="K17" s="15">
        <v>37.472999999999999</v>
      </c>
      <c r="L17" s="15">
        <v>1566.7828999999999</v>
      </c>
      <c r="M17" s="15">
        <v>0</v>
      </c>
      <c r="N17" s="15">
        <v>0</v>
      </c>
      <c r="O17" s="15">
        <v>0</v>
      </c>
    </row>
    <row r="18" spans="1:15" x14ac:dyDescent="0.35">
      <c r="A18" s="15">
        <v>7</v>
      </c>
      <c r="B18" s="15" t="s">
        <v>9719</v>
      </c>
      <c r="C18" s="15" t="s">
        <v>10798</v>
      </c>
      <c r="D18" s="15" t="s">
        <v>10596</v>
      </c>
      <c r="E18" s="15" t="s">
        <v>10576</v>
      </c>
      <c r="F18" s="85" t="s">
        <v>9780</v>
      </c>
      <c r="G18" s="85" t="s">
        <v>9780</v>
      </c>
      <c r="H18" s="85" t="s">
        <v>9780</v>
      </c>
      <c r="I18" s="85">
        <v>121127</v>
      </c>
      <c r="J18" s="15">
        <v>990.15547819014205</v>
      </c>
      <c r="K18" s="15">
        <v>127.126</v>
      </c>
      <c r="L18" s="15">
        <v>990.15547819014205</v>
      </c>
      <c r="M18" s="15">
        <v>0</v>
      </c>
      <c r="N18" s="15">
        <v>0</v>
      </c>
      <c r="O18" s="15">
        <v>0</v>
      </c>
    </row>
    <row r="19" spans="1:15" x14ac:dyDescent="0.35">
      <c r="A19" s="15">
        <v>7</v>
      </c>
      <c r="B19" s="15" t="s">
        <v>9719</v>
      </c>
      <c r="C19" s="15" t="s">
        <v>10799</v>
      </c>
      <c r="D19" s="15" t="s">
        <v>10596</v>
      </c>
      <c r="E19" s="15" t="s">
        <v>10597</v>
      </c>
      <c r="F19" s="85" t="s">
        <v>10578</v>
      </c>
      <c r="G19" s="85" t="s">
        <v>10578</v>
      </c>
      <c r="H19" s="85" t="s">
        <v>10578</v>
      </c>
      <c r="I19" s="85">
        <v>47448</v>
      </c>
      <c r="J19" s="15">
        <v>1218.6405999999999</v>
      </c>
      <c r="K19" s="15">
        <v>49.798000000000002</v>
      </c>
      <c r="L19" s="15">
        <v>1218.6405999999999</v>
      </c>
      <c r="M19" s="15">
        <v>0</v>
      </c>
      <c r="N19" s="15">
        <v>0</v>
      </c>
      <c r="O19" s="15">
        <v>0</v>
      </c>
    </row>
    <row r="20" spans="1:15" s="6" customFormat="1" x14ac:dyDescent="0.35">
      <c r="A20" s="15">
        <v>7</v>
      </c>
      <c r="B20" s="15" t="s">
        <v>9719</v>
      </c>
      <c r="C20" s="15" t="s">
        <v>10800</v>
      </c>
      <c r="D20" s="15" t="s">
        <v>10596</v>
      </c>
      <c r="E20" s="15" t="s">
        <v>10598</v>
      </c>
      <c r="F20" s="85" t="s">
        <v>10578</v>
      </c>
      <c r="G20" s="85" t="s">
        <v>10797</v>
      </c>
      <c r="H20" s="85" t="s">
        <v>10797</v>
      </c>
      <c r="I20" s="85">
        <v>73679</v>
      </c>
      <c r="J20" s="15">
        <v>843.01469999999995</v>
      </c>
      <c r="K20" s="15">
        <v>77.328000000000003</v>
      </c>
      <c r="L20" s="15">
        <v>843.01469999999995</v>
      </c>
      <c r="M20" s="15">
        <v>0</v>
      </c>
      <c r="N20" s="15">
        <v>0</v>
      </c>
      <c r="O20" s="15">
        <v>0</v>
      </c>
    </row>
    <row r="21" spans="1:15" s="6" customFormat="1" x14ac:dyDescent="0.35">
      <c r="A21" s="15">
        <v>8</v>
      </c>
      <c r="B21" s="15" t="s">
        <v>9720</v>
      </c>
      <c r="C21" s="15" t="s">
        <v>10599</v>
      </c>
      <c r="D21" s="15" t="s">
        <v>10600</v>
      </c>
      <c r="E21" s="15" t="s">
        <v>10576</v>
      </c>
      <c r="F21" s="85" t="s">
        <v>9780</v>
      </c>
      <c r="G21" s="85" t="s">
        <v>9780</v>
      </c>
      <c r="H21" s="85" t="s">
        <v>9780</v>
      </c>
      <c r="I21" s="85">
        <v>121127</v>
      </c>
      <c r="J21" s="15">
        <v>990.38214478863404</v>
      </c>
      <c r="K21" s="15">
        <v>127.126</v>
      </c>
      <c r="L21" s="15">
        <v>990.38214478863404</v>
      </c>
      <c r="M21" s="15">
        <v>0</v>
      </c>
      <c r="N21" s="15">
        <v>0</v>
      </c>
      <c r="O21" s="15">
        <v>0</v>
      </c>
    </row>
    <row r="22" spans="1:15" x14ac:dyDescent="0.35">
      <c r="A22" s="15">
        <v>8</v>
      </c>
      <c r="B22" s="15" t="s">
        <v>9720</v>
      </c>
      <c r="C22" s="15" t="s">
        <v>10601</v>
      </c>
      <c r="D22" s="15" t="s">
        <v>10600</v>
      </c>
      <c r="E22" s="15" t="s">
        <v>10602</v>
      </c>
      <c r="F22" s="85" t="s">
        <v>10578</v>
      </c>
      <c r="G22" s="85" t="s">
        <v>10578</v>
      </c>
      <c r="H22" s="85" t="s">
        <v>10578</v>
      </c>
      <c r="I22" s="85">
        <v>54624</v>
      </c>
      <c r="J22" s="15">
        <v>1082.78933333333</v>
      </c>
      <c r="K22" s="15">
        <v>57.329000000000001</v>
      </c>
      <c r="L22" s="15">
        <v>1082.78933333333</v>
      </c>
      <c r="M22" s="15">
        <v>0</v>
      </c>
      <c r="N22" s="15">
        <v>0</v>
      </c>
      <c r="O22" s="15">
        <v>0</v>
      </c>
    </row>
    <row r="23" spans="1:15" x14ac:dyDescent="0.35">
      <c r="A23" s="15">
        <v>8</v>
      </c>
      <c r="B23" s="15" t="s">
        <v>9720</v>
      </c>
      <c r="C23" s="15" t="s">
        <v>10603</v>
      </c>
      <c r="D23" s="15" t="s">
        <v>10600</v>
      </c>
      <c r="E23" s="15" t="s">
        <v>10604</v>
      </c>
      <c r="F23" s="85" t="s">
        <v>10578</v>
      </c>
      <c r="G23" s="85" t="s">
        <v>10790</v>
      </c>
      <c r="H23" s="85" t="s">
        <v>10790</v>
      </c>
      <c r="I23" s="85">
        <v>66503</v>
      </c>
      <c r="J23" s="15">
        <v>914.48186666666595</v>
      </c>
      <c r="K23" s="15">
        <v>69.796999999999997</v>
      </c>
      <c r="L23" s="15">
        <v>914.48186666666595</v>
      </c>
      <c r="M23" s="15">
        <v>0</v>
      </c>
      <c r="N23" s="15">
        <v>0</v>
      </c>
      <c r="O23" s="15">
        <v>0</v>
      </c>
    </row>
    <row r="24" spans="1:15" x14ac:dyDescent="0.35">
      <c r="A24" s="15">
        <v>9</v>
      </c>
      <c r="B24" s="15" t="s">
        <v>9719</v>
      </c>
      <c r="C24" s="15" t="s">
        <v>10801</v>
      </c>
      <c r="D24" s="15" t="s">
        <v>10802</v>
      </c>
      <c r="E24" s="15" t="s">
        <v>10576</v>
      </c>
      <c r="F24" s="85" t="s">
        <v>9780</v>
      </c>
      <c r="G24" s="85" t="s">
        <v>9780</v>
      </c>
      <c r="H24" s="85" t="s">
        <v>9780</v>
      </c>
      <c r="I24" s="85">
        <v>121127</v>
      </c>
      <c r="J24" s="15">
        <v>992.01386040752197</v>
      </c>
      <c r="K24" s="15">
        <v>127.126</v>
      </c>
      <c r="L24" s="15">
        <v>992.01386040752197</v>
      </c>
      <c r="M24" s="15">
        <v>0</v>
      </c>
      <c r="N24" s="15">
        <v>0</v>
      </c>
      <c r="O24" s="15">
        <v>0</v>
      </c>
    </row>
    <row r="25" spans="1:15" x14ac:dyDescent="0.35">
      <c r="A25" s="15">
        <v>9</v>
      </c>
      <c r="B25" s="15" t="s">
        <v>9719</v>
      </c>
      <c r="C25" s="15" t="s">
        <v>10803</v>
      </c>
      <c r="D25" s="15" t="s">
        <v>10802</v>
      </c>
      <c r="E25" s="15" t="s">
        <v>10804</v>
      </c>
      <c r="F25" s="85" t="s">
        <v>10578</v>
      </c>
      <c r="G25" s="85" t="s">
        <v>10578</v>
      </c>
      <c r="H25" s="85" t="s">
        <v>10578</v>
      </c>
      <c r="I25" s="85">
        <v>56893</v>
      </c>
      <c r="J25" s="15">
        <v>1045.78933333333</v>
      </c>
      <c r="K25" s="15">
        <v>59.710999999999999</v>
      </c>
      <c r="L25" s="15">
        <v>1045.78933333333</v>
      </c>
      <c r="M25" s="15">
        <v>0</v>
      </c>
      <c r="N25" s="15">
        <v>0</v>
      </c>
      <c r="O25" s="15">
        <v>0</v>
      </c>
    </row>
    <row r="26" spans="1:15" s="6" customFormat="1" x14ac:dyDescent="0.35">
      <c r="A26" s="15">
        <v>9</v>
      </c>
      <c r="B26" s="15" t="s">
        <v>9719</v>
      </c>
      <c r="C26" s="15" t="s">
        <v>10805</v>
      </c>
      <c r="D26" s="15" t="s">
        <v>10802</v>
      </c>
      <c r="E26" s="15" t="s">
        <v>10806</v>
      </c>
      <c r="F26" s="85" t="s">
        <v>10578</v>
      </c>
      <c r="G26" s="85" t="s">
        <v>10790</v>
      </c>
      <c r="H26" s="85" t="s">
        <v>10790</v>
      </c>
      <c r="I26" s="85">
        <v>64234</v>
      </c>
      <c r="J26" s="15">
        <v>944.38369999999998</v>
      </c>
      <c r="K26" s="15">
        <v>67.415000000000006</v>
      </c>
      <c r="L26" s="15">
        <v>944.38369999999998</v>
      </c>
      <c r="M26" s="15">
        <v>0</v>
      </c>
      <c r="N26" s="15">
        <v>0</v>
      </c>
      <c r="O26" s="15">
        <v>0</v>
      </c>
    </row>
    <row r="27" spans="1:15" x14ac:dyDescent="0.35">
      <c r="A27" s="15">
        <v>10</v>
      </c>
      <c r="B27" s="15" t="s">
        <v>9719</v>
      </c>
      <c r="C27" s="15" t="s">
        <v>10807</v>
      </c>
      <c r="D27" s="15" t="s">
        <v>10808</v>
      </c>
      <c r="E27" s="15" t="s">
        <v>10576</v>
      </c>
      <c r="F27" s="85" t="s">
        <v>9780</v>
      </c>
      <c r="G27" s="85" t="s">
        <v>9780</v>
      </c>
      <c r="H27" s="85" t="s">
        <v>9780</v>
      </c>
      <c r="I27" s="85">
        <v>121127</v>
      </c>
      <c r="J27" s="15">
        <v>1354.87216750887</v>
      </c>
      <c r="K27" s="15">
        <v>127.126</v>
      </c>
      <c r="L27" s="15">
        <v>1354.87216750887</v>
      </c>
      <c r="M27" s="15">
        <v>0</v>
      </c>
      <c r="N27" s="15">
        <v>0</v>
      </c>
      <c r="O27" s="15">
        <v>0</v>
      </c>
    </row>
    <row r="28" spans="1:15" x14ac:dyDescent="0.35">
      <c r="A28" s="15">
        <v>10</v>
      </c>
      <c r="B28" s="15" t="s">
        <v>9719</v>
      </c>
      <c r="C28" s="15" t="s">
        <v>10809</v>
      </c>
      <c r="D28" s="15" t="s">
        <v>10808</v>
      </c>
      <c r="E28" s="15" t="s">
        <v>10583</v>
      </c>
      <c r="F28" s="85" t="s">
        <v>10578</v>
      </c>
      <c r="G28" s="85" t="s">
        <v>10578</v>
      </c>
      <c r="H28" s="85" t="s">
        <v>10578</v>
      </c>
      <c r="I28" s="85">
        <v>18919</v>
      </c>
      <c r="J28" s="15">
        <v>2511.5907999999999</v>
      </c>
      <c r="K28" s="15">
        <v>19.856000000000002</v>
      </c>
      <c r="L28" s="15">
        <v>2511.5907999999999</v>
      </c>
      <c r="M28" s="15">
        <v>0</v>
      </c>
      <c r="N28" s="15">
        <v>0</v>
      </c>
      <c r="O28" s="15">
        <v>0</v>
      </c>
    </row>
    <row r="29" spans="1:15" s="6" customFormat="1" x14ac:dyDescent="0.35">
      <c r="A29" s="15">
        <v>10</v>
      </c>
      <c r="B29" s="15" t="s">
        <v>9719</v>
      </c>
      <c r="C29" s="15" t="s">
        <v>10810</v>
      </c>
      <c r="D29" s="15" t="s">
        <v>10808</v>
      </c>
      <c r="E29" s="15" t="s">
        <v>10793</v>
      </c>
      <c r="F29" s="85" t="s">
        <v>10578</v>
      </c>
      <c r="G29" s="85" t="s">
        <v>10790</v>
      </c>
      <c r="H29" s="85" t="s">
        <v>10790</v>
      </c>
      <c r="I29" s="85">
        <v>28529</v>
      </c>
      <c r="J29" s="15">
        <v>1909.71516666666</v>
      </c>
      <c r="K29" s="15">
        <v>29.942</v>
      </c>
      <c r="L29" s="15">
        <v>1909.71516666666</v>
      </c>
      <c r="M29" s="15">
        <v>0</v>
      </c>
      <c r="N29" s="15">
        <v>0</v>
      </c>
      <c r="O29" s="15">
        <v>0</v>
      </c>
    </row>
    <row r="30" spans="1:15" x14ac:dyDescent="0.35">
      <c r="A30" s="15">
        <v>10</v>
      </c>
      <c r="B30" s="15" t="s">
        <v>9719</v>
      </c>
      <c r="C30" s="15" t="s">
        <v>10811</v>
      </c>
      <c r="D30" s="15" t="s">
        <v>10808</v>
      </c>
      <c r="E30" s="15" t="s">
        <v>10598</v>
      </c>
      <c r="F30" s="85" t="s">
        <v>10578</v>
      </c>
      <c r="G30" s="85" t="s">
        <v>10797</v>
      </c>
      <c r="H30" s="85" t="s">
        <v>10797</v>
      </c>
      <c r="I30" s="85">
        <v>73679</v>
      </c>
      <c r="J30" s="15">
        <v>843.01469999999995</v>
      </c>
      <c r="K30" s="15">
        <v>77.328000000000003</v>
      </c>
      <c r="L30" s="15">
        <v>843.01469999999995</v>
      </c>
      <c r="M30" s="15">
        <v>0</v>
      </c>
      <c r="N30" s="15">
        <v>0</v>
      </c>
      <c r="O30" s="15">
        <v>0</v>
      </c>
    </row>
    <row r="31" spans="1:15" s="6" customFormat="1" x14ac:dyDescent="0.35">
      <c r="A31" s="15">
        <v>11</v>
      </c>
      <c r="B31" s="15" t="s">
        <v>9719</v>
      </c>
      <c r="C31" s="15" t="s">
        <v>10812</v>
      </c>
      <c r="D31" s="15" t="s">
        <v>10813</v>
      </c>
      <c r="E31" s="15" t="s">
        <v>10576</v>
      </c>
      <c r="F31" s="85" t="s">
        <v>9780</v>
      </c>
      <c r="G31" s="85" t="s">
        <v>9780</v>
      </c>
      <c r="H31" s="85" t="s">
        <v>9780</v>
      </c>
      <c r="I31" s="85">
        <v>121127</v>
      </c>
      <c r="J31" s="15">
        <v>1356.2158282667001</v>
      </c>
      <c r="K31" s="15">
        <v>127.126</v>
      </c>
      <c r="L31" s="15">
        <v>1356.2158282667001</v>
      </c>
      <c r="M31" s="15">
        <v>0</v>
      </c>
      <c r="N31" s="15">
        <v>0</v>
      </c>
      <c r="O31" s="15">
        <v>0</v>
      </c>
    </row>
    <row r="32" spans="1:15" x14ac:dyDescent="0.35">
      <c r="A32" s="15">
        <v>11</v>
      </c>
      <c r="B32" s="15" t="s">
        <v>9719</v>
      </c>
      <c r="C32" s="15" t="s">
        <v>10814</v>
      </c>
      <c r="D32" s="15" t="s">
        <v>10813</v>
      </c>
      <c r="E32" s="15" t="s">
        <v>10583</v>
      </c>
      <c r="F32" s="85" t="s">
        <v>10578</v>
      </c>
      <c r="G32" s="85" t="s">
        <v>10578</v>
      </c>
      <c r="H32" s="85" t="s">
        <v>10578</v>
      </c>
      <c r="I32" s="85">
        <v>18919</v>
      </c>
      <c r="J32" s="15">
        <v>2511.5907999999999</v>
      </c>
      <c r="K32" s="15">
        <v>19.856000000000002</v>
      </c>
      <c r="L32" s="15">
        <v>2511.5907999999999</v>
      </c>
      <c r="M32" s="15">
        <v>0</v>
      </c>
      <c r="N32" s="15">
        <v>0</v>
      </c>
      <c r="O32" s="15">
        <v>0</v>
      </c>
    </row>
    <row r="33" spans="1:15" x14ac:dyDescent="0.35">
      <c r="A33" s="15">
        <v>11</v>
      </c>
      <c r="B33" s="15" t="s">
        <v>9719</v>
      </c>
      <c r="C33" s="15" t="s">
        <v>10815</v>
      </c>
      <c r="D33" s="15" t="s">
        <v>10813</v>
      </c>
      <c r="E33" s="15" t="s">
        <v>10604</v>
      </c>
      <c r="F33" s="85" t="s">
        <v>10578</v>
      </c>
      <c r="G33" s="85" t="s">
        <v>10790</v>
      </c>
      <c r="H33" s="85" t="s">
        <v>10790</v>
      </c>
      <c r="I33" s="85">
        <v>66503</v>
      </c>
      <c r="J33" s="15">
        <v>914.48186666666595</v>
      </c>
      <c r="K33" s="15">
        <v>69.796999999999997</v>
      </c>
      <c r="L33" s="15">
        <v>914.48186666666595</v>
      </c>
      <c r="M33" s="15">
        <v>0</v>
      </c>
      <c r="N33" s="15">
        <v>0</v>
      </c>
      <c r="O33" s="15">
        <v>0</v>
      </c>
    </row>
    <row r="34" spans="1:15" x14ac:dyDescent="0.35">
      <c r="A34" s="15">
        <v>11</v>
      </c>
      <c r="B34" s="15" t="s">
        <v>9719</v>
      </c>
      <c r="C34" s="15" t="s">
        <v>10816</v>
      </c>
      <c r="D34" s="15" t="s">
        <v>10813</v>
      </c>
      <c r="E34" s="15" t="s">
        <v>10796</v>
      </c>
      <c r="F34" s="85" t="s">
        <v>10578</v>
      </c>
      <c r="G34" s="85" t="s">
        <v>10797</v>
      </c>
      <c r="H34" s="85" t="s">
        <v>10797</v>
      </c>
      <c r="I34" s="85">
        <v>35705</v>
      </c>
      <c r="J34" s="15">
        <v>1566.7828999999999</v>
      </c>
      <c r="K34" s="15">
        <v>37.472999999999999</v>
      </c>
      <c r="L34" s="15">
        <v>1566.7828999999999</v>
      </c>
      <c r="M34" s="15">
        <v>0</v>
      </c>
      <c r="N34" s="15">
        <v>0</v>
      </c>
      <c r="O34" s="15">
        <v>0</v>
      </c>
    </row>
    <row r="35" spans="1:15" x14ac:dyDescent="0.35">
      <c r="A35" s="15">
        <v>12</v>
      </c>
      <c r="B35" s="15" t="s">
        <v>9719</v>
      </c>
      <c r="C35" s="15" t="s">
        <v>10817</v>
      </c>
      <c r="D35" s="15" t="s">
        <v>10818</v>
      </c>
      <c r="E35" s="15" t="s">
        <v>10576</v>
      </c>
      <c r="F35" s="85" t="s">
        <v>9780</v>
      </c>
      <c r="G35" s="85" t="s">
        <v>9780</v>
      </c>
      <c r="H35" s="85" t="s">
        <v>9780</v>
      </c>
      <c r="I35" s="85">
        <v>121127</v>
      </c>
      <c r="J35" s="15">
        <v>1356.6593589179199</v>
      </c>
      <c r="K35" s="15">
        <v>127.126</v>
      </c>
      <c r="L35" s="15">
        <v>1356.6593589179199</v>
      </c>
      <c r="M35" s="15">
        <v>0</v>
      </c>
      <c r="N35" s="15">
        <v>0</v>
      </c>
      <c r="O35" s="15">
        <v>0</v>
      </c>
    </row>
    <row r="36" spans="1:15" s="6" customFormat="1" x14ac:dyDescent="0.35">
      <c r="A36" s="15">
        <v>12</v>
      </c>
      <c r="B36" s="15" t="s">
        <v>9719</v>
      </c>
      <c r="C36" s="15" t="s">
        <v>10819</v>
      </c>
      <c r="D36" s="15" t="s">
        <v>10818</v>
      </c>
      <c r="E36" s="15" t="s">
        <v>10583</v>
      </c>
      <c r="F36" s="85" t="s">
        <v>10578</v>
      </c>
      <c r="G36" s="85" t="s">
        <v>10578</v>
      </c>
      <c r="H36" s="85" t="s">
        <v>10578</v>
      </c>
      <c r="I36" s="85">
        <v>18919</v>
      </c>
      <c r="J36" s="15">
        <v>2511.5907999999999</v>
      </c>
      <c r="K36" s="15">
        <v>19.856000000000002</v>
      </c>
      <c r="L36" s="15">
        <v>2511.5907999999999</v>
      </c>
      <c r="M36" s="15">
        <v>0</v>
      </c>
      <c r="N36" s="15">
        <v>0</v>
      </c>
      <c r="O36" s="15">
        <v>0</v>
      </c>
    </row>
    <row r="37" spans="1:15" x14ac:dyDescent="0.35">
      <c r="A37" s="15">
        <v>12</v>
      </c>
      <c r="B37" s="15" t="s">
        <v>9719</v>
      </c>
      <c r="C37" s="15" t="s">
        <v>10820</v>
      </c>
      <c r="D37" s="15" t="s">
        <v>10818</v>
      </c>
      <c r="E37" s="15" t="s">
        <v>10806</v>
      </c>
      <c r="F37" s="85" t="s">
        <v>10578</v>
      </c>
      <c r="G37" s="85" t="s">
        <v>10790</v>
      </c>
      <c r="H37" s="85" t="s">
        <v>10790</v>
      </c>
      <c r="I37" s="85">
        <v>64234</v>
      </c>
      <c r="J37" s="15">
        <v>944.38369999999998</v>
      </c>
      <c r="K37" s="15">
        <v>67.415000000000006</v>
      </c>
      <c r="L37" s="15">
        <v>944.38369999999998</v>
      </c>
      <c r="M37" s="15">
        <v>0</v>
      </c>
      <c r="N37" s="15">
        <v>0</v>
      </c>
      <c r="O37" s="15">
        <v>0</v>
      </c>
    </row>
    <row r="38" spans="1:15" s="6" customFormat="1" x14ac:dyDescent="0.35">
      <c r="A38" s="15">
        <v>12</v>
      </c>
      <c r="B38" s="15" t="s">
        <v>9719</v>
      </c>
      <c r="C38" s="15" t="s">
        <v>10821</v>
      </c>
      <c r="D38" s="15" t="s">
        <v>10818</v>
      </c>
      <c r="E38" s="15" t="s">
        <v>10592</v>
      </c>
      <c r="F38" s="85" t="s">
        <v>10578</v>
      </c>
      <c r="G38" s="85" t="s">
        <v>10579</v>
      </c>
      <c r="H38" s="85" t="s">
        <v>10579</v>
      </c>
      <c r="I38" s="85">
        <v>37974</v>
      </c>
      <c r="J38" s="15">
        <v>1478.63263333333</v>
      </c>
      <c r="K38" s="15">
        <v>39.854999999999997</v>
      </c>
      <c r="L38" s="15">
        <v>1478.63263333333</v>
      </c>
      <c r="M38" s="15">
        <v>0</v>
      </c>
      <c r="N38" s="15">
        <v>0</v>
      </c>
      <c r="O38" s="15">
        <v>0</v>
      </c>
    </row>
    <row r="39" spans="1:15" x14ac:dyDescent="0.35">
      <c r="A39" s="15">
        <v>13</v>
      </c>
      <c r="B39" s="15" t="s">
        <v>9719</v>
      </c>
      <c r="C39" s="15" t="s">
        <v>10822</v>
      </c>
      <c r="D39" s="15" t="s">
        <v>10823</v>
      </c>
      <c r="E39" s="15" t="s">
        <v>10576</v>
      </c>
      <c r="F39" s="85" t="s">
        <v>9780</v>
      </c>
      <c r="G39" s="85" t="s">
        <v>9780</v>
      </c>
      <c r="H39" s="85" t="s">
        <v>9780</v>
      </c>
      <c r="I39" s="85">
        <v>121127</v>
      </c>
      <c r="J39" s="15">
        <v>1401.65524607476</v>
      </c>
      <c r="K39" s="15">
        <v>127.126</v>
      </c>
      <c r="L39" s="15">
        <v>1401.65524607476</v>
      </c>
      <c r="M39" s="15">
        <v>0</v>
      </c>
      <c r="N39" s="15">
        <v>0</v>
      </c>
      <c r="O39" s="15">
        <v>0</v>
      </c>
    </row>
    <row r="40" spans="1:15" x14ac:dyDescent="0.35">
      <c r="A40" s="15">
        <v>13</v>
      </c>
      <c r="B40" s="15" t="s">
        <v>9719</v>
      </c>
      <c r="C40" s="15" t="s">
        <v>10824</v>
      </c>
      <c r="D40" s="15" t="s">
        <v>10823</v>
      </c>
      <c r="E40" s="15" t="s">
        <v>10602</v>
      </c>
      <c r="F40" s="85" t="s">
        <v>10578</v>
      </c>
      <c r="G40" s="85" t="s">
        <v>10578</v>
      </c>
      <c r="H40" s="85" t="s">
        <v>10578</v>
      </c>
      <c r="I40" s="85">
        <v>54624</v>
      </c>
      <c r="J40" s="15">
        <v>1082.78933333333</v>
      </c>
      <c r="K40" s="15">
        <v>57.329000000000001</v>
      </c>
      <c r="L40" s="15">
        <v>1082.78933333333</v>
      </c>
      <c r="M40" s="15">
        <v>0</v>
      </c>
      <c r="N40" s="15">
        <v>0</v>
      </c>
      <c r="O40" s="15">
        <v>0</v>
      </c>
    </row>
    <row r="41" spans="1:15" x14ac:dyDescent="0.35">
      <c r="A41" s="15">
        <v>13</v>
      </c>
      <c r="B41" s="15" t="s">
        <v>9719</v>
      </c>
      <c r="C41" s="15" t="s">
        <v>10825</v>
      </c>
      <c r="D41" s="15" t="s">
        <v>10823</v>
      </c>
      <c r="E41" s="15" t="s">
        <v>10793</v>
      </c>
      <c r="F41" s="85" t="s">
        <v>10578</v>
      </c>
      <c r="G41" s="85" t="s">
        <v>10790</v>
      </c>
      <c r="H41" s="85" t="s">
        <v>10790</v>
      </c>
      <c r="I41" s="85">
        <v>28529</v>
      </c>
      <c r="J41" s="15">
        <v>1909.71516666666</v>
      </c>
      <c r="K41" s="15">
        <v>29.942</v>
      </c>
      <c r="L41" s="15">
        <v>1909.71516666666</v>
      </c>
      <c r="M41" s="15">
        <v>0</v>
      </c>
      <c r="N41" s="15">
        <v>0</v>
      </c>
      <c r="O41" s="15">
        <v>0</v>
      </c>
    </row>
    <row r="42" spans="1:15" x14ac:dyDescent="0.35">
      <c r="A42" s="15">
        <v>13</v>
      </c>
      <c r="B42" s="15" t="s">
        <v>9719</v>
      </c>
      <c r="C42" s="15" t="s">
        <v>10826</v>
      </c>
      <c r="D42" s="15" t="s">
        <v>10823</v>
      </c>
      <c r="E42" s="15" t="s">
        <v>10592</v>
      </c>
      <c r="F42" s="85" t="s">
        <v>10578</v>
      </c>
      <c r="G42" s="85" t="s">
        <v>10579</v>
      </c>
      <c r="H42" s="85" t="s">
        <v>10579</v>
      </c>
      <c r="I42" s="85">
        <v>37974</v>
      </c>
      <c r="J42" s="15">
        <v>1478.63263333333</v>
      </c>
      <c r="K42" s="15">
        <v>39.854999999999997</v>
      </c>
      <c r="L42" s="15">
        <v>1478.63263333333</v>
      </c>
      <c r="M42" s="15">
        <v>0</v>
      </c>
      <c r="N42" s="15">
        <v>0</v>
      </c>
      <c r="O42" s="15">
        <v>0</v>
      </c>
    </row>
    <row r="43" spans="1:15" x14ac:dyDescent="0.35">
      <c r="A43" s="15">
        <v>14</v>
      </c>
      <c r="B43" s="15" t="s">
        <v>9719</v>
      </c>
      <c r="C43" s="15" t="s">
        <v>10827</v>
      </c>
      <c r="D43" s="15" t="s">
        <v>10828</v>
      </c>
      <c r="E43" s="15" t="s">
        <v>10576</v>
      </c>
      <c r="F43" s="85" t="s">
        <v>9780</v>
      </c>
      <c r="G43" s="85" t="s">
        <v>9780</v>
      </c>
      <c r="H43" s="85" t="s">
        <v>9780</v>
      </c>
      <c r="I43" s="85">
        <v>121127</v>
      </c>
      <c r="J43" s="15">
        <v>1402.7722402340901</v>
      </c>
      <c r="K43" s="15">
        <v>127.126</v>
      </c>
      <c r="L43" s="15">
        <v>1402.7722402340901</v>
      </c>
      <c r="M43" s="15">
        <v>0</v>
      </c>
      <c r="N43" s="15">
        <v>0</v>
      </c>
      <c r="O43" s="15">
        <v>0</v>
      </c>
    </row>
    <row r="44" spans="1:15" x14ac:dyDescent="0.35">
      <c r="A44" s="15">
        <v>14</v>
      </c>
      <c r="B44" s="15" t="s">
        <v>9719</v>
      </c>
      <c r="C44" s="15" t="s">
        <v>10829</v>
      </c>
      <c r="D44" s="15" t="s">
        <v>10828</v>
      </c>
      <c r="E44" s="15" t="s">
        <v>10597</v>
      </c>
      <c r="F44" s="85" t="s">
        <v>10578</v>
      </c>
      <c r="G44" s="85" t="s">
        <v>10578</v>
      </c>
      <c r="H44" s="85" t="s">
        <v>10578</v>
      </c>
      <c r="I44" s="85">
        <v>47448</v>
      </c>
      <c r="J44" s="15">
        <v>1218.6405999999999</v>
      </c>
      <c r="K44" s="15">
        <v>49.798000000000002</v>
      </c>
      <c r="L44" s="15">
        <v>1218.6405999999999</v>
      </c>
      <c r="M44" s="15">
        <v>0</v>
      </c>
      <c r="N44" s="15">
        <v>0</v>
      </c>
      <c r="O44" s="15">
        <v>0</v>
      </c>
    </row>
    <row r="45" spans="1:15" x14ac:dyDescent="0.35">
      <c r="A45" s="15">
        <v>14</v>
      </c>
      <c r="B45" s="15" t="s">
        <v>9719</v>
      </c>
      <c r="C45" s="15" t="s">
        <v>10830</v>
      </c>
      <c r="D45" s="15" t="s">
        <v>10828</v>
      </c>
      <c r="E45" s="15" t="s">
        <v>10796</v>
      </c>
      <c r="F45" s="85" t="s">
        <v>10578</v>
      </c>
      <c r="G45" s="85" t="s">
        <v>10797</v>
      </c>
      <c r="H45" s="85" t="s">
        <v>10797</v>
      </c>
      <c r="I45" s="85">
        <v>35705</v>
      </c>
      <c r="J45" s="15">
        <v>1566.7828999999999</v>
      </c>
      <c r="K45" s="15">
        <v>37.472999999999999</v>
      </c>
      <c r="L45" s="15">
        <v>1566.7828999999999</v>
      </c>
      <c r="M45" s="15">
        <v>0</v>
      </c>
      <c r="N45" s="15">
        <v>0</v>
      </c>
      <c r="O45" s="15">
        <v>0</v>
      </c>
    </row>
    <row r="46" spans="1:15" x14ac:dyDescent="0.35">
      <c r="A46" s="15">
        <v>14</v>
      </c>
      <c r="B46" s="15" t="s">
        <v>9719</v>
      </c>
      <c r="C46" s="15" t="s">
        <v>10831</v>
      </c>
      <c r="D46" s="15" t="s">
        <v>10828</v>
      </c>
      <c r="E46" s="15" t="s">
        <v>10592</v>
      </c>
      <c r="F46" s="85" t="s">
        <v>10578</v>
      </c>
      <c r="G46" s="85" t="s">
        <v>10579</v>
      </c>
      <c r="H46" s="85" t="s">
        <v>10579</v>
      </c>
      <c r="I46" s="85">
        <v>37974</v>
      </c>
      <c r="J46" s="15">
        <v>1478.63263333333</v>
      </c>
      <c r="K46" s="15">
        <v>39.854999999999997</v>
      </c>
      <c r="L46" s="15">
        <v>1478.63263333333</v>
      </c>
      <c r="M46" s="15">
        <v>0</v>
      </c>
      <c r="N46" s="15">
        <v>0</v>
      </c>
      <c r="O46" s="15">
        <v>0</v>
      </c>
    </row>
    <row r="47" spans="1:15" s="6" customFormat="1" x14ac:dyDescent="0.35">
      <c r="A47" s="15">
        <v>15</v>
      </c>
      <c r="B47" s="15" t="s">
        <v>9719</v>
      </c>
      <c r="C47" s="15" t="s">
        <v>10832</v>
      </c>
      <c r="D47" s="15" t="s">
        <v>10833</v>
      </c>
      <c r="E47" s="15" t="s">
        <v>10576</v>
      </c>
      <c r="F47" s="85" t="s">
        <v>9780</v>
      </c>
      <c r="G47" s="85" t="s">
        <v>9780</v>
      </c>
      <c r="H47" s="85" t="s">
        <v>9780</v>
      </c>
      <c r="I47" s="85">
        <v>121127</v>
      </c>
      <c r="J47" s="15">
        <v>1402.84343104243</v>
      </c>
      <c r="K47" s="15">
        <v>127.126</v>
      </c>
      <c r="L47" s="15">
        <v>1402.84343104243</v>
      </c>
      <c r="M47" s="15">
        <v>0</v>
      </c>
      <c r="N47" s="15">
        <v>0</v>
      </c>
      <c r="O47" s="15">
        <v>0</v>
      </c>
    </row>
    <row r="48" spans="1:15" x14ac:dyDescent="0.35">
      <c r="A48" s="15">
        <v>15</v>
      </c>
      <c r="B48" s="15" t="s">
        <v>9719</v>
      </c>
      <c r="C48" s="15" t="s">
        <v>10834</v>
      </c>
      <c r="D48" s="15" t="s">
        <v>10833</v>
      </c>
      <c r="E48" s="15" t="s">
        <v>10804</v>
      </c>
      <c r="F48" s="85" t="s">
        <v>10578</v>
      </c>
      <c r="G48" s="85" t="s">
        <v>10578</v>
      </c>
      <c r="H48" s="85" t="s">
        <v>10578</v>
      </c>
      <c r="I48" s="85">
        <v>56893</v>
      </c>
      <c r="J48" s="15">
        <v>1045.78933333333</v>
      </c>
      <c r="K48" s="15">
        <v>59.710999999999999</v>
      </c>
      <c r="L48" s="15">
        <v>1045.78933333333</v>
      </c>
      <c r="M48" s="15">
        <v>0</v>
      </c>
      <c r="N48" s="15">
        <v>0</v>
      </c>
      <c r="O48" s="15">
        <v>0</v>
      </c>
    </row>
    <row r="49" spans="1:15" x14ac:dyDescent="0.35">
      <c r="A49" s="15">
        <v>15</v>
      </c>
      <c r="B49" s="15" t="s">
        <v>9719</v>
      </c>
      <c r="C49" s="15" t="s">
        <v>10835</v>
      </c>
      <c r="D49" s="15" t="s">
        <v>10833</v>
      </c>
      <c r="E49" s="15" t="s">
        <v>10793</v>
      </c>
      <c r="F49" s="85" t="s">
        <v>10578</v>
      </c>
      <c r="G49" s="85" t="s">
        <v>10790</v>
      </c>
      <c r="H49" s="85" t="s">
        <v>10790</v>
      </c>
      <c r="I49" s="85">
        <v>28529</v>
      </c>
      <c r="J49" s="15">
        <v>1909.71516666666</v>
      </c>
      <c r="K49" s="15">
        <v>29.942</v>
      </c>
      <c r="L49" s="15">
        <v>1909.71516666666</v>
      </c>
      <c r="M49" s="15">
        <v>0</v>
      </c>
      <c r="N49" s="15">
        <v>0</v>
      </c>
      <c r="O49" s="15">
        <v>0</v>
      </c>
    </row>
    <row r="50" spans="1:15" x14ac:dyDescent="0.35">
      <c r="A50" s="15">
        <v>15</v>
      </c>
      <c r="B50" s="15" t="s">
        <v>9719</v>
      </c>
      <c r="C50" s="15" t="s">
        <v>10836</v>
      </c>
      <c r="D50" s="15" t="s">
        <v>10833</v>
      </c>
      <c r="E50" s="15" t="s">
        <v>10796</v>
      </c>
      <c r="F50" s="85" t="s">
        <v>10578</v>
      </c>
      <c r="G50" s="85" t="s">
        <v>10797</v>
      </c>
      <c r="H50" s="85" t="s">
        <v>10797</v>
      </c>
      <c r="I50" s="85">
        <v>35705</v>
      </c>
      <c r="J50" s="15">
        <v>1566.7828999999999</v>
      </c>
      <c r="K50" s="15">
        <v>37.472999999999999</v>
      </c>
      <c r="L50" s="15">
        <v>1566.7828999999999</v>
      </c>
      <c r="M50" s="15">
        <v>0</v>
      </c>
      <c r="N50" s="15">
        <v>0</v>
      </c>
      <c r="O50" s="15">
        <v>0</v>
      </c>
    </row>
    <row r="51" spans="1:15" x14ac:dyDescent="0.35">
      <c r="F51" s="85"/>
      <c r="G51" s="85"/>
      <c r="H51" s="85"/>
      <c r="I51" s="85"/>
    </row>
    <row r="52" spans="1:15" x14ac:dyDescent="0.35">
      <c r="F52" s="85"/>
      <c r="G52" s="85"/>
      <c r="H52" s="85"/>
      <c r="I52" s="85"/>
    </row>
    <row r="53" spans="1:15" x14ac:dyDescent="0.35">
      <c r="F53" s="85"/>
      <c r="G53" s="85"/>
      <c r="H53" s="85"/>
      <c r="I53" s="85"/>
    </row>
    <row r="54" spans="1:15" x14ac:dyDescent="0.35">
      <c r="F54" s="85"/>
      <c r="G54" s="85"/>
      <c r="H54" s="85"/>
      <c r="I54" s="85"/>
    </row>
    <row r="55" spans="1:15" x14ac:dyDescent="0.35">
      <c r="F55" s="85"/>
      <c r="G55" s="85"/>
      <c r="H55" s="85"/>
      <c r="I55" s="85"/>
    </row>
    <row r="56" spans="1:15" s="6" customFormat="1" x14ac:dyDescent="0.35">
      <c r="A56" s="84"/>
      <c r="B56" s="84"/>
      <c r="C56" s="84"/>
      <c r="D56" s="84"/>
      <c r="E56" s="84"/>
      <c r="F56" s="86"/>
      <c r="G56" s="86"/>
      <c r="H56" s="86"/>
      <c r="I56" s="86"/>
      <c r="J56" s="84"/>
      <c r="K56" s="84"/>
      <c r="L56" s="84"/>
      <c r="M56" s="84"/>
      <c r="N56" s="84"/>
      <c r="O56" s="84"/>
    </row>
    <row r="57" spans="1:15" x14ac:dyDescent="0.35">
      <c r="F57" s="85"/>
      <c r="G57" s="85"/>
      <c r="H57" s="85"/>
      <c r="I57" s="85"/>
    </row>
    <row r="58" spans="1:15" x14ac:dyDescent="0.35">
      <c r="F58" s="85"/>
      <c r="G58" s="85"/>
      <c r="H58" s="85"/>
      <c r="I58" s="85"/>
    </row>
    <row r="59" spans="1:15" x14ac:dyDescent="0.35">
      <c r="F59" s="85"/>
      <c r="G59" s="85"/>
      <c r="H59" s="85"/>
      <c r="I59" s="85"/>
    </row>
    <row r="60" spans="1:15" x14ac:dyDescent="0.35">
      <c r="F60" s="85"/>
      <c r="G60" s="85"/>
      <c r="H60" s="85"/>
      <c r="I60" s="85"/>
    </row>
    <row r="61" spans="1:15" x14ac:dyDescent="0.35">
      <c r="F61" s="85"/>
      <c r="G61" s="85"/>
      <c r="H61" s="85"/>
      <c r="I61" s="85"/>
    </row>
    <row r="62" spans="1:15" x14ac:dyDescent="0.35">
      <c r="F62" s="85"/>
      <c r="G62" s="85"/>
      <c r="H62" s="85"/>
      <c r="I62" s="85"/>
    </row>
    <row r="63" spans="1:15" x14ac:dyDescent="0.35">
      <c r="F63" s="85"/>
      <c r="G63" s="85"/>
      <c r="H63" s="85"/>
      <c r="I63" s="85"/>
    </row>
    <row r="64" spans="1:15" x14ac:dyDescent="0.35">
      <c r="F64" s="85"/>
      <c r="G64" s="85"/>
      <c r="H64" s="85"/>
      <c r="I64" s="85"/>
    </row>
    <row r="65" spans="1:15" x14ac:dyDescent="0.35">
      <c r="F65" s="85"/>
      <c r="G65" s="85"/>
      <c r="H65" s="85"/>
      <c r="I65" s="85"/>
    </row>
    <row r="66" spans="1:15" x14ac:dyDescent="0.35">
      <c r="F66" s="85"/>
      <c r="G66" s="85"/>
      <c r="H66" s="85"/>
      <c r="I66" s="85"/>
    </row>
    <row r="67" spans="1:15" x14ac:dyDescent="0.35">
      <c r="F67" s="85"/>
      <c r="G67" s="85"/>
      <c r="H67" s="85"/>
      <c r="I67" s="85"/>
    </row>
    <row r="68" spans="1:15" x14ac:dyDescent="0.35">
      <c r="F68" s="85"/>
      <c r="G68" s="85"/>
      <c r="H68" s="85"/>
      <c r="I68" s="85"/>
    </row>
    <row r="69" spans="1:15" x14ac:dyDescent="0.35">
      <c r="F69" s="85"/>
      <c r="G69" s="85"/>
      <c r="H69" s="85"/>
      <c r="I69" s="85"/>
    </row>
    <row r="70" spans="1:15" x14ac:dyDescent="0.35">
      <c r="F70" s="85"/>
      <c r="G70" s="85"/>
      <c r="H70" s="85"/>
      <c r="I70" s="85"/>
    </row>
    <row r="71" spans="1:15" x14ac:dyDescent="0.35">
      <c r="F71" s="85"/>
      <c r="G71" s="85"/>
      <c r="H71" s="85"/>
      <c r="I71" s="85"/>
    </row>
    <row r="72" spans="1:15" x14ac:dyDescent="0.35">
      <c r="F72" s="85"/>
      <c r="G72" s="85"/>
      <c r="H72" s="85"/>
      <c r="I72" s="85"/>
    </row>
    <row r="73" spans="1:15" s="6" customFormat="1" x14ac:dyDescent="0.35">
      <c r="A73" s="84"/>
      <c r="B73" s="84"/>
      <c r="C73" s="84"/>
      <c r="D73" s="84"/>
      <c r="E73" s="84"/>
      <c r="F73" s="86"/>
      <c r="G73" s="86"/>
      <c r="H73" s="86"/>
      <c r="I73" s="86"/>
      <c r="J73" s="84"/>
      <c r="K73" s="84"/>
      <c r="L73" s="84"/>
      <c r="M73" s="84"/>
      <c r="N73" s="84"/>
      <c r="O73" s="84"/>
    </row>
    <row r="74" spans="1:15" x14ac:dyDescent="0.35">
      <c r="F74" s="85"/>
      <c r="G74" s="85"/>
      <c r="H74" s="85"/>
      <c r="I74" s="85"/>
    </row>
    <row r="75" spans="1:15" x14ac:dyDescent="0.35">
      <c r="F75" s="85"/>
      <c r="G75" s="85"/>
      <c r="H75" s="85"/>
      <c r="I75" s="85"/>
    </row>
    <row r="76" spans="1:15" x14ac:dyDescent="0.35">
      <c r="F76" s="85"/>
      <c r="G76" s="85"/>
      <c r="H76" s="85"/>
      <c r="I76" s="85"/>
    </row>
    <row r="77" spans="1:15" x14ac:dyDescent="0.35">
      <c r="F77" s="85"/>
      <c r="G77" s="85"/>
      <c r="H77" s="85"/>
      <c r="I77" s="85"/>
    </row>
    <row r="78" spans="1:15" x14ac:dyDescent="0.35">
      <c r="F78" s="85"/>
      <c r="G78" s="85"/>
      <c r="H78" s="85"/>
      <c r="I78" s="85"/>
    </row>
    <row r="79" spans="1:15" x14ac:dyDescent="0.35">
      <c r="F79" s="85"/>
      <c r="G79" s="85"/>
      <c r="H79" s="85"/>
      <c r="I79" s="85"/>
    </row>
    <row r="80" spans="1:15" x14ac:dyDescent="0.35">
      <c r="F80" s="85"/>
      <c r="G80" s="85"/>
      <c r="H80" s="85"/>
      <c r="I80" s="85"/>
    </row>
    <row r="81" spans="1:15" x14ac:dyDescent="0.35">
      <c r="F81" s="85"/>
      <c r="G81" s="85"/>
      <c r="H81" s="85"/>
      <c r="I81" s="85"/>
    </row>
    <row r="82" spans="1:15" x14ac:dyDescent="0.35">
      <c r="F82" s="85"/>
      <c r="G82" s="85"/>
      <c r="H82" s="85"/>
      <c r="I82" s="85"/>
    </row>
    <row r="83" spans="1:15" x14ac:dyDescent="0.35">
      <c r="F83" s="85"/>
      <c r="G83" s="85"/>
      <c r="H83" s="85"/>
      <c r="I83" s="85"/>
    </row>
    <row r="84" spans="1:15" x14ac:dyDescent="0.35">
      <c r="F84" s="85"/>
      <c r="G84" s="85"/>
      <c r="H84" s="85"/>
      <c r="I84" s="85"/>
    </row>
    <row r="85" spans="1:15" x14ac:dyDescent="0.35">
      <c r="F85" s="85"/>
      <c r="G85" s="85"/>
      <c r="H85" s="85"/>
      <c r="I85" s="85"/>
    </row>
    <row r="86" spans="1:15" x14ac:dyDescent="0.35">
      <c r="F86" s="85"/>
      <c r="G86" s="85"/>
      <c r="H86" s="85"/>
      <c r="I86" s="85"/>
    </row>
    <row r="87" spans="1:15" x14ac:dyDescent="0.35">
      <c r="F87" s="85"/>
      <c r="G87" s="85"/>
      <c r="H87" s="85"/>
      <c r="I87" s="85"/>
    </row>
    <row r="88" spans="1:15" x14ac:dyDescent="0.35">
      <c r="F88" s="85"/>
      <c r="G88" s="85"/>
      <c r="H88" s="85"/>
      <c r="I88" s="85"/>
    </row>
    <row r="89" spans="1:15" x14ac:dyDescent="0.35">
      <c r="F89" s="85"/>
      <c r="G89" s="85"/>
      <c r="H89" s="85"/>
      <c r="I89" s="85"/>
    </row>
    <row r="90" spans="1:15" s="6" customFormat="1" x14ac:dyDescent="0.35">
      <c r="A90" s="84"/>
      <c r="B90" s="84"/>
      <c r="C90" s="84"/>
      <c r="D90" s="84"/>
      <c r="E90" s="84"/>
      <c r="F90" s="86"/>
      <c r="G90" s="86"/>
      <c r="H90" s="86"/>
      <c r="I90" s="86"/>
      <c r="J90" s="84"/>
      <c r="K90" s="84"/>
      <c r="L90" s="84"/>
      <c r="M90" s="84"/>
      <c r="N90" s="84"/>
      <c r="O90" s="84"/>
    </row>
    <row r="91" spans="1:15" x14ac:dyDescent="0.35">
      <c r="F91" s="85"/>
      <c r="G91" s="85"/>
      <c r="H91" s="85"/>
      <c r="I91" s="85"/>
    </row>
    <row r="92" spans="1:15" x14ac:dyDescent="0.35">
      <c r="F92" s="85"/>
      <c r="G92" s="85"/>
      <c r="H92" s="85"/>
      <c r="I92" s="85"/>
    </row>
    <row r="93" spans="1:15" x14ac:dyDescent="0.35">
      <c r="F93" s="85"/>
      <c r="G93" s="85"/>
      <c r="H93" s="85"/>
      <c r="I93" s="85"/>
    </row>
    <row r="94" spans="1:15" x14ac:dyDescent="0.35">
      <c r="F94" s="85"/>
      <c r="G94" s="85"/>
      <c r="H94" s="85"/>
    </row>
    <row r="95" spans="1:15" x14ac:dyDescent="0.35">
      <c r="F95" s="85"/>
      <c r="G95" s="85"/>
      <c r="H95" s="85"/>
      <c r="I95" s="85"/>
    </row>
    <row r="96" spans="1:15" x14ac:dyDescent="0.35">
      <c r="F96" s="85"/>
      <c r="G96" s="85"/>
      <c r="H96" s="85"/>
      <c r="I96" s="85"/>
    </row>
    <row r="97" spans="1:15" x14ac:dyDescent="0.35">
      <c r="F97" s="85"/>
      <c r="G97" s="85"/>
      <c r="H97" s="85"/>
      <c r="I97" s="85"/>
    </row>
    <row r="98" spans="1:15" x14ac:dyDescent="0.35">
      <c r="F98" s="85"/>
      <c r="G98" s="85"/>
      <c r="H98" s="85"/>
      <c r="I98" s="85"/>
    </row>
    <row r="100" spans="1:15" x14ac:dyDescent="0.35">
      <c r="F100" s="85"/>
      <c r="G100" s="85"/>
      <c r="H100" s="85"/>
      <c r="I100" s="85"/>
    </row>
    <row r="101" spans="1:15" x14ac:dyDescent="0.35">
      <c r="F101" s="85"/>
      <c r="G101" s="85"/>
      <c r="H101" s="85"/>
      <c r="I101" s="85"/>
    </row>
    <row r="102" spans="1:15" x14ac:dyDescent="0.35">
      <c r="F102" s="85"/>
      <c r="G102" s="85"/>
      <c r="H102" s="85"/>
      <c r="I102" s="85"/>
    </row>
    <row r="103" spans="1:15" x14ac:dyDescent="0.35">
      <c r="F103" s="85"/>
      <c r="G103" s="85"/>
      <c r="H103" s="85"/>
      <c r="I103" s="85"/>
    </row>
    <row r="104" spans="1:15" s="6" customFormat="1" x14ac:dyDescent="0.35">
      <c r="A104" s="84"/>
      <c r="B104" s="84"/>
      <c r="C104" s="84"/>
      <c r="D104" s="84"/>
      <c r="E104" s="84"/>
      <c r="F104" s="86"/>
      <c r="G104" s="86"/>
      <c r="H104" s="86"/>
      <c r="I104" s="86"/>
      <c r="J104" s="84"/>
      <c r="K104" s="84"/>
      <c r="L104" s="84"/>
      <c r="M104" s="84"/>
      <c r="N104" s="84"/>
      <c r="O104" s="84"/>
    </row>
    <row r="106" spans="1:15" x14ac:dyDescent="0.35">
      <c r="F106" s="85"/>
      <c r="G106" s="85"/>
      <c r="H106" s="85"/>
      <c r="I106" s="85"/>
    </row>
    <row r="107" spans="1:15" s="6" customFormat="1" x14ac:dyDescent="0.35">
      <c r="A107" s="84"/>
      <c r="B107" s="84"/>
      <c r="C107" s="84"/>
      <c r="D107" s="84"/>
      <c r="E107" s="84"/>
      <c r="F107" s="86"/>
      <c r="G107" s="86"/>
      <c r="H107" s="86"/>
      <c r="I107" s="86"/>
      <c r="J107" s="84"/>
      <c r="K107" s="84"/>
      <c r="L107" s="84"/>
      <c r="M107" s="84"/>
      <c r="N107" s="84"/>
      <c r="O107" s="84"/>
    </row>
    <row r="108" spans="1:15" x14ac:dyDescent="0.35">
      <c r="F108" s="85"/>
      <c r="G108" s="85"/>
      <c r="H108" s="85"/>
      <c r="I108" s="85"/>
    </row>
    <row r="109" spans="1:15" x14ac:dyDescent="0.35">
      <c r="F109" s="85"/>
      <c r="G109" s="85"/>
      <c r="H109" s="85"/>
      <c r="I109" s="85"/>
    </row>
    <row r="110" spans="1:15" x14ac:dyDescent="0.35">
      <c r="F110" s="85"/>
      <c r="G110" s="85"/>
      <c r="H110" s="85"/>
      <c r="I110" s="85"/>
    </row>
    <row r="112" spans="1:15" x14ac:dyDescent="0.35">
      <c r="F112" s="85"/>
      <c r="G112" s="85"/>
      <c r="H112" s="85"/>
      <c r="I112" s="85"/>
    </row>
    <row r="113" spans="1:15" x14ac:dyDescent="0.35">
      <c r="F113" s="85"/>
      <c r="G113" s="85"/>
      <c r="H113" s="85"/>
      <c r="I113" s="85"/>
    </row>
    <row r="114" spans="1:15" x14ac:dyDescent="0.35">
      <c r="F114" s="85"/>
      <c r="G114" s="85"/>
      <c r="H114" s="85"/>
      <c r="I114" s="85"/>
    </row>
    <row r="115" spans="1:15" x14ac:dyDescent="0.35">
      <c r="F115" s="85"/>
      <c r="G115" s="85"/>
      <c r="H115" s="85"/>
      <c r="I115" s="85"/>
    </row>
    <row r="116" spans="1:15" x14ac:dyDescent="0.35">
      <c r="F116" s="85"/>
      <c r="G116" s="85"/>
      <c r="H116" s="85"/>
      <c r="I116" s="85"/>
    </row>
    <row r="118" spans="1:15" x14ac:dyDescent="0.35">
      <c r="F118" s="85"/>
      <c r="G118" s="85"/>
      <c r="H118" s="85"/>
      <c r="I118" s="85"/>
    </row>
    <row r="119" spans="1:15" x14ac:dyDescent="0.35">
      <c r="F119" s="85"/>
      <c r="G119" s="85"/>
      <c r="H119" s="85"/>
      <c r="I119" s="85"/>
    </row>
    <row r="120" spans="1:15" x14ac:dyDescent="0.35">
      <c r="F120" s="85"/>
      <c r="G120" s="85"/>
      <c r="H120" s="85"/>
      <c r="I120" s="85"/>
    </row>
    <row r="121" spans="1:15" x14ac:dyDescent="0.35">
      <c r="F121" s="85"/>
      <c r="G121" s="85"/>
      <c r="H121" s="85"/>
      <c r="I121" s="85"/>
    </row>
    <row r="122" spans="1:15" x14ac:dyDescent="0.35">
      <c r="F122" s="85"/>
      <c r="G122" s="85"/>
      <c r="H122" s="85"/>
      <c r="I122" s="85"/>
    </row>
    <row r="124" spans="1:15" s="6" customFormat="1" x14ac:dyDescent="0.35">
      <c r="A124" s="84"/>
      <c r="B124" s="84"/>
      <c r="C124" s="84"/>
      <c r="D124" s="84"/>
      <c r="E124" s="84"/>
      <c r="F124" s="86"/>
      <c r="G124" s="86"/>
      <c r="H124" s="86"/>
      <c r="I124" s="86"/>
      <c r="J124" s="84"/>
      <c r="K124" s="84"/>
      <c r="L124" s="84"/>
      <c r="M124" s="84"/>
      <c r="N124" s="84"/>
      <c r="O124" s="84"/>
    </row>
    <row r="125" spans="1:15" x14ac:dyDescent="0.35">
      <c r="F125" s="85"/>
      <c r="G125" s="85"/>
      <c r="H125" s="85"/>
      <c r="I125" s="85"/>
    </row>
    <row r="126" spans="1:15" x14ac:dyDescent="0.35">
      <c r="F126" s="85"/>
      <c r="G126" s="85"/>
      <c r="H126" s="85"/>
      <c r="I126" s="85"/>
    </row>
    <row r="127" spans="1:15" x14ac:dyDescent="0.35">
      <c r="F127" s="85"/>
      <c r="G127" s="85"/>
      <c r="H127" s="85"/>
      <c r="I127" s="85"/>
    </row>
    <row r="128" spans="1:15" x14ac:dyDescent="0.35">
      <c r="F128" s="85"/>
      <c r="G128" s="85"/>
      <c r="H128" s="85"/>
      <c r="I128" s="85"/>
    </row>
    <row r="130" spans="1:15" x14ac:dyDescent="0.35">
      <c r="F130" s="85"/>
      <c r="G130" s="85"/>
      <c r="H130" s="85"/>
      <c r="I130" s="85"/>
    </row>
    <row r="131" spans="1:15" x14ac:dyDescent="0.35">
      <c r="F131" s="85"/>
      <c r="G131" s="85"/>
      <c r="H131" s="85"/>
      <c r="I131" s="85"/>
    </row>
    <row r="132" spans="1:15" x14ac:dyDescent="0.35">
      <c r="F132" s="85"/>
      <c r="G132" s="85"/>
      <c r="H132" s="85"/>
      <c r="I132" s="85"/>
    </row>
    <row r="133" spans="1:15" x14ac:dyDescent="0.35">
      <c r="F133" s="85"/>
      <c r="G133" s="85"/>
      <c r="H133" s="85"/>
      <c r="I133" s="85"/>
    </row>
    <row r="134" spans="1:15" x14ac:dyDescent="0.35">
      <c r="F134" s="85"/>
      <c r="G134" s="85"/>
      <c r="H134" s="85"/>
      <c r="I134" s="85"/>
    </row>
    <row r="136" spans="1:15" x14ac:dyDescent="0.35">
      <c r="F136" s="85"/>
      <c r="G136" s="85"/>
      <c r="H136" s="85"/>
      <c r="I136" s="85"/>
    </row>
    <row r="137" spans="1:15" x14ac:dyDescent="0.35">
      <c r="F137" s="85"/>
      <c r="G137" s="85"/>
      <c r="H137" s="85"/>
      <c r="I137" s="85"/>
    </row>
    <row r="138" spans="1:15" x14ac:dyDescent="0.35">
      <c r="F138" s="85"/>
      <c r="G138" s="85"/>
      <c r="H138" s="85"/>
      <c r="I138" s="85"/>
    </row>
    <row r="139" spans="1:15" x14ac:dyDescent="0.35">
      <c r="F139" s="85"/>
      <c r="G139" s="85"/>
      <c r="H139" s="85"/>
      <c r="I139" s="85"/>
    </row>
    <row r="140" spans="1:15" x14ac:dyDescent="0.35">
      <c r="F140" s="85"/>
      <c r="G140" s="85"/>
      <c r="H140" s="85"/>
      <c r="I140" s="85"/>
    </row>
    <row r="141" spans="1:15" s="6" customFormat="1" x14ac:dyDescent="0.35">
      <c r="A141" s="84"/>
      <c r="B141" s="84"/>
      <c r="C141" s="84"/>
      <c r="D141" s="84"/>
      <c r="E141" s="84"/>
      <c r="F141" s="86"/>
      <c r="G141" s="86"/>
      <c r="H141" s="86"/>
      <c r="I141" s="86"/>
      <c r="J141" s="84"/>
      <c r="K141" s="84"/>
      <c r="L141" s="84"/>
      <c r="M141" s="84"/>
      <c r="N141" s="84"/>
      <c r="O141" s="84"/>
    </row>
    <row r="142" spans="1:15" x14ac:dyDescent="0.35">
      <c r="F142" s="85"/>
      <c r="G142" s="85"/>
      <c r="H142" s="85"/>
    </row>
    <row r="143" spans="1:15" x14ac:dyDescent="0.35">
      <c r="F143" s="85"/>
      <c r="G143" s="85"/>
      <c r="H143" s="85"/>
    </row>
    <row r="145" spans="1:15" x14ac:dyDescent="0.35">
      <c r="F145" s="85"/>
      <c r="G145" s="85"/>
      <c r="H145" s="85"/>
    </row>
    <row r="146" spans="1:15" x14ac:dyDescent="0.35">
      <c r="F146" s="85"/>
      <c r="G146" s="85"/>
      <c r="H146" s="85"/>
    </row>
    <row r="148" spans="1:15" x14ac:dyDescent="0.35">
      <c r="F148" s="85"/>
      <c r="G148" s="85"/>
      <c r="H148" s="85"/>
    </row>
    <row r="149" spans="1:15" x14ac:dyDescent="0.35">
      <c r="F149" s="85"/>
      <c r="G149" s="85"/>
      <c r="H149" s="85"/>
    </row>
    <row r="151" spans="1:15" x14ac:dyDescent="0.35">
      <c r="F151" s="85"/>
      <c r="G151" s="85"/>
      <c r="H151" s="85"/>
    </row>
    <row r="152" spans="1:15" x14ac:dyDescent="0.35">
      <c r="F152" s="85"/>
      <c r="G152" s="85"/>
      <c r="H152" s="85"/>
    </row>
    <row r="154" spans="1:15" x14ac:dyDescent="0.35">
      <c r="F154" s="85"/>
      <c r="G154" s="85"/>
      <c r="H154" s="85"/>
    </row>
    <row r="155" spans="1:15" x14ac:dyDescent="0.35">
      <c r="F155" s="85"/>
      <c r="G155" s="85"/>
      <c r="H155" s="85"/>
    </row>
    <row r="157" spans="1:15" x14ac:dyDescent="0.35">
      <c r="F157" s="85"/>
      <c r="G157" s="85"/>
      <c r="H157" s="85"/>
    </row>
    <row r="158" spans="1:15" s="6" customFormat="1" x14ac:dyDescent="0.35">
      <c r="A158" s="84"/>
      <c r="B158" s="84"/>
      <c r="C158" s="84"/>
      <c r="D158" s="84"/>
      <c r="E158" s="84"/>
      <c r="F158" s="86"/>
      <c r="G158" s="86"/>
      <c r="H158" s="86"/>
      <c r="I158" s="84"/>
      <c r="J158" s="84"/>
      <c r="K158" s="84"/>
      <c r="L158" s="84"/>
      <c r="M158" s="84"/>
      <c r="N158" s="84"/>
      <c r="O158" s="84"/>
    </row>
    <row r="160" spans="1:15" x14ac:dyDescent="0.35">
      <c r="F160" s="85"/>
      <c r="G160" s="85"/>
      <c r="H160" s="85"/>
    </row>
    <row r="161" spans="6:8" x14ac:dyDescent="0.35">
      <c r="F161" s="85"/>
      <c r="G161" s="85"/>
      <c r="H161" s="85"/>
    </row>
    <row r="163" spans="6:8" x14ac:dyDescent="0.35">
      <c r="F163" s="85"/>
      <c r="G163" s="85"/>
      <c r="H163" s="85"/>
    </row>
    <row r="164" spans="6:8" x14ac:dyDescent="0.35">
      <c r="F164" s="85"/>
      <c r="G164" s="85"/>
      <c r="H164" s="85"/>
    </row>
    <row r="166" spans="6:8" x14ac:dyDescent="0.35">
      <c r="F166" s="85"/>
      <c r="G166" s="85"/>
      <c r="H166" s="85"/>
    </row>
    <row r="167" spans="6:8" x14ac:dyDescent="0.35">
      <c r="F167" s="85"/>
      <c r="G167" s="85"/>
      <c r="H167" s="85"/>
    </row>
    <row r="169" spans="6:8" x14ac:dyDescent="0.35">
      <c r="F169" s="85"/>
      <c r="G169" s="85"/>
      <c r="H169" s="85"/>
    </row>
    <row r="170" spans="6:8" x14ac:dyDescent="0.35">
      <c r="F170" s="85"/>
      <c r="G170" s="85"/>
      <c r="H170" s="85"/>
    </row>
    <row r="172" spans="6:8" x14ac:dyDescent="0.35">
      <c r="F172" s="85"/>
      <c r="G172" s="85"/>
      <c r="H172" s="85"/>
    </row>
    <row r="173" spans="6:8" x14ac:dyDescent="0.35">
      <c r="F173" s="85"/>
      <c r="G173" s="85"/>
      <c r="H173" s="85"/>
    </row>
    <row r="175" spans="6:8" x14ac:dyDescent="0.35">
      <c r="F175" s="85"/>
      <c r="G175" s="85"/>
      <c r="H175" s="85"/>
    </row>
    <row r="176" spans="6:8" x14ac:dyDescent="0.35">
      <c r="F176" s="85"/>
      <c r="G176" s="85"/>
      <c r="H176" s="85"/>
    </row>
    <row r="178" spans="6:8" x14ac:dyDescent="0.35">
      <c r="F178" s="85"/>
      <c r="G178" s="85"/>
      <c r="H178" s="85"/>
    </row>
    <row r="179" spans="6:8" x14ac:dyDescent="0.35">
      <c r="F179" s="85"/>
      <c r="G179" s="85"/>
      <c r="H179" s="85"/>
    </row>
    <row r="181" spans="6:8" x14ac:dyDescent="0.35">
      <c r="F181" s="85"/>
      <c r="G181" s="85"/>
      <c r="H181" s="85"/>
    </row>
    <row r="182" spans="6:8" x14ac:dyDescent="0.35">
      <c r="F182" s="85"/>
      <c r="G182" s="85"/>
      <c r="H182" s="85"/>
    </row>
    <row r="184" spans="6:8" x14ac:dyDescent="0.35">
      <c r="F184" s="85"/>
      <c r="G184" s="85"/>
      <c r="H184" s="85"/>
    </row>
    <row r="185" spans="6:8" x14ac:dyDescent="0.35">
      <c r="F185" s="85"/>
      <c r="G185" s="85"/>
      <c r="H185" s="85"/>
    </row>
    <row r="187" spans="6:8" x14ac:dyDescent="0.35">
      <c r="F187" s="85"/>
      <c r="G187" s="85"/>
      <c r="H187" s="85"/>
    </row>
    <row r="188" spans="6:8" x14ac:dyDescent="0.35">
      <c r="F188" s="85"/>
      <c r="G188" s="85"/>
      <c r="H188" s="85"/>
    </row>
    <row r="190" spans="6:8" x14ac:dyDescent="0.35">
      <c r="F190" s="85"/>
      <c r="G190" s="85"/>
      <c r="H190" s="85"/>
    </row>
    <row r="191" spans="6:8" x14ac:dyDescent="0.35">
      <c r="F191" s="85"/>
      <c r="G191" s="85"/>
      <c r="H191" s="85"/>
    </row>
    <row r="193" spans="6:8" x14ac:dyDescent="0.35">
      <c r="F193" s="85"/>
      <c r="G193" s="85"/>
      <c r="H193" s="85"/>
    </row>
    <row r="194" spans="6:8" x14ac:dyDescent="0.35">
      <c r="F194" s="85"/>
      <c r="G194" s="85"/>
      <c r="H194" s="85"/>
    </row>
    <row r="196" spans="6:8" x14ac:dyDescent="0.35">
      <c r="F196" s="85"/>
      <c r="G196" s="85"/>
      <c r="H196" s="85"/>
    </row>
    <row r="197" spans="6:8" x14ac:dyDescent="0.35">
      <c r="F197" s="85"/>
      <c r="G197" s="85"/>
      <c r="H197" s="85"/>
    </row>
    <row r="199" spans="6:8" x14ac:dyDescent="0.35">
      <c r="F199" s="85"/>
      <c r="G199" s="85"/>
      <c r="H199" s="85"/>
    </row>
    <row r="200" spans="6:8" x14ac:dyDescent="0.35">
      <c r="F200" s="85"/>
      <c r="G200" s="85"/>
      <c r="H200" s="85"/>
    </row>
    <row r="202" spans="6:8" x14ac:dyDescent="0.35">
      <c r="F202" s="85"/>
      <c r="G202" s="85"/>
      <c r="H202" s="85"/>
    </row>
    <row r="203" spans="6:8" x14ac:dyDescent="0.35">
      <c r="F203" s="85"/>
      <c r="G203" s="85"/>
      <c r="H203" s="85"/>
    </row>
    <row r="205" spans="6:8" x14ac:dyDescent="0.35">
      <c r="F205" s="85"/>
      <c r="G205" s="85"/>
      <c r="H205" s="85"/>
    </row>
    <row r="206" spans="6:8" x14ac:dyDescent="0.35">
      <c r="F206" s="85"/>
      <c r="G206" s="85"/>
      <c r="H206" s="85"/>
    </row>
    <row r="208" spans="6:8" x14ac:dyDescent="0.35">
      <c r="F208" s="85"/>
      <c r="G208" s="85"/>
      <c r="H208" s="85"/>
    </row>
    <row r="209" spans="6:8" x14ac:dyDescent="0.35">
      <c r="F209" s="85"/>
      <c r="G209" s="85"/>
      <c r="H209" s="85"/>
    </row>
    <row r="211" spans="6:8" x14ac:dyDescent="0.35">
      <c r="F211" s="85"/>
      <c r="G211" s="85"/>
      <c r="H211" s="85"/>
    </row>
    <row r="212" spans="6:8" x14ac:dyDescent="0.35">
      <c r="F212" s="85"/>
      <c r="G212" s="85"/>
      <c r="H212" s="85"/>
    </row>
    <row r="214" spans="6:8" x14ac:dyDescent="0.35">
      <c r="F214" s="85"/>
      <c r="G214" s="85"/>
      <c r="H214" s="85"/>
    </row>
    <row r="215" spans="6:8" x14ac:dyDescent="0.35">
      <c r="F215" s="85"/>
      <c r="G215" s="85"/>
      <c r="H215" s="85"/>
    </row>
    <row r="217" spans="6:8" x14ac:dyDescent="0.35">
      <c r="F217" s="85"/>
      <c r="G217" s="85"/>
      <c r="H217" s="85"/>
    </row>
    <row r="218" spans="6:8" x14ac:dyDescent="0.35">
      <c r="F218" s="85"/>
      <c r="G218" s="85"/>
      <c r="H218" s="85"/>
    </row>
    <row r="220" spans="6:8" x14ac:dyDescent="0.35">
      <c r="F220" s="85"/>
      <c r="G220" s="85"/>
      <c r="H220" s="85"/>
    </row>
    <row r="221" spans="6:8" x14ac:dyDescent="0.35">
      <c r="F221" s="85"/>
      <c r="G221" s="85"/>
      <c r="H221" s="85"/>
    </row>
    <row r="223" spans="6:8" x14ac:dyDescent="0.35">
      <c r="F223" s="85"/>
      <c r="G223" s="85"/>
      <c r="H223" s="85"/>
    </row>
    <row r="224" spans="6:8" x14ac:dyDescent="0.35">
      <c r="F224" s="85"/>
      <c r="G224" s="85"/>
      <c r="H224" s="85"/>
    </row>
    <row r="226" spans="6:8" x14ac:dyDescent="0.35">
      <c r="F226" s="85"/>
      <c r="G226" s="85"/>
      <c r="H226" s="85"/>
    </row>
    <row r="227" spans="6:8" x14ac:dyDescent="0.35">
      <c r="F227" s="85"/>
      <c r="G227" s="85"/>
      <c r="H227" s="85"/>
    </row>
    <row r="229" spans="6:8" x14ac:dyDescent="0.35">
      <c r="F229" s="85"/>
      <c r="G229" s="85"/>
      <c r="H229" s="85"/>
    </row>
    <row r="230" spans="6:8" x14ac:dyDescent="0.35">
      <c r="F230" s="85"/>
      <c r="G230" s="85"/>
      <c r="H230" s="85"/>
    </row>
    <row r="232" spans="6:8" x14ac:dyDescent="0.35">
      <c r="F232" s="85"/>
      <c r="G232" s="85"/>
      <c r="H232" s="85"/>
    </row>
    <row r="233" spans="6:8" x14ac:dyDescent="0.35">
      <c r="F233" s="85"/>
      <c r="G233" s="85"/>
      <c r="H233" s="85"/>
    </row>
    <row r="235" spans="6:8" x14ac:dyDescent="0.35">
      <c r="F235" s="85"/>
      <c r="G235" s="85"/>
      <c r="H235" s="85"/>
    </row>
    <row r="236" spans="6:8" x14ac:dyDescent="0.35">
      <c r="F236" s="85"/>
      <c r="G236" s="85"/>
      <c r="H236" s="85"/>
    </row>
    <row r="238" spans="6:8" x14ac:dyDescent="0.35">
      <c r="F238" s="85"/>
      <c r="G238" s="85"/>
      <c r="H238" s="85"/>
    </row>
    <row r="239" spans="6:8" x14ac:dyDescent="0.35">
      <c r="F239" s="85"/>
      <c r="G239" s="85"/>
      <c r="H239" s="85"/>
    </row>
    <row r="241" spans="6:8" x14ac:dyDescent="0.35">
      <c r="F241" s="85"/>
      <c r="G241" s="85"/>
      <c r="H241" s="85"/>
    </row>
    <row r="242" spans="6:8" x14ac:dyDescent="0.35">
      <c r="F242" s="85"/>
      <c r="G242" s="85"/>
      <c r="H242" s="85"/>
    </row>
    <row r="244" spans="6:8" x14ac:dyDescent="0.35">
      <c r="F244" s="85"/>
      <c r="G244" s="85"/>
      <c r="H244" s="85"/>
    </row>
    <row r="245" spans="6:8" x14ac:dyDescent="0.35">
      <c r="F245" s="85"/>
      <c r="G245" s="85"/>
      <c r="H245" s="85"/>
    </row>
    <row r="247" spans="6:8" x14ac:dyDescent="0.35">
      <c r="F247" s="85"/>
      <c r="G247" s="85"/>
      <c r="H247" s="85"/>
    </row>
    <row r="248" spans="6:8" x14ac:dyDescent="0.35">
      <c r="F248" s="85"/>
      <c r="G248" s="85"/>
      <c r="H248" s="85"/>
    </row>
    <row r="250" spans="6:8" x14ac:dyDescent="0.35">
      <c r="F250" s="85"/>
      <c r="G250" s="85"/>
      <c r="H250" s="85"/>
    </row>
    <row r="251" spans="6:8" x14ac:dyDescent="0.35">
      <c r="F251" s="85"/>
      <c r="G251" s="85"/>
      <c r="H251" s="85"/>
    </row>
    <row r="253" spans="6:8" x14ac:dyDescent="0.35">
      <c r="F253" s="85"/>
      <c r="G253" s="85"/>
      <c r="H253" s="85"/>
    </row>
    <row r="254" spans="6:8" x14ac:dyDescent="0.35">
      <c r="F254" s="85"/>
      <c r="G254" s="85"/>
      <c r="H254" s="85"/>
    </row>
    <row r="256" spans="6:8" x14ac:dyDescent="0.35">
      <c r="F256" s="85"/>
      <c r="G256" s="85"/>
      <c r="H256" s="85"/>
    </row>
    <row r="257" spans="6:8" x14ac:dyDescent="0.35">
      <c r="F257" s="85"/>
      <c r="G257" s="85"/>
      <c r="H257" s="85"/>
    </row>
    <row r="259" spans="6:8" x14ac:dyDescent="0.35">
      <c r="F259" s="85"/>
      <c r="G259" s="85"/>
      <c r="H259" s="85"/>
    </row>
    <row r="260" spans="6:8" x14ac:dyDescent="0.35">
      <c r="F260" s="85"/>
      <c r="G260" s="85"/>
      <c r="H260" s="85"/>
    </row>
    <row r="262" spans="6:8" x14ac:dyDescent="0.35">
      <c r="F262" s="85"/>
      <c r="G262" s="85"/>
      <c r="H262" s="85"/>
    </row>
    <row r="263" spans="6:8" x14ac:dyDescent="0.35">
      <c r="F263" s="85"/>
      <c r="G263" s="85"/>
      <c r="H263" s="85"/>
    </row>
    <row r="265" spans="6:8" x14ac:dyDescent="0.35">
      <c r="F265" s="85"/>
      <c r="G265" s="85"/>
      <c r="H265" s="85"/>
    </row>
    <row r="266" spans="6:8" x14ac:dyDescent="0.35">
      <c r="F266" s="85"/>
      <c r="G266" s="85"/>
      <c r="H266" s="85"/>
    </row>
    <row r="268" spans="6:8" x14ac:dyDescent="0.35">
      <c r="F268" s="85"/>
      <c r="G268" s="85"/>
      <c r="H268" s="85"/>
    </row>
    <row r="269" spans="6:8" x14ac:dyDescent="0.35">
      <c r="F269" s="85"/>
      <c r="G269" s="85"/>
      <c r="H269" s="85"/>
    </row>
    <row r="271" spans="6:8" x14ac:dyDescent="0.35">
      <c r="F271" s="85"/>
      <c r="G271" s="85"/>
      <c r="H271" s="85"/>
    </row>
    <row r="272" spans="6:8" x14ac:dyDescent="0.35">
      <c r="F272" s="85"/>
      <c r="G272" s="85"/>
      <c r="H272" s="85"/>
    </row>
    <row r="274" spans="6:8" x14ac:dyDescent="0.35">
      <c r="F274" s="85"/>
      <c r="G274" s="85"/>
      <c r="H274" s="85"/>
    </row>
    <row r="275" spans="6:8" x14ac:dyDescent="0.35">
      <c r="F275" s="85"/>
      <c r="G275" s="85"/>
      <c r="H275" s="85"/>
    </row>
    <row r="277" spans="6:8" x14ac:dyDescent="0.35">
      <c r="F277" s="85"/>
      <c r="G277" s="85"/>
      <c r="H277" s="85"/>
    </row>
    <row r="278" spans="6:8" x14ac:dyDescent="0.35">
      <c r="F278" s="85"/>
      <c r="G278" s="85"/>
      <c r="H278" s="85"/>
    </row>
    <row r="280" spans="6:8" x14ac:dyDescent="0.35">
      <c r="F280" s="85"/>
      <c r="G280" s="85"/>
      <c r="H280" s="85"/>
    </row>
    <row r="281" spans="6:8" x14ac:dyDescent="0.35">
      <c r="F281" s="85"/>
      <c r="G281" s="85"/>
      <c r="H281" s="85"/>
    </row>
    <row r="283" spans="6:8" x14ac:dyDescent="0.35">
      <c r="F283" s="85"/>
      <c r="G283" s="85"/>
      <c r="H283" s="85"/>
    </row>
    <row r="284" spans="6:8" x14ac:dyDescent="0.35">
      <c r="F284" s="85"/>
      <c r="G284" s="85"/>
      <c r="H284" s="85"/>
    </row>
    <row r="286" spans="6:8" x14ac:dyDescent="0.35">
      <c r="F286" s="85"/>
      <c r="G286" s="85"/>
      <c r="H286" s="85"/>
    </row>
    <row r="287" spans="6:8" x14ac:dyDescent="0.35">
      <c r="F287" s="85"/>
      <c r="G287" s="85"/>
      <c r="H287" s="85"/>
    </row>
    <row r="289" spans="6:8" x14ac:dyDescent="0.35">
      <c r="F289" s="85"/>
      <c r="G289" s="85"/>
      <c r="H289" s="85"/>
    </row>
    <row r="290" spans="6:8" x14ac:dyDescent="0.35">
      <c r="F290" s="85"/>
      <c r="G290" s="85"/>
      <c r="H290" s="85"/>
    </row>
    <row r="292" spans="6:8" x14ac:dyDescent="0.35">
      <c r="F292" s="85"/>
      <c r="G292" s="85"/>
      <c r="H292" s="85"/>
    </row>
    <row r="293" spans="6:8" x14ac:dyDescent="0.35">
      <c r="F293" s="85"/>
      <c r="G293" s="85"/>
      <c r="H293" s="85"/>
    </row>
    <row r="295" spans="6:8" x14ac:dyDescent="0.35">
      <c r="F295" s="85"/>
      <c r="G295" s="85"/>
      <c r="H295" s="85"/>
    </row>
    <row r="296" spans="6:8" x14ac:dyDescent="0.35">
      <c r="F296" s="85"/>
      <c r="G296" s="85"/>
      <c r="H296" s="85"/>
    </row>
    <row r="298" spans="6:8" x14ac:dyDescent="0.35">
      <c r="F298" s="85"/>
      <c r="G298" s="85"/>
      <c r="H298" s="85"/>
    </row>
    <row r="299" spans="6:8" x14ac:dyDescent="0.35">
      <c r="F299" s="85"/>
      <c r="G299" s="85"/>
      <c r="H299" s="85"/>
    </row>
    <row r="301" spans="6:8" x14ac:dyDescent="0.35">
      <c r="F301" s="85"/>
      <c r="G301" s="85"/>
      <c r="H301" s="85"/>
    </row>
    <row r="302" spans="6:8" x14ac:dyDescent="0.35">
      <c r="F302" s="85"/>
      <c r="G302" s="85"/>
      <c r="H302" s="85"/>
    </row>
    <row r="304" spans="6:8" x14ac:dyDescent="0.35">
      <c r="F304" s="85"/>
      <c r="G304" s="85"/>
      <c r="H304" s="85"/>
    </row>
    <row r="305" spans="6:8" x14ac:dyDescent="0.35">
      <c r="F305" s="85"/>
      <c r="G305" s="85"/>
      <c r="H305" s="85"/>
    </row>
    <row r="307" spans="6:8" x14ac:dyDescent="0.35">
      <c r="F307" s="85"/>
      <c r="G307" s="85"/>
      <c r="H307" s="85"/>
    </row>
    <row r="308" spans="6:8" x14ac:dyDescent="0.35">
      <c r="F308" s="85"/>
      <c r="G308" s="85"/>
      <c r="H308" s="85"/>
    </row>
    <row r="310" spans="6:8" x14ac:dyDescent="0.35">
      <c r="F310" s="85"/>
      <c r="G310" s="85"/>
      <c r="H310" s="85"/>
    </row>
    <row r="311" spans="6:8" x14ac:dyDescent="0.35">
      <c r="F311" s="85"/>
      <c r="G311" s="85"/>
      <c r="H311" s="85"/>
    </row>
    <row r="313" spans="6:8" x14ac:dyDescent="0.35">
      <c r="F313" s="85"/>
      <c r="G313" s="85"/>
      <c r="H313" s="85"/>
    </row>
    <row r="314" spans="6:8" x14ac:dyDescent="0.35">
      <c r="F314" s="85"/>
      <c r="G314" s="85"/>
      <c r="H314" s="85"/>
    </row>
    <row r="316" spans="6:8" x14ac:dyDescent="0.35">
      <c r="F316" s="85"/>
      <c r="G316" s="85"/>
      <c r="H316" s="85"/>
    </row>
    <row r="317" spans="6:8" x14ac:dyDescent="0.35">
      <c r="F317" s="85"/>
      <c r="G317" s="85"/>
      <c r="H317" s="85"/>
    </row>
    <row r="319" spans="6:8" x14ac:dyDescent="0.35">
      <c r="F319" s="85"/>
      <c r="G319" s="85"/>
      <c r="H319" s="85"/>
    </row>
    <row r="320" spans="6:8" x14ac:dyDescent="0.35">
      <c r="F320" s="85"/>
      <c r="G320" s="85"/>
      <c r="H320" s="85"/>
    </row>
    <row r="322" spans="6:8" x14ac:dyDescent="0.35">
      <c r="F322" s="85"/>
      <c r="G322" s="85"/>
      <c r="H322" s="85"/>
    </row>
    <row r="323" spans="6:8" x14ac:dyDescent="0.35">
      <c r="F323" s="85"/>
      <c r="G323" s="85"/>
      <c r="H323" s="85"/>
    </row>
    <row r="325" spans="6:8" x14ac:dyDescent="0.35">
      <c r="F325" s="85"/>
      <c r="G325" s="85"/>
      <c r="H325" s="85"/>
    </row>
    <row r="326" spans="6:8" x14ac:dyDescent="0.35">
      <c r="F326" s="85"/>
      <c r="G326" s="85"/>
      <c r="H326" s="85"/>
    </row>
    <row r="328" spans="6:8" x14ac:dyDescent="0.35">
      <c r="F328" s="85"/>
      <c r="G328" s="85"/>
      <c r="H328" s="85"/>
    </row>
    <row r="329" spans="6:8" x14ac:dyDescent="0.35">
      <c r="F329" s="85"/>
      <c r="G329" s="85"/>
      <c r="H329" s="85"/>
    </row>
    <row r="331" spans="6:8" x14ac:dyDescent="0.35">
      <c r="F331" s="85"/>
      <c r="G331" s="85"/>
      <c r="H331" s="85"/>
    </row>
    <row r="332" spans="6:8" x14ac:dyDescent="0.35">
      <c r="F332" s="85"/>
      <c r="G332" s="85"/>
      <c r="H332" s="85"/>
    </row>
    <row r="334" spans="6:8" x14ac:dyDescent="0.35">
      <c r="F334" s="85"/>
      <c r="G334" s="85"/>
      <c r="H334" s="85"/>
    </row>
    <row r="335" spans="6:8" x14ac:dyDescent="0.35">
      <c r="F335" s="85"/>
      <c r="G335" s="85"/>
      <c r="H335" s="85"/>
    </row>
    <row r="337" spans="6:8" x14ac:dyDescent="0.35">
      <c r="F337" s="85"/>
      <c r="G337" s="85"/>
      <c r="H337" s="85"/>
    </row>
    <row r="338" spans="6:8" x14ac:dyDescent="0.35">
      <c r="F338" s="85"/>
      <c r="G338" s="85"/>
      <c r="H338" s="85"/>
    </row>
    <row r="340" spans="6:8" x14ac:dyDescent="0.35">
      <c r="F340" s="85"/>
      <c r="G340" s="85"/>
      <c r="H340" s="85"/>
    </row>
    <row r="341" spans="6:8" x14ac:dyDescent="0.35">
      <c r="F341" s="85"/>
      <c r="G341" s="85"/>
      <c r="H341" s="85"/>
    </row>
    <row r="343" spans="6:8" x14ac:dyDescent="0.35">
      <c r="F343" s="85"/>
      <c r="G343" s="85"/>
      <c r="H343" s="85"/>
    </row>
    <row r="344" spans="6:8" x14ac:dyDescent="0.35">
      <c r="F344" s="85"/>
      <c r="G344" s="85"/>
      <c r="H344" s="85"/>
    </row>
    <row r="346" spans="6:8" x14ac:dyDescent="0.35">
      <c r="F346" s="85"/>
      <c r="G346" s="85"/>
      <c r="H346" s="85"/>
    </row>
    <row r="347" spans="6:8" x14ac:dyDescent="0.35">
      <c r="F347" s="85"/>
      <c r="G347" s="85"/>
      <c r="H347" s="85"/>
    </row>
    <row r="349" spans="6:8" x14ac:dyDescent="0.35">
      <c r="F349" s="85"/>
      <c r="G349" s="85"/>
      <c r="H349" s="85"/>
    </row>
    <row r="350" spans="6:8" x14ac:dyDescent="0.35">
      <c r="F350" s="85"/>
      <c r="G350" s="85"/>
      <c r="H350" s="85"/>
    </row>
    <row r="352" spans="6:8" x14ac:dyDescent="0.35">
      <c r="F352" s="85"/>
      <c r="G352" s="85"/>
      <c r="H352" s="85"/>
    </row>
    <row r="353" spans="6:8" x14ac:dyDescent="0.35">
      <c r="F353" s="85"/>
      <c r="G353" s="85"/>
      <c r="H353" s="85"/>
    </row>
    <row r="355" spans="6:8" x14ac:dyDescent="0.35">
      <c r="F355" s="85"/>
      <c r="G355" s="85"/>
      <c r="H355" s="85"/>
    </row>
    <row r="356" spans="6:8" x14ac:dyDescent="0.35">
      <c r="F356" s="85"/>
      <c r="G356" s="85"/>
      <c r="H356" s="85"/>
    </row>
    <row r="358" spans="6:8" x14ac:dyDescent="0.35">
      <c r="F358" s="85"/>
      <c r="G358" s="85"/>
      <c r="H358" s="85"/>
    </row>
    <row r="359" spans="6:8" x14ac:dyDescent="0.35">
      <c r="F359" s="85"/>
      <c r="G359" s="85"/>
      <c r="H359" s="85"/>
    </row>
    <row r="361" spans="6:8" x14ac:dyDescent="0.35">
      <c r="F361" s="85"/>
      <c r="G361" s="85"/>
      <c r="H361" s="85"/>
    </row>
    <row r="362" spans="6:8" x14ac:dyDescent="0.35">
      <c r="F362" s="85"/>
      <c r="G362" s="85"/>
      <c r="H362" s="85"/>
    </row>
    <row r="364" spans="6:8" x14ac:dyDescent="0.35">
      <c r="F364" s="85"/>
      <c r="G364" s="85"/>
      <c r="H364" s="85"/>
    </row>
    <row r="365" spans="6:8" x14ac:dyDescent="0.35">
      <c r="F365" s="85"/>
      <c r="G365" s="85"/>
      <c r="H365" s="85"/>
    </row>
    <row r="367" spans="6:8" x14ac:dyDescent="0.35">
      <c r="F367" s="85"/>
      <c r="G367" s="85"/>
      <c r="H367" s="85"/>
    </row>
    <row r="368" spans="6:8" x14ac:dyDescent="0.35">
      <c r="F368" s="85"/>
      <c r="G368" s="85"/>
      <c r="H368" s="85"/>
    </row>
    <row r="370" spans="6:8" x14ac:dyDescent="0.35">
      <c r="F370" s="85"/>
      <c r="G370" s="85"/>
      <c r="H370" s="85"/>
    </row>
    <row r="371" spans="6:8" x14ac:dyDescent="0.35">
      <c r="F371" s="85"/>
      <c r="G371" s="85"/>
      <c r="H371" s="85"/>
    </row>
    <row r="373" spans="6:8" x14ac:dyDescent="0.35">
      <c r="F373" s="85"/>
      <c r="G373" s="85"/>
      <c r="H373" s="85"/>
    </row>
    <row r="374" spans="6:8" x14ac:dyDescent="0.35">
      <c r="F374" s="85"/>
      <c r="G374" s="85"/>
      <c r="H374" s="85"/>
    </row>
    <row r="376" spans="6:8" x14ac:dyDescent="0.35">
      <c r="F376" s="85"/>
      <c r="G376" s="85"/>
      <c r="H376" s="85"/>
    </row>
    <row r="377" spans="6:8" x14ac:dyDescent="0.35">
      <c r="F377" s="85"/>
      <c r="G377" s="85"/>
      <c r="H377" s="85"/>
    </row>
    <row r="379" spans="6:8" x14ac:dyDescent="0.35">
      <c r="F379" s="85"/>
      <c r="G379" s="85"/>
      <c r="H379" s="85"/>
    </row>
    <row r="380" spans="6:8" x14ac:dyDescent="0.35">
      <c r="F380" s="85"/>
      <c r="G380" s="85"/>
      <c r="H380" s="85"/>
    </row>
    <row r="382" spans="6:8" x14ac:dyDescent="0.35">
      <c r="F382" s="85"/>
      <c r="G382" s="85"/>
      <c r="H382" s="85"/>
    </row>
    <row r="383" spans="6:8" x14ac:dyDescent="0.35">
      <c r="F383" s="85"/>
      <c r="G383" s="85"/>
      <c r="H383" s="85"/>
    </row>
    <row r="385" spans="6:8" x14ac:dyDescent="0.35">
      <c r="F385" s="85"/>
      <c r="G385" s="85"/>
      <c r="H385" s="85"/>
    </row>
    <row r="386" spans="6:8" x14ac:dyDescent="0.35">
      <c r="F386" s="85"/>
      <c r="G386" s="85"/>
      <c r="H386" s="85"/>
    </row>
    <row r="388" spans="6:8" x14ac:dyDescent="0.35">
      <c r="F388" s="85"/>
      <c r="G388" s="85"/>
      <c r="H388" s="85"/>
    </row>
    <row r="389" spans="6:8" x14ac:dyDescent="0.35">
      <c r="F389" s="85"/>
      <c r="G389" s="85"/>
      <c r="H389" s="85"/>
    </row>
    <row r="391" spans="6:8" x14ac:dyDescent="0.35">
      <c r="F391" s="85"/>
      <c r="G391" s="85"/>
      <c r="H391" s="85"/>
    </row>
    <row r="392" spans="6:8" x14ac:dyDescent="0.35">
      <c r="F392" s="85"/>
      <c r="G392" s="85"/>
      <c r="H392" s="85"/>
    </row>
    <row r="394" spans="6:8" x14ac:dyDescent="0.35">
      <c r="F394" s="85"/>
      <c r="G394" s="85"/>
      <c r="H394" s="85"/>
    </row>
    <row r="395" spans="6:8" x14ac:dyDescent="0.35">
      <c r="F395" s="85"/>
      <c r="G395" s="85"/>
      <c r="H395" s="85"/>
    </row>
    <row r="397" spans="6:8" x14ac:dyDescent="0.35">
      <c r="F397" s="85"/>
      <c r="G397" s="85"/>
      <c r="H397" s="85"/>
    </row>
    <row r="398" spans="6:8" x14ac:dyDescent="0.35">
      <c r="F398" s="85"/>
      <c r="G398" s="85"/>
      <c r="H398" s="85"/>
    </row>
    <row r="400" spans="6:8" x14ac:dyDescent="0.35">
      <c r="F400" s="85"/>
      <c r="G400" s="85"/>
      <c r="H400" s="85"/>
    </row>
    <row r="401" spans="6:8" x14ac:dyDescent="0.35">
      <c r="F401" s="85"/>
      <c r="G401" s="85"/>
      <c r="H401" s="85"/>
    </row>
    <row r="403" spans="6:8" x14ac:dyDescent="0.35">
      <c r="F403" s="85"/>
      <c r="G403" s="85"/>
      <c r="H403" s="85"/>
    </row>
    <row r="404" spans="6:8" x14ac:dyDescent="0.35">
      <c r="F404" s="85"/>
      <c r="G404" s="85"/>
      <c r="H404" s="85"/>
    </row>
    <row r="406" spans="6:8" x14ac:dyDescent="0.35">
      <c r="F406" s="85"/>
      <c r="G406" s="85"/>
      <c r="H406" s="85"/>
    </row>
    <row r="407" spans="6:8" x14ac:dyDescent="0.35">
      <c r="F407" s="85"/>
      <c r="G407" s="85"/>
      <c r="H407" s="85"/>
    </row>
    <row r="409" spans="6:8" x14ac:dyDescent="0.35">
      <c r="F409" s="85"/>
      <c r="G409" s="85"/>
      <c r="H409" s="85"/>
    </row>
    <row r="410" spans="6:8" x14ac:dyDescent="0.35">
      <c r="F410" s="85"/>
      <c r="G410" s="85"/>
      <c r="H410" s="85"/>
    </row>
    <row r="412" spans="6:8" x14ac:dyDescent="0.35">
      <c r="F412" s="85"/>
      <c r="G412" s="85"/>
      <c r="H412" s="85"/>
    </row>
    <row r="413" spans="6:8" x14ac:dyDescent="0.35">
      <c r="F413" s="85"/>
      <c r="G413" s="85"/>
      <c r="H413" s="85"/>
    </row>
    <row r="415" spans="6:8" x14ac:dyDescent="0.35">
      <c r="F415" s="85"/>
      <c r="G415" s="85"/>
      <c r="H415" s="85"/>
    </row>
    <row r="416" spans="6:8" x14ac:dyDescent="0.35">
      <c r="F416" s="85"/>
      <c r="G416" s="85"/>
      <c r="H416" s="85"/>
    </row>
    <row r="418" spans="6:8" x14ac:dyDescent="0.35">
      <c r="F418" s="85"/>
      <c r="G418" s="85"/>
      <c r="H418" s="85"/>
    </row>
    <row r="419" spans="6:8" x14ac:dyDescent="0.35">
      <c r="F419" s="85"/>
      <c r="G419" s="85"/>
      <c r="H419" s="85"/>
    </row>
    <row r="421" spans="6:8" x14ac:dyDescent="0.35">
      <c r="F421" s="85"/>
      <c r="G421" s="85"/>
      <c r="H421" s="85"/>
    </row>
    <row r="422" spans="6:8" x14ac:dyDescent="0.35">
      <c r="F422" s="85"/>
      <c r="G422" s="85"/>
      <c r="H422" s="85"/>
    </row>
    <row r="424" spans="6:8" x14ac:dyDescent="0.35">
      <c r="F424" s="85"/>
      <c r="G424" s="85"/>
      <c r="H424" s="85"/>
    </row>
    <row r="425" spans="6:8" x14ac:dyDescent="0.35">
      <c r="F425" s="85"/>
      <c r="G425" s="85"/>
      <c r="H425" s="85"/>
    </row>
    <row r="427" spans="6:8" x14ac:dyDescent="0.35">
      <c r="F427" s="85"/>
      <c r="G427" s="85"/>
      <c r="H427" s="85"/>
    </row>
    <row r="428" spans="6:8" x14ac:dyDescent="0.35">
      <c r="F428" s="85"/>
      <c r="G428" s="85"/>
      <c r="H428" s="85"/>
    </row>
    <row r="430" spans="6:8" x14ac:dyDescent="0.35">
      <c r="F430" s="85"/>
      <c r="G430" s="85"/>
      <c r="H430" s="85"/>
    </row>
    <row r="431" spans="6:8" x14ac:dyDescent="0.35">
      <c r="F431" s="85"/>
      <c r="G431" s="85"/>
      <c r="H431" s="85"/>
    </row>
    <row r="433" spans="6:8" x14ac:dyDescent="0.35">
      <c r="F433" s="85"/>
      <c r="G433" s="85"/>
      <c r="H433" s="85"/>
    </row>
    <row r="434" spans="6:8" x14ac:dyDescent="0.35">
      <c r="F434" s="85"/>
      <c r="G434" s="85"/>
      <c r="H434" s="85"/>
    </row>
    <row r="436" spans="6:8" x14ac:dyDescent="0.35">
      <c r="F436" s="85"/>
      <c r="G436" s="85"/>
      <c r="H436" s="85"/>
    </row>
    <row r="437" spans="6:8" x14ac:dyDescent="0.35">
      <c r="F437" s="85"/>
      <c r="G437" s="85"/>
      <c r="H437" s="85"/>
    </row>
    <row r="439" spans="6:8" x14ac:dyDescent="0.35">
      <c r="F439" s="85"/>
      <c r="G439" s="85"/>
      <c r="H439" s="85"/>
    </row>
    <row r="440" spans="6:8" x14ac:dyDescent="0.35">
      <c r="F440" s="85"/>
      <c r="G440" s="85"/>
      <c r="H440" s="85"/>
    </row>
    <row r="442" spans="6:8" x14ac:dyDescent="0.35">
      <c r="F442" s="85"/>
      <c r="G442" s="85"/>
      <c r="H442" s="85"/>
    </row>
    <row r="443" spans="6:8" x14ac:dyDescent="0.35">
      <c r="F443" s="85"/>
      <c r="G443" s="85"/>
      <c r="H443" s="85"/>
    </row>
    <row r="445" spans="6:8" x14ac:dyDescent="0.35">
      <c r="F445" s="85"/>
      <c r="G445" s="85"/>
      <c r="H445" s="85"/>
    </row>
    <row r="446" spans="6:8" x14ac:dyDescent="0.35">
      <c r="F446" s="85"/>
      <c r="G446" s="85"/>
      <c r="H446" s="85"/>
    </row>
    <row r="448" spans="6:8" x14ac:dyDescent="0.35">
      <c r="F448" s="85"/>
      <c r="G448" s="85"/>
      <c r="H448" s="85"/>
    </row>
    <row r="449" spans="6:8" x14ac:dyDescent="0.35">
      <c r="F449" s="85"/>
      <c r="G449" s="85"/>
      <c r="H449" s="85"/>
    </row>
    <row r="451" spans="6:8" x14ac:dyDescent="0.35">
      <c r="F451" s="85"/>
      <c r="G451" s="85"/>
      <c r="H451" s="85"/>
    </row>
    <row r="452" spans="6:8" x14ac:dyDescent="0.35">
      <c r="F452" s="85"/>
      <c r="G452" s="85"/>
      <c r="H452" s="8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182"/>
  <sheetViews>
    <sheetView topLeftCell="N1" zoomScale="80" zoomScaleNormal="80" workbookViewId="0">
      <pane ySplit="2" topLeftCell="A3" activePane="bottomLeft" state="frozen"/>
      <selection pane="bottomLeft" activeCell="U7" sqref="U7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3" customFormat="1" ht="82.5" x14ac:dyDescent="0.25">
      <c r="A1" s="52" t="s">
        <v>9943</v>
      </c>
      <c r="B1" s="52" t="s">
        <v>9876</v>
      </c>
      <c r="C1" s="52" t="s">
        <v>9877</v>
      </c>
      <c r="D1" s="52" t="s">
        <v>9887</v>
      </c>
      <c r="E1" s="52" t="s">
        <v>9944</v>
      </c>
      <c r="F1" s="52" t="s">
        <v>10328</v>
      </c>
      <c r="G1" s="52" t="s">
        <v>10329</v>
      </c>
      <c r="H1" s="52" t="s">
        <v>10330</v>
      </c>
      <c r="I1" s="52" t="str">
        <f>AO1</f>
        <v>Nova RT | TARIFA LÍQUIDA pós MODICIDADE TARIFÁRIA</v>
      </c>
      <c r="J1" s="52" t="str">
        <f>BM1</f>
        <v>% EF RT &amp; CM | Eficiência Valorização RT + Custos Movimentação:
 (Esforço s/ Tarifa Munícipe)</v>
      </c>
      <c r="K1" s="52" t="s">
        <v>9888</v>
      </c>
      <c r="L1" s="52" t="s">
        <v>9889</v>
      </c>
      <c r="M1" s="52" t="s">
        <v>9890</v>
      </c>
      <c r="N1" s="52" t="s">
        <v>9891</v>
      </c>
      <c r="O1" s="52" t="s">
        <v>9892</v>
      </c>
      <c r="P1" s="52" t="s">
        <v>9893</v>
      </c>
      <c r="Q1" s="52" t="s">
        <v>9894</v>
      </c>
      <c r="R1" s="52" t="s">
        <v>9895</v>
      </c>
      <c r="S1" s="52" t="s">
        <v>9896</v>
      </c>
      <c r="T1" s="52" t="s">
        <v>9897</v>
      </c>
      <c r="U1" s="52" t="s">
        <v>9898</v>
      </c>
      <c r="V1" s="52" t="s">
        <v>9899</v>
      </c>
      <c r="W1" s="52" t="s">
        <v>9900</v>
      </c>
      <c r="X1" s="52" t="s">
        <v>9901</v>
      </c>
      <c r="Y1" s="52" t="s">
        <v>9902</v>
      </c>
      <c r="Z1" s="52" t="s">
        <v>9903</v>
      </c>
      <c r="AA1" s="52" t="s">
        <v>9904</v>
      </c>
      <c r="AB1" s="52" t="s">
        <v>9905</v>
      </c>
      <c r="AC1" s="52" t="s">
        <v>9906</v>
      </c>
      <c r="AD1" s="52" t="s">
        <v>9907</v>
      </c>
      <c r="AE1" s="52" t="s">
        <v>9908</v>
      </c>
      <c r="AF1" s="52" t="s">
        <v>9909</v>
      </c>
      <c r="AG1" s="52" t="s">
        <v>9910</v>
      </c>
      <c r="AH1" s="52" t="s">
        <v>9911</v>
      </c>
      <c r="AI1" s="52" t="s">
        <v>9912</v>
      </c>
      <c r="AJ1" s="52" t="s">
        <v>9913</v>
      </c>
      <c r="AK1" s="52" t="s">
        <v>9914</v>
      </c>
      <c r="AL1" s="52" t="s">
        <v>9915</v>
      </c>
      <c r="AM1" s="52" t="s">
        <v>9916</v>
      </c>
      <c r="AN1" s="52" t="s">
        <v>9917</v>
      </c>
      <c r="AO1" s="52" t="s">
        <v>9918</v>
      </c>
      <c r="AP1" s="52" t="s">
        <v>9919</v>
      </c>
      <c r="AQ1" s="52" t="s">
        <v>9920</v>
      </c>
      <c r="AR1" s="52" t="s">
        <v>9921</v>
      </c>
      <c r="AS1" s="52" t="s">
        <v>9922</v>
      </c>
      <c r="AT1" s="52" t="s">
        <v>9923</v>
      </c>
      <c r="AU1" s="52" t="s">
        <v>9924</v>
      </c>
      <c r="AV1" s="52" t="s">
        <v>9925</v>
      </c>
      <c r="AW1" s="52" t="s">
        <v>9926</v>
      </c>
      <c r="AX1" s="52" t="s">
        <v>9927</v>
      </c>
      <c r="AY1" s="52" t="s">
        <v>9928</v>
      </c>
      <c r="AZ1" s="52" t="s">
        <v>9929</v>
      </c>
      <c r="BA1" s="52" t="s">
        <v>9930</v>
      </c>
      <c r="BB1" s="52" t="s">
        <v>9931</v>
      </c>
      <c r="BC1" s="52" t="s">
        <v>9932</v>
      </c>
      <c r="BD1" s="52" t="s">
        <v>9933</v>
      </c>
      <c r="BE1" s="52" t="s">
        <v>9934</v>
      </c>
      <c r="BF1" s="52" t="s">
        <v>9935</v>
      </c>
      <c r="BG1" s="52" t="s">
        <v>9936</v>
      </c>
      <c r="BH1" s="52" t="s">
        <v>9937</v>
      </c>
      <c r="BI1" s="52" t="s">
        <v>9938</v>
      </c>
      <c r="BJ1" s="52" t="s">
        <v>9939</v>
      </c>
      <c r="BK1" s="52" t="s">
        <v>9940</v>
      </c>
      <c r="BL1" s="52" t="s">
        <v>9941</v>
      </c>
      <c r="BM1" s="52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10335</v>
      </c>
      <c r="G2" s="36" t="s">
        <v>10419</v>
      </c>
      <c r="H2" s="36" t="s">
        <v>9948</v>
      </c>
      <c r="I2" s="36" t="s">
        <v>9948</v>
      </c>
      <c r="J2" s="36" t="s">
        <v>9634</v>
      </c>
      <c r="K2" s="36" t="s">
        <v>10336</v>
      </c>
      <c r="L2" s="36" t="s">
        <v>9796</v>
      </c>
      <c r="M2" s="36" t="s">
        <v>9796</v>
      </c>
      <c r="N2" s="36" t="s">
        <v>10337</v>
      </c>
      <c r="O2" s="36" t="s">
        <v>10337</v>
      </c>
      <c r="P2" s="36" t="s">
        <v>10337</v>
      </c>
      <c r="Q2" s="36" t="s">
        <v>10337</v>
      </c>
      <c r="R2" s="36" t="s">
        <v>10337</v>
      </c>
      <c r="S2" s="36" t="s">
        <v>10337</v>
      </c>
      <c r="T2" s="36" t="s">
        <v>10337</v>
      </c>
      <c r="U2" s="36" t="s">
        <v>10338</v>
      </c>
      <c r="V2" s="36" t="s">
        <v>10338</v>
      </c>
      <c r="W2" s="36" t="s">
        <v>10339</v>
      </c>
      <c r="X2" s="36" t="s">
        <v>10420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A3" s="15" t="s">
        <v>10605</v>
      </c>
      <c r="B3" s="15" t="s">
        <v>10455</v>
      </c>
      <c r="C3" s="15" t="s">
        <v>10456</v>
      </c>
      <c r="D3" s="15" t="s">
        <v>10321</v>
      </c>
      <c r="E3" s="15" t="s">
        <v>10606</v>
      </c>
      <c r="F3" s="15">
        <v>121127</v>
      </c>
      <c r="G3" s="15">
        <v>0.89712952701856796</v>
      </c>
      <c r="H3" s="15">
        <v>200</v>
      </c>
      <c r="I3" s="78">
        <v>163.22656973881664</v>
      </c>
      <c r="J3" s="79">
        <v>2.9851679505576811</v>
      </c>
      <c r="K3" s="15">
        <v>30</v>
      </c>
      <c r="L3" s="15">
        <v>140.41235076477068</v>
      </c>
      <c r="M3" s="15">
        <v>21.399039976028522</v>
      </c>
      <c r="N3" s="15">
        <v>42.488796240288906</v>
      </c>
      <c r="O3" s="15">
        <v>7.9196779308105283</v>
      </c>
      <c r="P3" s="15">
        <v>16.451290127272763</v>
      </c>
      <c r="Q3" s="15">
        <v>18.117828182205614</v>
      </c>
      <c r="R3" s="15">
        <v>3.3884815001630408</v>
      </c>
      <c r="S3" s="15">
        <v>7.100483317098699</v>
      </c>
      <c r="T3" s="15">
        <v>7.6288633649438724</v>
      </c>
      <c r="U3" s="15">
        <v>0</v>
      </c>
      <c r="V3" s="15">
        <v>5159.6524647172273</v>
      </c>
      <c r="W3" s="15">
        <v>0</v>
      </c>
      <c r="X3" s="15">
        <v>0</v>
      </c>
      <c r="Y3" s="15">
        <v>304.6121390336761</v>
      </c>
      <c r="Z3" s="15">
        <v>0</v>
      </c>
      <c r="AA3" s="15">
        <v>0</v>
      </c>
      <c r="AB3" s="15">
        <v>0</v>
      </c>
      <c r="AC3" s="15">
        <v>304.6121390336761</v>
      </c>
      <c r="AD3" s="15">
        <v>141.38556929485947</v>
      </c>
      <c r="AE3" s="15">
        <v>14.379008362973781</v>
      </c>
      <c r="AF3" s="15">
        <v>0</v>
      </c>
      <c r="AG3" s="15">
        <v>0</v>
      </c>
      <c r="AH3" s="15">
        <v>25.545792181885687</v>
      </c>
      <c r="AI3" s="15">
        <v>101.46076875000001</v>
      </c>
      <c r="AJ3" s="15">
        <v>0</v>
      </c>
      <c r="AK3" s="15">
        <v>0</v>
      </c>
      <c r="AL3" s="15">
        <v>0</v>
      </c>
      <c r="AM3" s="15">
        <v>0</v>
      </c>
      <c r="AN3" s="15">
        <v>0.46414949103268904</v>
      </c>
      <c r="AO3" s="15">
        <v>163.22656973881664</v>
      </c>
      <c r="AP3" s="15">
        <v>39.924800544859465</v>
      </c>
      <c r="AQ3" s="15">
        <v>14.379008362973781</v>
      </c>
      <c r="AR3" s="15">
        <v>0</v>
      </c>
      <c r="AS3" s="15">
        <v>0</v>
      </c>
      <c r="AT3" s="15">
        <v>25.545792181885687</v>
      </c>
      <c r="AU3" s="15">
        <v>410.56049385774077</v>
      </c>
      <c r="AV3" s="15">
        <v>96.814689227565196</v>
      </c>
      <c r="AW3" s="15">
        <v>96.814689227565196</v>
      </c>
      <c r="AX3" s="15">
        <v>0</v>
      </c>
      <c r="AY3" s="15">
        <v>0</v>
      </c>
      <c r="AZ3" s="15">
        <v>266.3351073752757</v>
      </c>
      <c r="BA3" s="15">
        <v>76.930878417473082</v>
      </c>
      <c r="BB3" s="15">
        <v>78.918428732417752</v>
      </c>
      <c r="BC3" s="15">
        <v>110.48580022538485</v>
      </c>
      <c r="BD3" s="15">
        <v>0</v>
      </c>
      <c r="BE3" s="15">
        <v>47.410697254899915</v>
      </c>
      <c r="BF3" s="15">
        <v>16.118714366833188</v>
      </c>
      <c r="BG3" s="15">
        <v>1.4723613094253223</v>
      </c>
      <c r="BH3" s="15">
        <v>29.819621578641399</v>
      </c>
      <c r="BI3" s="15">
        <v>0</v>
      </c>
      <c r="BJ3" s="15">
        <v>450.48529440260023</v>
      </c>
      <c r="BK3" s="15">
        <v>591.87086369745975</v>
      </c>
      <c r="BL3" s="15">
        <v>1.5996037656592381</v>
      </c>
      <c r="BM3" s="15">
        <v>2.9851679505576811</v>
      </c>
    </row>
    <row r="4" spans="1:65" x14ac:dyDescent="0.35">
      <c r="A4" s="15" t="s">
        <v>10605</v>
      </c>
      <c r="B4" s="15" t="s">
        <v>10455</v>
      </c>
      <c r="C4" s="15" t="s">
        <v>10456</v>
      </c>
      <c r="D4" s="15" t="s">
        <v>10322</v>
      </c>
      <c r="E4" s="15" t="s">
        <v>10607</v>
      </c>
      <c r="F4" s="15">
        <v>121127</v>
      </c>
      <c r="G4" s="15">
        <v>0.89712952701856796</v>
      </c>
      <c r="H4" s="15">
        <v>200</v>
      </c>
      <c r="I4" s="80">
        <v>344.17321908263199</v>
      </c>
      <c r="J4" s="79">
        <v>0.85938557005034977</v>
      </c>
      <c r="K4" s="15">
        <v>30</v>
      </c>
      <c r="L4" s="15">
        <v>140.41235076477068</v>
      </c>
      <c r="M4" s="15">
        <v>21.399039976028522</v>
      </c>
      <c r="N4" s="15">
        <v>42.488796240288906</v>
      </c>
      <c r="O4" s="15">
        <v>7.9196779308105283</v>
      </c>
      <c r="P4" s="15">
        <v>16.451290127272763</v>
      </c>
      <c r="Q4" s="15">
        <v>18.117828182205614</v>
      </c>
      <c r="R4" s="15">
        <v>3.3884815001630408</v>
      </c>
      <c r="S4" s="15">
        <v>7.100483317098699</v>
      </c>
      <c r="T4" s="15">
        <v>7.6288633649438724</v>
      </c>
      <c r="U4" s="15">
        <v>0</v>
      </c>
      <c r="V4" s="15">
        <v>0</v>
      </c>
      <c r="W4" s="15">
        <v>1289.9131161793068</v>
      </c>
      <c r="X4" s="15">
        <v>0</v>
      </c>
      <c r="Y4" s="15">
        <v>304.6121390336761</v>
      </c>
      <c r="Z4" s="15">
        <v>0</v>
      </c>
      <c r="AA4" s="15">
        <v>0</v>
      </c>
      <c r="AB4" s="15">
        <v>0</v>
      </c>
      <c r="AC4" s="15">
        <v>304.6121390336761</v>
      </c>
      <c r="AD4" s="15">
        <v>-39.561080048955887</v>
      </c>
      <c r="AE4" s="15">
        <v>-16.338962881692922</v>
      </c>
      <c r="AF4" s="15">
        <v>14.27328083982685</v>
      </c>
      <c r="AG4" s="15">
        <v>-164.25669848192598</v>
      </c>
      <c r="AH4" s="15">
        <v>0</v>
      </c>
      <c r="AI4" s="15">
        <v>101.46076875000001</v>
      </c>
      <c r="AJ4" s="15">
        <v>0</v>
      </c>
      <c r="AK4" s="15">
        <v>25.300531724836187</v>
      </c>
      <c r="AL4" s="15">
        <v>0</v>
      </c>
      <c r="AM4" s="15">
        <v>0</v>
      </c>
      <c r="AN4" s="15">
        <v>-0.12987361624673222</v>
      </c>
      <c r="AO4" s="15">
        <v>344.17321908263199</v>
      </c>
      <c r="AP4" s="15">
        <v>0</v>
      </c>
      <c r="AQ4" s="15">
        <v>0</v>
      </c>
      <c r="AR4" s="15">
        <v>0</v>
      </c>
      <c r="AS4" s="15">
        <v>0</v>
      </c>
      <c r="AT4" s="15">
        <v>0</v>
      </c>
      <c r="AU4" s="15">
        <v>439.9507171600236</v>
      </c>
      <c r="AV4" s="15">
        <v>96.814689227565196</v>
      </c>
      <c r="AW4" s="15">
        <v>96.814689227565196</v>
      </c>
      <c r="AX4" s="15">
        <v>0</v>
      </c>
      <c r="AY4" s="15">
        <v>0</v>
      </c>
      <c r="AZ4" s="15">
        <v>266.3351073752757</v>
      </c>
      <c r="BA4" s="15">
        <v>76.930878417473082</v>
      </c>
      <c r="BB4" s="15">
        <v>78.918428732417752</v>
      </c>
      <c r="BC4" s="15">
        <v>110.48580022538485</v>
      </c>
      <c r="BD4" s="15">
        <v>0</v>
      </c>
      <c r="BE4" s="15">
        <v>76.800920557182764</v>
      </c>
      <c r="BF4" s="15">
        <v>26.431073420265768</v>
      </c>
      <c r="BG4" s="15">
        <v>1.4723613094253223</v>
      </c>
      <c r="BH4" s="15">
        <v>48.897485827491671</v>
      </c>
      <c r="BI4" s="15">
        <v>0</v>
      </c>
      <c r="BJ4" s="15">
        <v>439.9507171600236</v>
      </c>
      <c r="BK4" s="15">
        <v>400.38963711106771</v>
      </c>
      <c r="BL4" s="15">
        <v>0.97099708178304811</v>
      </c>
      <c r="BM4" s="15">
        <v>0.85938557005034977</v>
      </c>
    </row>
    <row r="5" spans="1:65" x14ac:dyDescent="0.35">
      <c r="A5" s="15" t="s">
        <v>10605</v>
      </c>
      <c r="B5" s="15" t="s">
        <v>10455</v>
      </c>
      <c r="C5" s="15" t="s">
        <v>10456</v>
      </c>
      <c r="D5" s="15" t="s">
        <v>10323</v>
      </c>
      <c r="E5" s="15" t="s">
        <v>10608</v>
      </c>
      <c r="F5" s="15">
        <v>121127</v>
      </c>
      <c r="G5" s="15">
        <v>0.89712952701856796</v>
      </c>
      <c r="H5" s="15">
        <v>200</v>
      </c>
      <c r="I5" s="78">
        <v>188.35800482446962</v>
      </c>
      <c r="J5" s="79">
        <v>2.2840551731394472</v>
      </c>
      <c r="K5" s="15">
        <v>30</v>
      </c>
      <c r="L5" s="15">
        <v>140.41235076477068</v>
      </c>
      <c r="M5" s="15">
        <v>21.399039976028522</v>
      </c>
      <c r="N5" s="15">
        <v>42.488796240288906</v>
      </c>
      <c r="O5" s="15">
        <v>7.9196779308105283</v>
      </c>
      <c r="P5" s="15">
        <v>16.451290127272763</v>
      </c>
      <c r="Q5" s="15">
        <v>18.117828182205614</v>
      </c>
      <c r="R5" s="15">
        <v>3.3884815001630408</v>
      </c>
      <c r="S5" s="15">
        <v>7.100483317098699</v>
      </c>
      <c r="T5" s="15">
        <v>7.6288633649438724</v>
      </c>
      <c r="U5" s="15">
        <v>0</v>
      </c>
      <c r="V5" s="15">
        <v>0</v>
      </c>
      <c r="W5" s="15">
        <v>0</v>
      </c>
      <c r="X5" s="15">
        <v>1289913.1161793068</v>
      </c>
      <c r="Y5" s="15">
        <v>304.6121390336761</v>
      </c>
      <c r="Z5" s="15">
        <v>0</v>
      </c>
      <c r="AA5" s="15">
        <v>0</v>
      </c>
      <c r="AB5" s="15">
        <v>0</v>
      </c>
      <c r="AC5" s="15">
        <v>304.6121390336761</v>
      </c>
      <c r="AD5" s="15">
        <v>116.25413420920648</v>
      </c>
      <c r="AE5" s="15">
        <v>-16.338962881692922</v>
      </c>
      <c r="AF5" s="15">
        <v>0</v>
      </c>
      <c r="AG5" s="15">
        <v>0</v>
      </c>
      <c r="AH5" s="15">
        <v>0</v>
      </c>
      <c r="AI5" s="15">
        <v>101.46076875000001</v>
      </c>
      <c r="AJ5" s="15">
        <v>0</v>
      </c>
      <c r="AK5" s="15">
        <v>31.132328340899367</v>
      </c>
      <c r="AL5" s="15">
        <v>0</v>
      </c>
      <c r="AM5" s="15">
        <v>0</v>
      </c>
      <c r="AN5" s="15">
        <v>0.38164642610107574</v>
      </c>
      <c r="AO5" s="15">
        <v>188.35800482446962</v>
      </c>
      <c r="AP5" s="15">
        <v>0</v>
      </c>
      <c r="AQ5" s="15">
        <v>0</v>
      </c>
      <c r="AR5" s="15">
        <v>0</v>
      </c>
      <c r="AS5" s="15">
        <v>0</v>
      </c>
      <c r="AT5" s="15">
        <v>0</v>
      </c>
      <c r="AU5" s="15">
        <v>418.57808014602449</v>
      </c>
      <c r="AV5" s="15">
        <v>96.814689227565196</v>
      </c>
      <c r="AW5" s="15">
        <v>96.814689227565196</v>
      </c>
      <c r="AX5" s="15">
        <v>0</v>
      </c>
      <c r="AY5" s="15">
        <v>0</v>
      </c>
      <c r="AZ5" s="15">
        <v>266.3351073752757</v>
      </c>
      <c r="BA5" s="15">
        <v>76.930878417473082</v>
      </c>
      <c r="BB5" s="15">
        <v>78.918428732417752</v>
      </c>
      <c r="BC5" s="15">
        <v>110.48580022538485</v>
      </c>
      <c r="BD5" s="15">
        <v>0</v>
      </c>
      <c r="BE5" s="15">
        <v>55.428283543183625</v>
      </c>
      <c r="BF5" s="15">
        <v>18.931902538160809</v>
      </c>
      <c r="BG5" s="15">
        <v>1.4723613094253223</v>
      </c>
      <c r="BH5" s="15">
        <v>35.024019695597495</v>
      </c>
      <c r="BI5" s="15">
        <v>0</v>
      </c>
      <c r="BJ5" s="15">
        <v>418.57808014602449</v>
      </c>
      <c r="BK5" s="15">
        <v>534.83221435523092</v>
      </c>
      <c r="BL5" s="15">
        <v>1.4123536792931035</v>
      </c>
      <c r="BM5" s="15">
        <v>2.2840551731394472</v>
      </c>
    </row>
    <row r="6" spans="1:65" x14ac:dyDescent="0.35">
      <c r="A6" s="15" t="s">
        <v>10605</v>
      </c>
      <c r="B6" s="15" t="s">
        <v>10455</v>
      </c>
      <c r="C6" s="15" t="s">
        <v>10456</v>
      </c>
      <c r="D6" s="15" t="s">
        <v>10324</v>
      </c>
      <c r="E6" s="15" t="s">
        <v>10609</v>
      </c>
      <c r="F6" s="15">
        <v>121127</v>
      </c>
      <c r="G6" s="15">
        <v>0.89712952701856796</v>
      </c>
      <c r="H6" s="15">
        <v>200</v>
      </c>
      <c r="I6" s="78">
        <v>179.13909951045326</v>
      </c>
      <c r="J6" s="79">
        <v>2.0669572813537656</v>
      </c>
      <c r="K6" s="15">
        <v>30</v>
      </c>
      <c r="L6" s="15">
        <v>103.65084163376727</v>
      </c>
      <c r="M6" s="15">
        <v>18.062837098829167</v>
      </c>
      <c r="N6" s="15">
        <v>42.488796240288906</v>
      </c>
      <c r="O6" s="15">
        <v>5.9705256476853954</v>
      </c>
      <c r="P6" s="15">
        <v>17.147415942674602</v>
      </c>
      <c r="Q6" s="15">
        <v>19.370854649928916</v>
      </c>
      <c r="R6" s="15">
        <v>3.3884815001630408</v>
      </c>
      <c r="S6" s="15">
        <v>8.3535097848219984</v>
      </c>
      <c r="T6" s="15">
        <v>7.6288633649438724</v>
      </c>
      <c r="U6" s="15">
        <v>0</v>
      </c>
      <c r="V6" s="15">
        <v>0</v>
      </c>
      <c r="W6" s="15">
        <v>0</v>
      </c>
      <c r="X6" s="15">
        <v>0</v>
      </c>
      <c r="Y6" s="15">
        <v>267.60417534542665</v>
      </c>
      <c r="Z6" s="15">
        <v>0</v>
      </c>
      <c r="AA6" s="15">
        <v>0</v>
      </c>
      <c r="AB6" s="15">
        <v>0</v>
      </c>
      <c r="AC6" s="15">
        <v>267.60417534542665</v>
      </c>
      <c r="AD6" s="15">
        <v>88.465075834973391</v>
      </c>
      <c r="AE6" s="15">
        <v>-12.995692915026604</v>
      </c>
      <c r="AF6" s="15">
        <v>0</v>
      </c>
      <c r="AG6" s="15">
        <v>0</v>
      </c>
      <c r="AH6" s="15">
        <v>0</v>
      </c>
      <c r="AI6" s="15">
        <v>101.46076875000001</v>
      </c>
      <c r="AJ6" s="15">
        <v>0</v>
      </c>
      <c r="AK6" s="15">
        <v>0</v>
      </c>
      <c r="AL6" s="15">
        <v>0</v>
      </c>
      <c r="AM6" s="15">
        <v>0</v>
      </c>
      <c r="AN6" s="15">
        <v>0.33058182190461571</v>
      </c>
      <c r="AO6" s="15">
        <v>179.13909951045326</v>
      </c>
      <c r="AP6" s="15">
        <v>0</v>
      </c>
      <c r="AQ6" s="15">
        <v>0</v>
      </c>
      <c r="AR6" s="15">
        <v>0</v>
      </c>
      <c r="AS6" s="15">
        <v>0</v>
      </c>
      <c r="AT6" s="15">
        <v>0</v>
      </c>
      <c r="AU6" s="15">
        <v>349.41196561874148</v>
      </c>
      <c r="AV6" s="15">
        <v>93.177046683746696</v>
      </c>
      <c r="AW6" s="15">
        <v>93.177046683746696</v>
      </c>
      <c r="AX6" s="15">
        <v>0</v>
      </c>
      <c r="AY6" s="15">
        <v>0</v>
      </c>
      <c r="AZ6" s="15">
        <v>206.64818815178677</v>
      </c>
      <c r="BA6" s="15">
        <v>76.930878417473082</v>
      </c>
      <c r="BB6" s="15">
        <v>54.048879055964036</v>
      </c>
      <c r="BC6" s="15">
        <v>75.668430678349651</v>
      </c>
      <c r="BD6" s="15">
        <v>0</v>
      </c>
      <c r="BE6" s="15">
        <v>49.586730783208012</v>
      </c>
      <c r="BF6" s="15">
        <v>16.882234903081645</v>
      </c>
      <c r="BG6" s="15">
        <v>1.4723613094253223</v>
      </c>
      <c r="BH6" s="15">
        <v>31.232134570701042</v>
      </c>
      <c r="BI6" s="15">
        <v>0</v>
      </c>
      <c r="BJ6" s="15">
        <v>349.41196561874148</v>
      </c>
      <c r="BK6" s="15">
        <v>437.87704145371487</v>
      </c>
      <c r="BL6" s="15">
        <v>1.3836587774848264</v>
      </c>
      <c r="BM6" s="15">
        <v>2.0669572813537656</v>
      </c>
    </row>
    <row r="7" spans="1:65" x14ac:dyDescent="0.35">
      <c r="A7" s="15" t="s">
        <v>10605</v>
      </c>
      <c r="B7" s="15" t="s">
        <v>10455</v>
      </c>
      <c r="C7" s="15" t="s">
        <v>10456</v>
      </c>
      <c r="D7" s="15" t="s">
        <v>10325</v>
      </c>
      <c r="E7" s="15" t="s">
        <v>10610</v>
      </c>
      <c r="F7" s="15">
        <v>121127</v>
      </c>
      <c r="G7" s="15">
        <v>0.89712952701856796</v>
      </c>
      <c r="H7" s="15">
        <v>200</v>
      </c>
      <c r="I7" s="78">
        <v>241.79690753955828</v>
      </c>
      <c r="J7" s="79">
        <v>1.3203986875974556</v>
      </c>
      <c r="K7" s="15">
        <v>30</v>
      </c>
      <c r="L7" s="15">
        <v>94.766626744151139</v>
      </c>
      <c r="M7" s="15">
        <v>17.104084349961649</v>
      </c>
      <c r="N7" s="15">
        <v>42.488796240288906</v>
      </c>
      <c r="O7" s="15">
        <v>9.5216330154581428</v>
      </c>
      <c r="P7" s="15">
        <v>14.863430700777865</v>
      </c>
      <c r="Q7" s="15">
        <v>18.103732524052898</v>
      </c>
      <c r="R7" s="15">
        <v>3.3884815001630408</v>
      </c>
      <c r="S7" s="15">
        <v>0</v>
      </c>
      <c r="T7" s="15">
        <v>14.715251023889858</v>
      </c>
      <c r="U7" s="15">
        <v>0</v>
      </c>
      <c r="V7" s="15">
        <v>0</v>
      </c>
      <c r="W7" s="15">
        <v>0</v>
      </c>
      <c r="X7" s="15">
        <v>0</v>
      </c>
      <c r="Y7" s="15">
        <v>331.05565178408585</v>
      </c>
      <c r="Z7" s="15">
        <v>0</v>
      </c>
      <c r="AA7" s="15">
        <v>0</v>
      </c>
      <c r="AB7" s="15">
        <v>0</v>
      </c>
      <c r="AC7" s="15">
        <v>331.05565178408585</v>
      </c>
      <c r="AD7" s="15">
        <v>89.258744244527577</v>
      </c>
      <c r="AE7" s="15">
        <v>-12.202024505472435</v>
      </c>
      <c r="AF7" s="15">
        <v>0</v>
      </c>
      <c r="AG7" s="15">
        <v>0</v>
      </c>
      <c r="AH7" s="15">
        <v>0</v>
      </c>
      <c r="AI7" s="15">
        <v>101.46076875000001</v>
      </c>
      <c r="AJ7" s="15">
        <v>0</v>
      </c>
      <c r="AK7" s="15">
        <v>0</v>
      </c>
      <c r="AL7" s="15">
        <v>0</v>
      </c>
      <c r="AM7" s="15">
        <v>0</v>
      </c>
      <c r="AN7" s="15">
        <v>0.2696185483120585</v>
      </c>
      <c r="AO7" s="15">
        <v>241.79690753955828</v>
      </c>
      <c r="AP7" s="15">
        <v>0</v>
      </c>
      <c r="AQ7" s="15">
        <v>0</v>
      </c>
      <c r="AR7" s="15">
        <v>0</v>
      </c>
      <c r="AS7" s="15">
        <v>0</v>
      </c>
      <c r="AT7" s="15">
        <v>0</v>
      </c>
      <c r="AU7" s="15">
        <v>361.06522691991438</v>
      </c>
      <c r="AV7" s="15">
        <v>104.87737265457388</v>
      </c>
      <c r="AW7" s="15">
        <v>104.87737265457388</v>
      </c>
      <c r="AX7" s="15">
        <v>0</v>
      </c>
      <c r="AY7" s="15">
        <v>0</v>
      </c>
      <c r="AZ7" s="15">
        <v>197.40693624814116</v>
      </c>
      <c r="BA7" s="15">
        <v>76.930878417473082</v>
      </c>
      <c r="BB7" s="15">
        <v>50.198357429445025</v>
      </c>
      <c r="BC7" s="15">
        <v>70.277700401223044</v>
      </c>
      <c r="BD7" s="15">
        <v>0</v>
      </c>
      <c r="BE7" s="15">
        <v>58.780918017199355</v>
      </c>
      <c r="BF7" s="15">
        <v>20.108265511499663</v>
      </c>
      <c r="BG7" s="15">
        <v>1.4723613094253223</v>
      </c>
      <c r="BH7" s="15">
        <v>37.200291196274371</v>
      </c>
      <c r="BI7" s="15">
        <v>0</v>
      </c>
      <c r="BJ7" s="15">
        <v>361.06522691991438</v>
      </c>
      <c r="BK7" s="15">
        <v>450.32397116444196</v>
      </c>
      <c r="BL7" s="15">
        <v>0.96439471025428225</v>
      </c>
      <c r="BM7" s="15">
        <v>1.3203986875974556</v>
      </c>
    </row>
    <row r="8" spans="1:65" x14ac:dyDescent="0.35">
      <c r="A8" s="15" t="s">
        <v>10605</v>
      </c>
      <c r="B8" s="15" t="s">
        <v>10455</v>
      </c>
      <c r="C8" s="15" t="s">
        <v>10456</v>
      </c>
      <c r="D8" s="15" t="s">
        <v>10326</v>
      </c>
      <c r="E8" s="15" t="s">
        <v>10611</v>
      </c>
      <c r="F8" s="15">
        <v>121127</v>
      </c>
      <c r="G8" s="15">
        <v>0.89712952701856796</v>
      </c>
      <c r="H8" s="15">
        <v>200</v>
      </c>
      <c r="I8" s="78">
        <v>217.00466400344783</v>
      </c>
      <c r="J8" s="79">
        <v>3.089441903423066</v>
      </c>
      <c r="K8" s="15">
        <v>30</v>
      </c>
      <c r="L8" s="15">
        <v>91.625959515531605</v>
      </c>
      <c r="M8" s="15">
        <v>16.604922834369596</v>
      </c>
      <c r="N8" s="15">
        <v>42.488796240288906</v>
      </c>
      <c r="O8" s="15">
        <v>31.050801829354079</v>
      </c>
      <c r="P8" s="15">
        <v>7.8200629480251722</v>
      </c>
      <c r="Q8" s="15">
        <v>3.6179314629096586</v>
      </c>
      <c r="R8" s="15">
        <v>3.6179314629096586</v>
      </c>
      <c r="S8" s="15">
        <v>0</v>
      </c>
      <c r="T8" s="15">
        <v>0</v>
      </c>
      <c r="U8" s="15">
        <v>26940.824883221958</v>
      </c>
      <c r="V8" s="15">
        <v>0</v>
      </c>
      <c r="W8" s="15">
        <v>0</v>
      </c>
      <c r="X8" s="15">
        <v>0</v>
      </c>
      <c r="Y8" s="15">
        <v>618.38482251385653</v>
      </c>
      <c r="Z8" s="15">
        <v>0</v>
      </c>
      <c r="AA8" s="15">
        <v>0</v>
      </c>
      <c r="AB8" s="15">
        <v>0</v>
      </c>
      <c r="AC8" s="15">
        <v>618.38482251385653</v>
      </c>
      <c r="AD8" s="15">
        <v>401.38015851040871</v>
      </c>
      <c r="AE8" s="15">
        <v>11.135823745201961</v>
      </c>
      <c r="AF8" s="15">
        <v>0</v>
      </c>
      <c r="AG8" s="15">
        <v>0</v>
      </c>
      <c r="AH8" s="15">
        <v>267.2439765357642</v>
      </c>
      <c r="AI8" s="15">
        <v>123.00035822944254</v>
      </c>
      <c r="AJ8" s="15">
        <v>0</v>
      </c>
      <c r="AK8" s="15">
        <v>0</v>
      </c>
      <c r="AL8" s="15">
        <v>0</v>
      </c>
      <c r="AM8" s="15">
        <v>0</v>
      </c>
      <c r="AN8" s="15">
        <v>0.64907828248228838</v>
      </c>
      <c r="AO8" s="15">
        <v>217.00466400344783</v>
      </c>
      <c r="AP8" s="15">
        <v>278.37980028096615</v>
      </c>
      <c r="AQ8" s="15">
        <v>11.135823745201961</v>
      </c>
      <c r="AR8" s="15">
        <v>0</v>
      </c>
      <c r="AS8" s="15">
        <v>0</v>
      </c>
      <c r="AT8" s="15">
        <v>267.2439765357642</v>
      </c>
      <c r="AU8" s="15">
        <v>409.04816593297659</v>
      </c>
      <c r="AV8" s="15">
        <v>147.83233059554814</v>
      </c>
      <c r="AW8" s="15">
        <v>147.83233059554814</v>
      </c>
      <c r="AX8" s="15">
        <v>0</v>
      </c>
      <c r="AY8" s="15">
        <v>0</v>
      </c>
      <c r="AZ8" s="15">
        <v>201.74641533533793</v>
      </c>
      <c r="BA8" s="15">
        <v>82.718698010625445</v>
      </c>
      <c r="BB8" s="15">
        <v>49.594882218630218</v>
      </c>
      <c r="BC8" s="15">
        <v>69.432835106082294</v>
      </c>
      <c r="BD8" s="15">
        <v>0</v>
      </c>
      <c r="BE8" s="15">
        <v>59.469420002090544</v>
      </c>
      <c r="BF8" s="15">
        <v>20.310977903793205</v>
      </c>
      <c r="BG8" s="15">
        <v>1.5831329762799129</v>
      </c>
      <c r="BH8" s="15">
        <v>37.57530912201743</v>
      </c>
      <c r="BI8" s="15">
        <v>0</v>
      </c>
      <c r="BJ8" s="15">
        <v>687.42796621394268</v>
      </c>
      <c r="BK8" s="15">
        <v>1088.8081247243513</v>
      </c>
      <c r="BL8" s="15">
        <v>1.0841522589204107</v>
      </c>
      <c r="BM8" s="15">
        <v>3.089441903423066</v>
      </c>
    </row>
    <row r="9" spans="1:65" x14ac:dyDescent="0.35">
      <c r="A9" s="15" t="s">
        <v>10605</v>
      </c>
      <c r="B9" s="15" t="s">
        <v>10455</v>
      </c>
      <c r="C9" s="15" t="s">
        <v>10456</v>
      </c>
      <c r="D9" s="15" t="s">
        <v>10327</v>
      </c>
      <c r="E9" s="15" t="s">
        <v>10612</v>
      </c>
      <c r="F9" s="15">
        <v>121127</v>
      </c>
      <c r="G9" s="15">
        <v>0.89712952701856796</v>
      </c>
      <c r="H9" s="15">
        <v>200</v>
      </c>
      <c r="I9" s="80">
        <v>1158.1287860627126</v>
      </c>
      <c r="J9" s="81">
        <v>-3.3316915512927897E-2</v>
      </c>
      <c r="K9" s="15">
        <v>30</v>
      </c>
      <c r="L9" s="15">
        <v>120.57350227494283</v>
      </c>
      <c r="M9" s="15">
        <v>26.329970972331548</v>
      </c>
      <c r="N9" s="15">
        <v>42.488796240288906</v>
      </c>
      <c r="O9" s="15">
        <v>31.050801829354079</v>
      </c>
      <c r="P9" s="15">
        <v>7.8200629480251722</v>
      </c>
      <c r="Q9" s="15">
        <v>3.6179314629096586</v>
      </c>
      <c r="R9" s="15">
        <v>3.6179314629096586</v>
      </c>
      <c r="S9" s="15">
        <v>0</v>
      </c>
      <c r="T9" s="15">
        <v>0</v>
      </c>
      <c r="U9" s="15">
        <v>26940.824883221958</v>
      </c>
      <c r="V9" s="15">
        <v>0</v>
      </c>
      <c r="W9" s="15">
        <v>0</v>
      </c>
      <c r="X9" s="15">
        <v>0</v>
      </c>
      <c r="Y9" s="15">
        <v>1521.368249833761</v>
      </c>
      <c r="Z9" s="15">
        <v>0</v>
      </c>
      <c r="AA9" s="15">
        <v>0</v>
      </c>
      <c r="AB9" s="15">
        <v>0</v>
      </c>
      <c r="AC9" s="15">
        <v>1521.368249833761</v>
      </c>
      <c r="AD9" s="15">
        <v>363.23946377104835</v>
      </c>
      <c r="AE9" s="15">
        <v>29.692844057033007</v>
      </c>
      <c r="AF9" s="15">
        <v>0</v>
      </c>
      <c r="AG9" s="15">
        <v>0</v>
      </c>
      <c r="AH9" s="15">
        <v>210.54626148457271</v>
      </c>
      <c r="AI9" s="15">
        <v>123.00035822944254</v>
      </c>
      <c r="AJ9" s="15">
        <v>0</v>
      </c>
      <c r="AK9" s="15">
        <v>0</v>
      </c>
      <c r="AL9" s="15">
        <v>0</v>
      </c>
      <c r="AM9" s="15">
        <v>0</v>
      </c>
      <c r="AN9" s="15">
        <v>0.23875840961630382</v>
      </c>
      <c r="AO9" s="15">
        <v>1158.1287860627126</v>
      </c>
      <c r="AP9" s="15">
        <v>240.23910554160571</v>
      </c>
      <c r="AQ9" s="15">
        <v>29.692844057033007</v>
      </c>
      <c r="AR9" s="15">
        <v>0</v>
      </c>
      <c r="AS9" s="15">
        <v>0</v>
      </c>
      <c r="AT9" s="15">
        <v>210.54626148457271</v>
      </c>
      <c r="AU9" s="15">
        <v>679.30440160276589</v>
      </c>
      <c r="AV9" s="15">
        <v>147.83233059554814</v>
      </c>
      <c r="AW9" s="15">
        <v>147.83233059554814</v>
      </c>
      <c r="AX9" s="15">
        <v>0</v>
      </c>
      <c r="AY9" s="15">
        <v>0</v>
      </c>
      <c r="AZ9" s="15">
        <v>337.89246361168193</v>
      </c>
      <c r="BA9" s="15">
        <v>82.718698010625445</v>
      </c>
      <c r="BB9" s="15">
        <v>106.32240233377354</v>
      </c>
      <c r="BC9" s="15">
        <v>148.85136326728292</v>
      </c>
      <c r="BD9" s="15">
        <v>0</v>
      </c>
      <c r="BE9" s="15">
        <v>193.57960739553579</v>
      </c>
      <c r="BF9" s="15">
        <v>67.367184006756446</v>
      </c>
      <c r="BG9" s="15">
        <v>1.5831329762799129</v>
      </c>
      <c r="BH9" s="15">
        <v>124.62929041249942</v>
      </c>
      <c r="BI9" s="15">
        <v>0</v>
      </c>
      <c r="BJ9" s="15">
        <v>919.54350714437157</v>
      </c>
      <c r="BK9" s="15">
        <v>1282.7829709154198</v>
      </c>
      <c r="BL9" s="15">
        <v>-2.5362221751740473E-2</v>
      </c>
      <c r="BM9" s="15">
        <v>-3.3316915512927897E-2</v>
      </c>
    </row>
    <row r="10" spans="1:65" s="58" customFormat="1" x14ac:dyDescent="0.35">
      <c r="A10" s="59" t="s">
        <v>10605</v>
      </c>
      <c r="B10" s="59" t="s">
        <v>10455</v>
      </c>
      <c r="C10" s="59" t="s">
        <v>10613</v>
      </c>
      <c r="D10" s="59" t="s">
        <v>10321</v>
      </c>
      <c r="E10" s="59" t="s">
        <v>10614</v>
      </c>
      <c r="F10" s="59">
        <v>121127</v>
      </c>
      <c r="G10" s="59">
        <v>0.89712952701856796</v>
      </c>
      <c r="H10" s="59">
        <v>200</v>
      </c>
      <c r="I10" s="59">
        <v>163.22656973881664</v>
      </c>
      <c r="J10" s="88">
        <v>2.9851679505576811</v>
      </c>
      <c r="K10" s="59">
        <v>30</v>
      </c>
      <c r="L10" s="59">
        <v>140.41235076477068</v>
      </c>
      <c r="M10" s="59">
        <v>21.399039976028522</v>
      </c>
      <c r="N10" s="59">
        <v>42.488796240288906</v>
      </c>
      <c r="O10" s="59">
        <v>7.9196779308105283</v>
      </c>
      <c r="P10" s="59">
        <v>16.451290127272763</v>
      </c>
      <c r="Q10" s="59">
        <v>18.117828182205614</v>
      </c>
      <c r="R10" s="59">
        <v>3.3884815001630408</v>
      </c>
      <c r="S10" s="59">
        <v>7.100483317098699</v>
      </c>
      <c r="T10" s="59">
        <v>7.6288633649438724</v>
      </c>
      <c r="U10" s="59">
        <v>0</v>
      </c>
      <c r="V10" s="59">
        <v>5159.6524647172273</v>
      </c>
      <c r="W10" s="59">
        <v>0</v>
      </c>
      <c r="X10" s="59">
        <v>0</v>
      </c>
      <c r="Y10" s="59">
        <v>304.6121390336761</v>
      </c>
      <c r="Z10" s="59">
        <v>0</v>
      </c>
      <c r="AA10" s="59">
        <v>0</v>
      </c>
      <c r="AB10" s="59">
        <v>0</v>
      </c>
      <c r="AC10" s="59">
        <v>304.6121390336761</v>
      </c>
      <c r="AD10" s="59">
        <v>141.38556929485947</v>
      </c>
      <c r="AE10" s="59">
        <v>14.379008362973781</v>
      </c>
      <c r="AF10" s="59">
        <v>0</v>
      </c>
      <c r="AG10" s="59">
        <v>0</v>
      </c>
      <c r="AH10" s="59">
        <v>25.545792181885687</v>
      </c>
      <c r="AI10" s="59">
        <v>101.46076875000001</v>
      </c>
      <c r="AJ10" s="59">
        <v>0</v>
      </c>
      <c r="AK10" s="59">
        <v>0</v>
      </c>
      <c r="AL10" s="59">
        <v>0</v>
      </c>
      <c r="AM10" s="59">
        <v>0</v>
      </c>
      <c r="AN10" s="59">
        <v>0.46414949103268904</v>
      </c>
      <c r="AO10" s="59">
        <v>163.22656973881664</v>
      </c>
      <c r="AP10" s="59">
        <v>39.924800544859465</v>
      </c>
      <c r="AQ10" s="59">
        <v>14.379008362973781</v>
      </c>
      <c r="AR10" s="59">
        <v>0</v>
      </c>
      <c r="AS10" s="59">
        <v>0</v>
      </c>
      <c r="AT10" s="59">
        <v>25.545792181885687</v>
      </c>
      <c r="AU10" s="59">
        <v>410.56049385774077</v>
      </c>
      <c r="AV10" s="59">
        <v>96.814689227565196</v>
      </c>
      <c r="AW10" s="59">
        <v>96.814689227565196</v>
      </c>
      <c r="AX10" s="59">
        <v>0</v>
      </c>
      <c r="AY10" s="59">
        <v>0</v>
      </c>
      <c r="AZ10" s="59">
        <v>266.3351073752757</v>
      </c>
      <c r="BA10" s="59">
        <v>76.930878417473082</v>
      </c>
      <c r="BB10" s="59">
        <v>78.918428732417752</v>
      </c>
      <c r="BC10" s="59">
        <v>110.48580022538485</v>
      </c>
      <c r="BD10" s="59">
        <v>0</v>
      </c>
      <c r="BE10" s="59">
        <v>47.410697254899915</v>
      </c>
      <c r="BF10" s="59">
        <v>16.118714366833188</v>
      </c>
      <c r="BG10" s="59">
        <v>1.4723613094253223</v>
      </c>
      <c r="BH10" s="59">
        <v>29.819621578641399</v>
      </c>
      <c r="BI10" s="59">
        <v>0</v>
      </c>
      <c r="BJ10" s="59">
        <v>450.48529440260023</v>
      </c>
      <c r="BK10" s="57">
        <v>591.87086369745975</v>
      </c>
      <c r="BL10" s="57">
        <v>1.5996037656592381</v>
      </c>
      <c r="BM10" s="57">
        <v>2.9851679505576811</v>
      </c>
    </row>
    <row r="11" spans="1:65" s="56" customFormat="1" x14ac:dyDescent="0.35">
      <c r="A11" s="55" t="s">
        <v>10605</v>
      </c>
      <c r="B11" s="55" t="s">
        <v>10615</v>
      </c>
      <c r="C11" s="55" t="s">
        <v>9780</v>
      </c>
      <c r="D11" s="55" t="s">
        <v>9780</v>
      </c>
      <c r="E11" s="55" t="s">
        <v>10010</v>
      </c>
      <c r="F11" s="55">
        <f>F10</f>
        <v>121127</v>
      </c>
      <c r="G11" s="55">
        <f>G10</f>
        <v>0.89712952701856796</v>
      </c>
      <c r="H11" s="55">
        <f>(H10*N10)/(N10)</f>
        <v>199.99999999999997</v>
      </c>
      <c r="I11" s="55">
        <f>(I10*N10)/(N10)</f>
        <v>163.22656973881664</v>
      </c>
      <c r="J11" s="89">
        <f>(J10*N10)/(N10)</f>
        <v>2.9851679505576811</v>
      </c>
      <c r="K11" s="55">
        <f t="shared" ref="K11:W11" si="0">K10</f>
        <v>30</v>
      </c>
      <c r="L11" s="55">
        <f t="shared" si="0"/>
        <v>140.41235076477068</v>
      </c>
      <c r="M11" s="55">
        <f t="shared" si="0"/>
        <v>21.399039976028522</v>
      </c>
      <c r="N11" s="55">
        <f t="shared" si="0"/>
        <v>42.488796240288906</v>
      </c>
      <c r="O11" s="55">
        <f t="shared" si="0"/>
        <v>7.9196779308105283</v>
      </c>
      <c r="P11" s="55">
        <f t="shared" si="0"/>
        <v>16.451290127272763</v>
      </c>
      <c r="Q11" s="55">
        <f t="shared" si="0"/>
        <v>18.117828182205614</v>
      </c>
      <c r="R11" s="55">
        <f t="shared" si="0"/>
        <v>3.3884815001630408</v>
      </c>
      <c r="S11" s="55">
        <f t="shared" si="0"/>
        <v>7.100483317098699</v>
      </c>
      <c r="T11" s="55">
        <f t="shared" si="0"/>
        <v>7.6288633649438724</v>
      </c>
      <c r="U11" s="55">
        <f t="shared" si="0"/>
        <v>0</v>
      </c>
      <c r="V11" s="55">
        <f t="shared" si="0"/>
        <v>5159.6524647172273</v>
      </c>
      <c r="W11" s="55">
        <f t="shared" si="0"/>
        <v>0</v>
      </c>
      <c r="X11" s="55">
        <f>(X10*N10)/(N10)</f>
        <v>0</v>
      </c>
      <c r="Y11" s="55">
        <f>(Y10*N10)/(N10)</f>
        <v>304.6121390336761</v>
      </c>
      <c r="Z11" s="55">
        <f>(Z10*N10)/(N10)</f>
        <v>0</v>
      </c>
      <c r="AA11" s="55">
        <f>(AA10*N10)/(N10)</f>
        <v>0</v>
      </c>
      <c r="AB11" s="55">
        <f>(AB10*N10)/(N10)</f>
        <v>0</v>
      </c>
      <c r="AC11" s="55">
        <f>(AC10*N10)/(N10)</f>
        <v>304.6121390336761</v>
      </c>
      <c r="AD11" s="55">
        <f>(AD10*N10)/(N10)</f>
        <v>141.38556929485947</v>
      </c>
      <c r="AE11" s="55">
        <f>(AE10*N10)/(N10)</f>
        <v>14.379008362973781</v>
      </c>
      <c r="AF11" s="55">
        <f>(AF10*N10)/(N10)</f>
        <v>0</v>
      </c>
      <c r="AG11" s="55">
        <f>(AG10*N10)/(N10)</f>
        <v>0</v>
      </c>
      <c r="AH11" s="55">
        <f>(AH10*N10)/(N10)</f>
        <v>25.545792181885687</v>
      </c>
      <c r="AI11" s="55">
        <f>(AI10*N10)/(N10)</f>
        <v>101.46076875000001</v>
      </c>
      <c r="AJ11" s="55">
        <f>(AJ10*N10)/(N10)</f>
        <v>0</v>
      </c>
      <c r="AK11" s="55">
        <f>(AK10*N10)/(N10)</f>
        <v>0</v>
      </c>
      <c r="AL11" s="55">
        <f>(AL10*N10)/(N10)</f>
        <v>0</v>
      </c>
      <c r="AM11" s="55">
        <f>(AM10*N10)/(N10)</f>
        <v>0</v>
      </c>
      <c r="AN11" s="55">
        <f>(AN10*N10)/(N10)</f>
        <v>0.46414949103268899</v>
      </c>
      <c r="AO11" s="55">
        <f>(AO10*N10)/(N10)</f>
        <v>163.22656973881664</v>
      </c>
      <c r="AP11" s="55">
        <f>(AP10*N10)/(N10)</f>
        <v>39.924800544859465</v>
      </c>
      <c r="AQ11" s="55">
        <f>(AQ10*N10)/(N10)</f>
        <v>14.379008362973781</v>
      </c>
      <c r="AR11" s="55">
        <f>(AR10*N10)/(N10)</f>
        <v>0</v>
      </c>
      <c r="AS11" s="55">
        <f>(AS10*N10)/(N10)</f>
        <v>0</v>
      </c>
      <c r="AT11" s="55">
        <f>(AT10*N10)/(N10)</f>
        <v>25.545792181885687</v>
      </c>
      <c r="AU11" s="55">
        <f>(AU10*N10)/(N10)</f>
        <v>410.56049385774082</v>
      </c>
      <c r="AV11" s="55">
        <f>(AV10*N10)/(N10)</f>
        <v>96.814689227565196</v>
      </c>
      <c r="AW11" s="55">
        <f>(AW10*N10)/(N10)</f>
        <v>96.814689227565196</v>
      </c>
      <c r="AX11" s="55">
        <f>(AX10*N10)/(N10)</f>
        <v>0</v>
      </c>
      <c r="AY11" s="55">
        <f>(AY10*N10)/(N10)</f>
        <v>0</v>
      </c>
      <c r="AZ11" s="55">
        <f>(AZ10*N10)/(N10)</f>
        <v>266.3351073752757</v>
      </c>
      <c r="BA11" s="55">
        <f>(BA10*N10)/(N10)</f>
        <v>76.930878417473082</v>
      </c>
      <c r="BB11" s="55">
        <f>(BB10*N10)/(N10)</f>
        <v>78.918428732417752</v>
      </c>
      <c r="BC11" s="55">
        <f>(BC10*N10)/(N10)</f>
        <v>110.48580022538486</v>
      </c>
      <c r="BD11" s="55">
        <f>(BD10*N10)/(N10)</f>
        <v>0</v>
      </c>
      <c r="BE11" s="55">
        <f>(BE10*N10)/(N10)</f>
        <v>47.410697254899915</v>
      </c>
      <c r="BF11" s="55">
        <f>(BF10*N10)/(N10)</f>
        <v>16.118714366833188</v>
      </c>
      <c r="BG11" s="55">
        <f>(BG10*N10)/(N10)</f>
        <v>1.4723613094253223</v>
      </c>
      <c r="BH11" s="55">
        <f>(BH10*N10)/(N10)</f>
        <v>29.819621578641399</v>
      </c>
      <c r="BI11" s="55">
        <f>(BI10*N10)/(N10)</f>
        <v>0</v>
      </c>
      <c r="BJ11" s="55">
        <f>(BJ10*N10)/(N10)</f>
        <v>450.48529440260018</v>
      </c>
      <c r="BK11" s="55">
        <f>(BK10*N10)/(N10)</f>
        <v>591.87086369745975</v>
      </c>
      <c r="BL11" s="55">
        <f>(BL10*N10)/(N10)</f>
        <v>1.5996037656592381</v>
      </c>
      <c r="BM11" s="55">
        <f>(BM10*N10)/(N10)</f>
        <v>2.9851679505576811</v>
      </c>
    </row>
    <row r="12" spans="1:65" x14ac:dyDescent="0.35">
      <c r="A12" s="15" t="s">
        <v>10616</v>
      </c>
      <c r="B12" s="15" t="s">
        <v>10455</v>
      </c>
      <c r="C12" s="15" t="s">
        <v>10456</v>
      </c>
      <c r="D12" s="15" t="s">
        <v>10321</v>
      </c>
      <c r="E12" s="15" t="s">
        <v>10617</v>
      </c>
      <c r="F12" s="15">
        <v>121127</v>
      </c>
      <c r="G12" s="15">
        <v>0.89712952701856796</v>
      </c>
      <c r="H12" s="15">
        <v>200</v>
      </c>
      <c r="I12" s="78">
        <v>143.86910468881661</v>
      </c>
      <c r="J12" s="79">
        <v>3.5213688916016759</v>
      </c>
      <c r="K12" s="15">
        <v>30</v>
      </c>
      <c r="L12" s="15">
        <v>140.41235076477068</v>
      </c>
      <c r="M12" s="15">
        <v>21.399039976028522</v>
      </c>
      <c r="N12" s="15">
        <v>42.488796240288906</v>
      </c>
      <c r="O12" s="15">
        <v>7.9196779308105283</v>
      </c>
      <c r="P12" s="15">
        <v>16.451290127272763</v>
      </c>
      <c r="Q12" s="15">
        <v>18.117828182205614</v>
      </c>
      <c r="R12" s="15">
        <v>3.3884815001630408</v>
      </c>
      <c r="S12" s="15">
        <v>7.100483317098699</v>
      </c>
      <c r="T12" s="15">
        <v>7.6288633649438724</v>
      </c>
      <c r="U12" s="15">
        <v>0</v>
      </c>
      <c r="V12" s="15">
        <v>5159.6524647172273</v>
      </c>
      <c r="W12" s="15">
        <v>0</v>
      </c>
      <c r="X12" s="15">
        <v>0</v>
      </c>
      <c r="Y12" s="15">
        <v>304.6121390336761</v>
      </c>
      <c r="Z12" s="15">
        <v>0</v>
      </c>
      <c r="AA12" s="15">
        <v>0</v>
      </c>
      <c r="AB12" s="15">
        <v>0</v>
      </c>
      <c r="AC12" s="15">
        <v>304.6121390336761</v>
      </c>
      <c r="AD12" s="15">
        <v>160.7430343448595</v>
      </c>
      <c r="AE12" s="15">
        <v>14.379008362973781</v>
      </c>
      <c r="AF12" s="15">
        <v>0</v>
      </c>
      <c r="AG12" s="15">
        <v>0</v>
      </c>
      <c r="AH12" s="15">
        <v>25.545792181885687</v>
      </c>
      <c r="AI12" s="15">
        <v>101.46076875000001</v>
      </c>
      <c r="AJ12" s="15">
        <v>0</v>
      </c>
      <c r="AK12" s="15">
        <v>0</v>
      </c>
      <c r="AL12" s="15">
        <v>0</v>
      </c>
      <c r="AM12" s="15">
        <v>19.357465049999998</v>
      </c>
      <c r="AN12" s="15">
        <v>0.52769740186581571</v>
      </c>
      <c r="AO12" s="15">
        <v>143.86910468881661</v>
      </c>
      <c r="AP12" s="15">
        <v>39.924800544859465</v>
      </c>
      <c r="AQ12" s="15">
        <v>14.379008362973781</v>
      </c>
      <c r="AR12" s="15">
        <v>0</v>
      </c>
      <c r="AS12" s="15">
        <v>0</v>
      </c>
      <c r="AT12" s="15">
        <v>25.545792181885687</v>
      </c>
      <c r="AU12" s="15">
        <v>410.56049385774077</v>
      </c>
      <c r="AV12" s="15">
        <v>96.814689227565196</v>
      </c>
      <c r="AW12" s="15">
        <v>96.814689227565196</v>
      </c>
      <c r="AX12" s="15">
        <v>0</v>
      </c>
      <c r="AY12" s="15">
        <v>0</v>
      </c>
      <c r="AZ12" s="15">
        <v>266.3351073752757</v>
      </c>
      <c r="BA12" s="15">
        <v>76.930878417473082</v>
      </c>
      <c r="BB12" s="15">
        <v>78.918428732417752</v>
      </c>
      <c r="BC12" s="15">
        <v>110.48580022538485</v>
      </c>
      <c r="BD12" s="15">
        <v>0</v>
      </c>
      <c r="BE12" s="15">
        <v>47.410697254899901</v>
      </c>
      <c r="BF12" s="15">
        <v>16.118714366833185</v>
      </c>
      <c r="BG12" s="15">
        <v>1.4723613094253223</v>
      </c>
      <c r="BH12" s="15">
        <v>29.819621578641392</v>
      </c>
      <c r="BI12" s="15">
        <v>0</v>
      </c>
      <c r="BJ12" s="15">
        <v>450.48529440260023</v>
      </c>
      <c r="BK12" s="15">
        <v>611.22832874745973</v>
      </c>
      <c r="BL12" s="15">
        <v>1.6631516764923644</v>
      </c>
      <c r="BM12" s="15">
        <v>3.5213688916016759</v>
      </c>
    </row>
    <row r="13" spans="1:65" x14ac:dyDescent="0.35">
      <c r="A13" s="15" t="s">
        <v>10616</v>
      </c>
      <c r="B13" s="15" t="s">
        <v>10455</v>
      </c>
      <c r="C13" s="15" t="s">
        <v>10456</v>
      </c>
      <c r="D13" s="15" t="s">
        <v>10322</v>
      </c>
      <c r="E13" s="15" t="s">
        <v>10618</v>
      </c>
      <c r="F13" s="15">
        <v>121127</v>
      </c>
      <c r="G13" s="15">
        <v>0.89712952701856796</v>
      </c>
      <c r="H13" s="15">
        <v>200</v>
      </c>
      <c r="I13" s="78">
        <v>109.22046668447764</v>
      </c>
      <c r="J13" s="79">
        <v>4.6047458171204996</v>
      </c>
      <c r="K13" s="15">
        <v>30</v>
      </c>
      <c r="L13" s="15">
        <v>140.41235076477068</v>
      </c>
      <c r="M13" s="15">
        <v>21.399039976028522</v>
      </c>
      <c r="N13" s="15">
        <v>42.488796240288906</v>
      </c>
      <c r="O13" s="15">
        <v>7.9196779308105283</v>
      </c>
      <c r="P13" s="15">
        <v>16.451290127272763</v>
      </c>
      <c r="Q13" s="15">
        <v>18.117828182205614</v>
      </c>
      <c r="R13" s="15">
        <v>3.3884815001630408</v>
      </c>
      <c r="S13" s="15">
        <v>7.100483317098699</v>
      </c>
      <c r="T13" s="15">
        <v>7.6288633649438724</v>
      </c>
      <c r="U13" s="15">
        <v>0</v>
      </c>
      <c r="V13" s="15">
        <v>0</v>
      </c>
      <c r="W13" s="15">
        <v>1289.9131161793068</v>
      </c>
      <c r="X13" s="15">
        <v>0</v>
      </c>
      <c r="Y13" s="15">
        <v>304.6121390336761</v>
      </c>
      <c r="Z13" s="15">
        <v>0</v>
      </c>
      <c r="AA13" s="15">
        <v>0</v>
      </c>
      <c r="AB13" s="15">
        <v>0</v>
      </c>
      <c r="AC13" s="15">
        <v>304.6121390336761</v>
      </c>
      <c r="AD13" s="15">
        <v>195.39167234919847</v>
      </c>
      <c r="AE13" s="15">
        <v>-16.338962881692922</v>
      </c>
      <c r="AF13" s="15">
        <v>14.27328083982685</v>
      </c>
      <c r="AG13" s="15">
        <v>30.815325140872265</v>
      </c>
      <c r="AH13" s="15">
        <v>0</v>
      </c>
      <c r="AI13" s="15">
        <v>101.46076875000001</v>
      </c>
      <c r="AJ13" s="15">
        <v>0</v>
      </c>
      <c r="AK13" s="15">
        <v>45.823795450192236</v>
      </c>
      <c r="AL13" s="15">
        <v>0</v>
      </c>
      <c r="AM13" s="15">
        <v>19.357465049999998</v>
      </c>
      <c r="AN13" s="15">
        <v>0.64144414260390703</v>
      </c>
      <c r="AO13" s="15">
        <v>109.22046668447764</v>
      </c>
      <c r="AP13" s="15">
        <v>0</v>
      </c>
      <c r="AQ13" s="15">
        <v>0</v>
      </c>
      <c r="AR13" s="15">
        <v>0</v>
      </c>
      <c r="AS13" s="15">
        <v>0</v>
      </c>
      <c r="AT13" s="15">
        <v>0</v>
      </c>
      <c r="AU13" s="15">
        <v>412.15295379377488</v>
      </c>
      <c r="AV13" s="15">
        <v>96.814689227565196</v>
      </c>
      <c r="AW13" s="15">
        <v>96.814689227565196</v>
      </c>
      <c r="AX13" s="15">
        <v>0</v>
      </c>
      <c r="AY13" s="15">
        <v>0</v>
      </c>
      <c r="AZ13" s="15">
        <v>266.3351073752757</v>
      </c>
      <c r="BA13" s="15">
        <v>76.930878417473082</v>
      </c>
      <c r="BB13" s="15">
        <v>78.918428732417752</v>
      </c>
      <c r="BC13" s="15">
        <v>110.48580022538485</v>
      </c>
      <c r="BD13" s="15">
        <v>0</v>
      </c>
      <c r="BE13" s="15">
        <v>49.003157190933997</v>
      </c>
      <c r="BF13" s="15">
        <v>16.677472239125851</v>
      </c>
      <c r="BG13" s="15">
        <v>1.4723613094253223</v>
      </c>
      <c r="BH13" s="15">
        <v>30.853323642382822</v>
      </c>
      <c r="BI13" s="15">
        <v>0</v>
      </c>
      <c r="BJ13" s="15">
        <v>412.15295379377488</v>
      </c>
      <c r="BK13" s="15">
        <v>607.54462614297336</v>
      </c>
      <c r="BL13" s="15">
        <v>1.6510585845487138</v>
      </c>
      <c r="BM13" s="15">
        <v>4.6047458171204996</v>
      </c>
    </row>
    <row r="14" spans="1:65" x14ac:dyDescent="0.35">
      <c r="A14" s="15" t="s">
        <v>10616</v>
      </c>
      <c r="B14" s="15" t="s">
        <v>10455</v>
      </c>
      <c r="C14" s="15" t="s">
        <v>10456</v>
      </c>
      <c r="D14" s="15" t="s">
        <v>10323</v>
      </c>
      <c r="E14" s="15" t="s">
        <v>10619</v>
      </c>
      <c r="F14" s="15">
        <v>121127</v>
      </c>
      <c r="G14" s="15">
        <v>0.89712952701856796</v>
      </c>
      <c r="H14" s="15">
        <v>200</v>
      </c>
      <c r="I14" s="78">
        <v>120.51130469446964</v>
      </c>
      <c r="J14" s="79">
        <v>4.1329465041831179</v>
      </c>
      <c r="K14" s="15">
        <v>30</v>
      </c>
      <c r="L14" s="15">
        <v>140.41235076477068</v>
      </c>
      <c r="M14" s="15">
        <v>21.399039976028522</v>
      </c>
      <c r="N14" s="15">
        <v>42.488796240288906</v>
      </c>
      <c r="O14" s="15">
        <v>7.9196779308105283</v>
      </c>
      <c r="P14" s="15">
        <v>16.451290127272763</v>
      </c>
      <c r="Q14" s="15">
        <v>18.117828182205614</v>
      </c>
      <c r="R14" s="15">
        <v>3.3884815001630408</v>
      </c>
      <c r="S14" s="15">
        <v>7.100483317098699</v>
      </c>
      <c r="T14" s="15">
        <v>7.6288633649438724</v>
      </c>
      <c r="U14" s="15">
        <v>0</v>
      </c>
      <c r="V14" s="15">
        <v>0</v>
      </c>
      <c r="W14" s="15">
        <v>0</v>
      </c>
      <c r="X14" s="15">
        <v>1289913.1161793068</v>
      </c>
      <c r="Y14" s="15">
        <v>304.6121390336761</v>
      </c>
      <c r="Z14" s="15">
        <v>0</v>
      </c>
      <c r="AA14" s="15">
        <v>0</v>
      </c>
      <c r="AB14" s="15">
        <v>0</v>
      </c>
      <c r="AC14" s="15">
        <v>304.6121390336761</v>
      </c>
      <c r="AD14" s="15">
        <v>184.10083433920647</v>
      </c>
      <c r="AE14" s="15">
        <v>-16.338962881692922</v>
      </c>
      <c r="AF14" s="15">
        <v>0</v>
      </c>
      <c r="AG14" s="15">
        <v>0</v>
      </c>
      <c r="AH14" s="15">
        <v>0</v>
      </c>
      <c r="AI14" s="15">
        <v>101.46076875000001</v>
      </c>
      <c r="AJ14" s="15">
        <v>0</v>
      </c>
      <c r="AK14" s="15">
        <v>79.621563420899363</v>
      </c>
      <c r="AL14" s="15">
        <v>0</v>
      </c>
      <c r="AM14" s="15">
        <v>19.357465049999998</v>
      </c>
      <c r="AN14" s="15">
        <v>0.60437786531827409</v>
      </c>
      <c r="AO14" s="15">
        <v>120.51130469446964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5">
        <v>418.57808014602449</v>
      </c>
      <c r="AV14" s="15">
        <v>96.814689227565196</v>
      </c>
      <c r="AW14" s="15">
        <v>96.814689227565196</v>
      </c>
      <c r="AX14" s="15">
        <v>0</v>
      </c>
      <c r="AY14" s="15">
        <v>0</v>
      </c>
      <c r="AZ14" s="15">
        <v>266.3351073752757</v>
      </c>
      <c r="BA14" s="15">
        <v>76.930878417473082</v>
      </c>
      <c r="BB14" s="15">
        <v>78.918428732417752</v>
      </c>
      <c r="BC14" s="15">
        <v>110.48580022538485</v>
      </c>
      <c r="BD14" s="15">
        <v>0</v>
      </c>
      <c r="BE14" s="15">
        <v>55.428283543183625</v>
      </c>
      <c r="BF14" s="15">
        <v>18.931902538160809</v>
      </c>
      <c r="BG14" s="15">
        <v>1.4723613094253223</v>
      </c>
      <c r="BH14" s="15">
        <v>35.024019695597495</v>
      </c>
      <c r="BI14" s="15">
        <v>0</v>
      </c>
      <c r="BJ14" s="15">
        <v>418.57808014602449</v>
      </c>
      <c r="BK14" s="15">
        <v>602.67891448523096</v>
      </c>
      <c r="BL14" s="15">
        <v>1.6350851185103019</v>
      </c>
      <c r="BM14" s="15">
        <v>4.1329465041831179</v>
      </c>
    </row>
    <row r="15" spans="1:65" x14ac:dyDescent="0.35">
      <c r="A15" s="15" t="s">
        <v>10616</v>
      </c>
      <c r="B15" s="15" t="s">
        <v>10455</v>
      </c>
      <c r="C15" s="15" t="s">
        <v>10456</v>
      </c>
      <c r="D15" s="15" t="s">
        <v>10324</v>
      </c>
      <c r="E15" s="15" t="s">
        <v>10620</v>
      </c>
      <c r="F15" s="15">
        <v>121127</v>
      </c>
      <c r="G15" s="15">
        <v>0.89712952701856796</v>
      </c>
      <c r="H15" s="15">
        <v>200</v>
      </c>
      <c r="I15" s="78">
        <v>159.78163446045329</v>
      </c>
      <c r="J15" s="79">
        <v>2.4385176210894466</v>
      </c>
      <c r="K15" s="15">
        <v>30</v>
      </c>
      <c r="L15" s="15">
        <v>103.65084163376727</v>
      </c>
      <c r="M15" s="15">
        <v>18.062837098829167</v>
      </c>
      <c r="N15" s="15">
        <v>42.488796240288906</v>
      </c>
      <c r="O15" s="15">
        <v>5.9705256476853954</v>
      </c>
      <c r="P15" s="15">
        <v>17.147415942674602</v>
      </c>
      <c r="Q15" s="15">
        <v>19.370854649928916</v>
      </c>
      <c r="R15" s="15">
        <v>3.3884815001630408</v>
      </c>
      <c r="S15" s="15">
        <v>8.3535097848219984</v>
      </c>
      <c r="T15" s="15">
        <v>7.6288633649438724</v>
      </c>
      <c r="U15" s="15">
        <v>0</v>
      </c>
      <c r="V15" s="15">
        <v>0</v>
      </c>
      <c r="W15" s="15">
        <v>0</v>
      </c>
      <c r="X15" s="15">
        <v>0</v>
      </c>
      <c r="Y15" s="15">
        <v>267.60417534542665</v>
      </c>
      <c r="Z15" s="15">
        <v>0</v>
      </c>
      <c r="AA15" s="15">
        <v>0</v>
      </c>
      <c r="AB15" s="15">
        <v>0</v>
      </c>
      <c r="AC15" s="15">
        <v>267.60417534542665</v>
      </c>
      <c r="AD15" s="15">
        <v>107.82254088497336</v>
      </c>
      <c r="AE15" s="15">
        <v>-12.995692915026604</v>
      </c>
      <c r="AF15" s="15">
        <v>0</v>
      </c>
      <c r="AG15" s="15">
        <v>0</v>
      </c>
      <c r="AH15" s="15">
        <v>0</v>
      </c>
      <c r="AI15" s="15">
        <v>101.46076875000001</v>
      </c>
      <c r="AJ15" s="15">
        <v>0</v>
      </c>
      <c r="AK15" s="15">
        <v>0</v>
      </c>
      <c r="AL15" s="15">
        <v>0</v>
      </c>
      <c r="AM15" s="15">
        <v>19.357465049999998</v>
      </c>
      <c r="AN15" s="15">
        <v>0.40291800658862942</v>
      </c>
      <c r="AO15" s="15">
        <v>159.78163446045329</v>
      </c>
      <c r="AP15" s="15">
        <v>0</v>
      </c>
      <c r="AQ15" s="15">
        <v>0</v>
      </c>
      <c r="AR15" s="15">
        <v>0</v>
      </c>
      <c r="AS15" s="15">
        <v>0</v>
      </c>
      <c r="AT15" s="15">
        <v>0</v>
      </c>
      <c r="AU15" s="15">
        <v>349.41196561874148</v>
      </c>
      <c r="AV15" s="15">
        <v>93.177046683746696</v>
      </c>
      <c r="AW15" s="15">
        <v>93.177046683746696</v>
      </c>
      <c r="AX15" s="15">
        <v>0</v>
      </c>
      <c r="AY15" s="15">
        <v>0</v>
      </c>
      <c r="AZ15" s="15">
        <v>206.64818815178677</v>
      </c>
      <c r="BA15" s="15">
        <v>76.930878417473082</v>
      </c>
      <c r="BB15" s="15">
        <v>54.048879055964036</v>
      </c>
      <c r="BC15" s="15">
        <v>75.668430678349651</v>
      </c>
      <c r="BD15" s="15">
        <v>0</v>
      </c>
      <c r="BE15" s="15">
        <v>49.586730783208012</v>
      </c>
      <c r="BF15" s="15">
        <v>16.882234903081645</v>
      </c>
      <c r="BG15" s="15">
        <v>1.4723613094253223</v>
      </c>
      <c r="BH15" s="15">
        <v>31.232134570701042</v>
      </c>
      <c r="BI15" s="15">
        <v>0</v>
      </c>
      <c r="BJ15" s="15">
        <v>349.41196561874148</v>
      </c>
      <c r="BK15" s="15">
        <v>457.23450650371484</v>
      </c>
      <c r="BL15" s="15">
        <v>1.4559949621688402</v>
      </c>
      <c r="BM15" s="15">
        <v>2.4385176210894466</v>
      </c>
    </row>
    <row r="16" spans="1:65" x14ac:dyDescent="0.35">
      <c r="A16" s="15" t="s">
        <v>10616</v>
      </c>
      <c r="B16" s="15" t="s">
        <v>10455</v>
      </c>
      <c r="C16" s="15" t="s">
        <v>10456</v>
      </c>
      <c r="D16" s="15" t="s">
        <v>10325</v>
      </c>
      <c r="E16" s="15" t="s">
        <v>10621</v>
      </c>
      <c r="F16" s="15">
        <v>121127</v>
      </c>
      <c r="G16" s="15">
        <v>0.89712952701856796</v>
      </c>
      <c r="H16" s="15">
        <v>200</v>
      </c>
      <c r="I16" s="78">
        <v>204.45845438205828</v>
      </c>
      <c r="J16" s="79">
        <v>1.7441527356530244</v>
      </c>
      <c r="K16" s="15">
        <v>30</v>
      </c>
      <c r="L16" s="15">
        <v>94.766626744151139</v>
      </c>
      <c r="M16" s="15">
        <v>17.104084349961649</v>
      </c>
      <c r="N16" s="15">
        <v>42.488796240288906</v>
      </c>
      <c r="O16" s="15">
        <v>9.5216330154581428</v>
      </c>
      <c r="P16" s="15">
        <v>14.863430700777865</v>
      </c>
      <c r="Q16" s="15">
        <v>18.103732524052898</v>
      </c>
      <c r="R16" s="15">
        <v>3.3884815001630408</v>
      </c>
      <c r="S16" s="15">
        <v>0</v>
      </c>
      <c r="T16" s="15">
        <v>14.715251023889858</v>
      </c>
      <c r="U16" s="15">
        <v>0</v>
      </c>
      <c r="V16" s="15">
        <v>0</v>
      </c>
      <c r="W16" s="15">
        <v>0</v>
      </c>
      <c r="X16" s="15">
        <v>0</v>
      </c>
      <c r="Y16" s="15">
        <v>331.05565178408585</v>
      </c>
      <c r="Z16" s="15">
        <v>0</v>
      </c>
      <c r="AA16" s="15">
        <v>0</v>
      </c>
      <c r="AB16" s="15">
        <v>0</v>
      </c>
      <c r="AC16" s="15">
        <v>331.05565178408585</v>
      </c>
      <c r="AD16" s="15">
        <v>126.59719740202758</v>
      </c>
      <c r="AE16" s="15">
        <v>-12.202024505472435</v>
      </c>
      <c r="AF16" s="15">
        <v>0</v>
      </c>
      <c r="AG16" s="15">
        <v>0</v>
      </c>
      <c r="AH16" s="15">
        <v>0</v>
      </c>
      <c r="AI16" s="15">
        <v>101.46076875000001</v>
      </c>
      <c r="AJ16" s="15">
        <v>0</v>
      </c>
      <c r="AK16" s="15">
        <v>0</v>
      </c>
      <c r="AL16" s="15">
        <v>0</v>
      </c>
      <c r="AM16" s="15">
        <v>37.338453157500005</v>
      </c>
      <c r="AN16" s="15">
        <v>0.38240457977317399</v>
      </c>
      <c r="AO16" s="15">
        <v>204.45845438205828</v>
      </c>
      <c r="AP16" s="15">
        <v>0</v>
      </c>
      <c r="AQ16" s="15">
        <v>0</v>
      </c>
      <c r="AR16" s="15">
        <v>0</v>
      </c>
      <c r="AS16" s="15">
        <v>0</v>
      </c>
      <c r="AT16" s="15">
        <v>0</v>
      </c>
      <c r="AU16" s="15">
        <v>361.06522691991438</v>
      </c>
      <c r="AV16" s="15">
        <v>104.87737265457388</v>
      </c>
      <c r="AW16" s="15">
        <v>104.87737265457388</v>
      </c>
      <c r="AX16" s="15">
        <v>0</v>
      </c>
      <c r="AY16" s="15">
        <v>0</v>
      </c>
      <c r="AZ16" s="15">
        <v>197.40693624814116</v>
      </c>
      <c r="BA16" s="15">
        <v>76.930878417473082</v>
      </c>
      <c r="BB16" s="15">
        <v>50.198357429445025</v>
      </c>
      <c r="BC16" s="15">
        <v>70.277700401223044</v>
      </c>
      <c r="BD16" s="15">
        <v>0</v>
      </c>
      <c r="BE16" s="15">
        <v>58.780918017199355</v>
      </c>
      <c r="BF16" s="15">
        <v>20.108265511499663</v>
      </c>
      <c r="BG16" s="15">
        <v>1.4723613094253223</v>
      </c>
      <c r="BH16" s="15">
        <v>37.200291196274371</v>
      </c>
      <c r="BI16" s="15">
        <v>0</v>
      </c>
      <c r="BJ16" s="15">
        <v>361.06522691991438</v>
      </c>
      <c r="BK16" s="15">
        <v>487.66242432194196</v>
      </c>
      <c r="BL16" s="15">
        <v>1.0771807417153978</v>
      </c>
      <c r="BM16" s="15">
        <v>1.7441527356530244</v>
      </c>
    </row>
    <row r="17" spans="1:65" x14ac:dyDescent="0.35">
      <c r="A17" s="15" t="s">
        <v>10616</v>
      </c>
      <c r="B17" s="15" t="s">
        <v>10455</v>
      </c>
      <c r="C17" s="15" t="s">
        <v>10456</v>
      </c>
      <c r="D17" s="15" t="s">
        <v>10326</v>
      </c>
      <c r="E17" s="15" t="s">
        <v>10622</v>
      </c>
      <c r="F17" s="15">
        <v>121127</v>
      </c>
      <c r="G17" s="15">
        <v>0.89712952701856796</v>
      </c>
      <c r="H17" s="15">
        <v>200</v>
      </c>
      <c r="I17" s="78">
        <v>217.00466400344783</v>
      </c>
      <c r="J17" s="79">
        <v>3.089441903423066</v>
      </c>
      <c r="K17" s="15">
        <v>30</v>
      </c>
      <c r="L17" s="15">
        <v>91.625959515531605</v>
      </c>
      <c r="M17" s="15">
        <v>16.604922834369596</v>
      </c>
      <c r="N17" s="15">
        <v>42.488796240288906</v>
      </c>
      <c r="O17" s="15">
        <v>31.050801829354079</v>
      </c>
      <c r="P17" s="15">
        <v>7.8200629480251722</v>
      </c>
      <c r="Q17" s="15">
        <v>3.6179314629096586</v>
      </c>
      <c r="R17" s="15">
        <v>3.6179314629096586</v>
      </c>
      <c r="S17" s="15">
        <v>0</v>
      </c>
      <c r="T17" s="15">
        <v>0</v>
      </c>
      <c r="U17" s="15">
        <v>26940.824883221958</v>
      </c>
      <c r="V17" s="15">
        <v>0</v>
      </c>
      <c r="W17" s="15">
        <v>0</v>
      </c>
      <c r="X17" s="15">
        <v>0</v>
      </c>
      <c r="Y17" s="15">
        <v>618.38482251385653</v>
      </c>
      <c r="Z17" s="15">
        <v>0</v>
      </c>
      <c r="AA17" s="15">
        <v>0</v>
      </c>
      <c r="AB17" s="15">
        <v>0</v>
      </c>
      <c r="AC17" s="15">
        <v>618.38482251385653</v>
      </c>
      <c r="AD17" s="15">
        <v>401.38015851040871</v>
      </c>
      <c r="AE17" s="15">
        <v>11.135823745201961</v>
      </c>
      <c r="AF17" s="15">
        <v>0</v>
      </c>
      <c r="AG17" s="15">
        <v>0</v>
      </c>
      <c r="AH17" s="15">
        <v>267.2439765357642</v>
      </c>
      <c r="AI17" s="15">
        <v>123.00035822944254</v>
      </c>
      <c r="AJ17" s="15">
        <v>0</v>
      </c>
      <c r="AK17" s="15">
        <v>0</v>
      </c>
      <c r="AL17" s="15">
        <v>0</v>
      </c>
      <c r="AM17" s="15">
        <v>0</v>
      </c>
      <c r="AN17" s="15">
        <v>0.64907828248228838</v>
      </c>
      <c r="AO17" s="15">
        <v>217.00466400344783</v>
      </c>
      <c r="AP17" s="15">
        <v>278.37980028096615</v>
      </c>
      <c r="AQ17" s="15">
        <v>11.135823745201961</v>
      </c>
      <c r="AR17" s="15">
        <v>0</v>
      </c>
      <c r="AS17" s="15">
        <v>0</v>
      </c>
      <c r="AT17" s="15">
        <v>267.2439765357642</v>
      </c>
      <c r="AU17" s="15">
        <v>409.04816593297659</v>
      </c>
      <c r="AV17" s="15">
        <v>147.83233059554814</v>
      </c>
      <c r="AW17" s="15">
        <v>147.83233059554814</v>
      </c>
      <c r="AX17" s="15">
        <v>0</v>
      </c>
      <c r="AY17" s="15">
        <v>0</v>
      </c>
      <c r="AZ17" s="15">
        <v>201.74641533533793</v>
      </c>
      <c r="BA17" s="15">
        <v>82.718698010625445</v>
      </c>
      <c r="BB17" s="15">
        <v>49.594882218630218</v>
      </c>
      <c r="BC17" s="15">
        <v>69.432835106082294</v>
      </c>
      <c r="BD17" s="15">
        <v>0</v>
      </c>
      <c r="BE17" s="15">
        <v>59.469420002090544</v>
      </c>
      <c r="BF17" s="15">
        <v>20.310977903793205</v>
      </c>
      <c r="BG17" s="15">
        <v>1.5831329762799129</v>
      </c>
      <c r="BH17" s="15">
        <v>37.57530912201743</v>
      </c>
      <c r="BI17" s="15">
        <v>0</v>
      </c>
      <c r="BJ17" s="15">
        <v>687.42796621394268</v>
      </c>
      <c r="BK17" s="15">
        <v>1088.8081247243513</v>
      </c>
      <c r="BL17" s="15">
        <v>1.0841522589204107</v>
      </c>
      <c r="BM17" s="15">
        <v>3.089441903423066</v>
      </c>
    </row>
    <row r="18" spans="1:65" x14ac:dyDescent="0.35">
      <c r="A18" s="15" t="s">
        <v>10616</v>
      </c>
      <c r="B18" s="15" t="s">
        <v>10455</v>
      </c>
      <c r="C18" s="15" t="s">
        <v>10456</v>
      </c>
      <c r="D18" s="15" t="s">
        <v>10327</v>
      </c>
      <c r="E18" s="15" t="s">
        <v>10623</v>
      </c>
      <c r="F18" s="15">
        <v>121127</v>
      </c>
      <c r="G18" s="15">
        <v>0.89712952701856796</v>
      </c>
      <c r="H18" s="15">
        <v>200</v>
      </c>
      <c r="I18" s="80">
        <v>1158.1287860627126</v>
      </c>
      <c r="J18" s="81">
        <v>-3.3316915512927897E-2</v>
      </c>
      <c r="K18" s="15">
        <v>30</v>
      </c>
      <c r="L18" s="15">
        <v>120.57350227494283</v>
      </c>
      <c r="M18" s="15">
        <v>26.329970972331548</v>
      </c>
      <c r="N18" s="15">
        <v>42.488796240288906</v>
      </c>
      <c r="O18" s="15">
        <v>31.050801829354079</v>
      </c>
      <c r="P18" s="15">
        <v>7.8200629480251722</v>
      </c>
      <c r="Q18" s="15">
        <v>3.6179314629096586</v>
      </c>
      <c r="R18" s="15">
        <v>3.6179314629096586</v>
      </c>
      <c r="S18" s="15">
        <v>0</v>
      </c>
      <c r="T18" s="15">
        <v>0</v>
      </c>
      <c r="U18" s="15">
        <v>26940.824883221958</v>
      </c>
      <c r="V18" s="15">
        <v>0</v>
      </c>
      <c r="W18" s="15">
        <v>0</v>
      </c>
      <c r="X18" s="15">
        <v>0</v>
      </c>
      <c r="Y18" s="15">
        <v>1521.368249833761</v>
      </c>
      <c r="Z18" s="15">
        <v>0</v>
      </c>
      <c r="AA18" s="15">
        <v>0</v>
      </c>
      <c r="AB18" s="15">
        <v>0</v>
      </c>
      <c r="AC18" s="15">
        <v>1521.368249833761</v>
      </c>
      <c r="AD18" s="15">
        <v>363.23946377104835</v>
      </c>
      <c r="AE18" s="15">
        <v>29.692844057033007</v>
      </c>
      <c r="AF18" s="15">
        <v>0</v>
      </c>
      <c r="AG18" s="15">
        <v>0</v>
      </c>
      <c r="AH18" s="15">
        <v>210.54626148457271</v>
      </c>
      <c r="AI18" s="15">
        <v>123.00035822944254</v>
      </c>
      <c r="AJ18" s="15">
        <v>0</v>
      </c>
      <c r="AK18" s="15">
        <v>0</v>
      </c>
      <c r="AL18" s="15">
        <v>0</v>
      </c>
      <c r="AM18" s="15">
        <v>0</v>
      </c>
      <c r="AN18" s="15">
        <v>0.23875840961630382</v>
      </c>
      <c r="AO18" s="15">
        <v>1158.1287860627126</v>
      </c>
      <c r="AP18" s="15">
        <v>240.23910554160571</v>
      </c>
      <c r="AQ18" s="15">
        <v>29.692844057033007</v>
      </c>
      <c r="AR18" s="15">
        <v>0</v>
      </c>
      <c r="AS18" s="15">
        <v>0</v>
      </c>
      <c r="AT18" s="15">
        <v>210.54626148457271</v>
      </c>
      <c r="AU18" s="15">
        <v>679.30440160276589</v>
      </c>
      <c r="AV18" s="15">
        <v>147.83233059554814</v>
      </c>
      <c r="AW18" s="15">
        <v>147.83233059554814</v>
      </c>
      <c r="AX18" s="15">
        <v>0</v>
      </c>
      <c r="AY18" s="15">
        <v>0</v>
      </c>
      <c r="AZ18" s="15">
        <v>337.89246361168193</v>
      </c>
      <c r="BA18" s="15">
        <v>82.718698010625445</v>
      </c>
      <c r="BB18" s="15">
        <v>106.32240233377354</v>
      </c>
      <c r="BC18" s="15">
        <v>148.85136326728292</v>
      </c>
      <c r="BD18" s="15">
        <v>0</v>
      </c>
      <c r="BE18" s="15">
        <v>193.57960739553579</v>
      </c>
      <c r="BF18" s="15">
        <v>67.367184006756446</v>
      </c>
      <c r="BG18" s="15">
        <v>1.5831329762799129</v>
      </c>
      <c r="BH18" s="15">
        <v>124.62929041249942</v>
      </c>
      <c r="BI18" s="15">
        <v>0</v>
      </c>
      <c r="BJ18" s="15">
        <v>919.54350714437157</v>
      </c>
      <c r="BK18" s="15">
        <v>1282.7829709154198</v>
      </c>
      <c r="BL18" s="15">
        <v>-2.5362221751740473E-2</v>
      </c>
      <c r="BM18" s="15">
        <v>-3.3316915512927897E-2</v>
      </c>
    </row>
    <row r="19" spans="1:65" s="60" customFormat="1" x14ac:dyDescent="0.35">
      <c r="A19" s="59" t="s">
        <v>10616</v>
      </c>
      <c r="B19" s="59" t="s">
        <v>10455</v>
      </c>
      <c r="C19" s="59" t="s">
        <v>10613</v>
      </c>
      <c r="D19" s="59" t="s">
        <v>10322</v>
      </c>
      <c r="E19" s="59" t="s">
        <v>10624</v>
      </c>
      <c r="F19" s="59">
        <v>121127</v>
      </c>
      <c r="G19" s="59">
        <v>0.89712952701856796</v>
      </c>
      <c r="H19" s="59">
        <v>200</v>
      </c>
      <c r="I19" s="59">
        <v>109.22046668447764</v>
      </c>
      <c r="J19" s="88">
        <v>4.6047458171204996</v>
      </c>
      <c r="K19" s="59">
        <v>30</v>
      </c>
      <c r="L19" s="59">
        <v>140.41235076477068</v>
      </c>
      <c r="M19" s="59">
        <v>21.399039976028522</v>
      </c>
      <c r="N19" s="59">
        <v>42.488796240288906</v>
      </c>
      <c r="O19" s="59">
        <v>7.9196779308105283</v>
      </c>
      <c r="P19" s="59">
        <v>16.451290127272763</v>
      </c>
      <c r="Q19" s="59">
        <v>18.117828182205614</v>
      </c>
      <c r="R19" s="59">
        <v>3.3884815001630408</v>
      </c>
      <c r="S19" s="59">
        <v>7.100483317098699</v>
      </c>
      <c r="T19" s="59">
        <v>7.6288633649438724</v>
      </c>
      <c r="U19" s="59">
        <v>0</v>
      </c>
      <c r="V19" s="59">
        <v>0</v>
      </c>
      <c r="W19" s="59">
        <v>1289.9131161793068</v>
      </c>
      <c r="X19" s="59">
        <v>0</v>
      </c>
      <c r="Y19" s="59">
        <v>304.6121390336761</v>
      </c>
      <c r="Z19" s="59">
        <v>0</v>
      </c>
      <c r="AA19" s="59">
        <v>0</v>
      </c>
      <c r="AB19" s="59">
        <v>0</v>
      </c>
      <c r="AC19" s="59">
        <v>304.6121390336761</v>
      </c>
      <c r="AD19" s="59">
        <v>195.39167234919847</v>
      </c>
      <c r="AE19" s="59">
        <v>-16.338962881692922</v>
      </c>
      <c r="AF19" s="59">
        <v>14.27328083982685</v>
      </c>
      <c r="AG19" s="59">
        <v>30.815325140872265</v>
      </c>
      <c r="AH19" s="59">
        <v>0</v>
      </c>
      <c r="AI19" s="59">
        <v>101.46076875000001</v>
      </c>
      <c r="AJ19" s="59">
        <v>0</v>
      </c>
      <c r="AK19" s="59">
        <v>45.823795450192236</v>
      </c>
      <c r="AL19" s="59">
        <v>0</v>
      </c>
      <c r="AM19" s="59">
        <v>19.357465049999998</v>
      </c>
      <c r="AN19" s="59">
        <v>0.64144414260390703</v>
      </c>
      <c r="AO19" s="59">
        <v>109.22046668447764</v>
      </c>
      <c r="AP19" s="59">
        <v>0</v>
      </c>
      <c r="AQ19" s="59">
        <v>0</v>
      </c>
      <c r="AR19" s="59">
        <v>0</v>
      </c>
      <c r="AS19" s="59">
        <v>0</v>
      </c>
      <c r="AT19" s="59">
        <v>0</v>
      </c>
      <c r="AU19" s="59">
        <v>412.15295379377488</v>
      </c>
      <c r="AV19" s="59">
        <v>96.814689227565196</v>
      </c>
      <c r="AW19" s="59">
        <v>96.814689227565196</v>
      </c>
      <c r="AX19" s="59">
        <v>0</v>
      </c>
      <c r="AY19" s="59">
        <v>0</v>
      </c>
      <c r="AZ19" s="59">
        <v>266.3351073752757</v>
      </c>
      <c r="BA19" s="59">
        <v>76.930878417473082</v>
      </c>
      <c r="BB19" s="59">
        <v>78.918428732417752</v>
      </c>
      <c r="BC19" s="59">
        <v>110.48580022538485</v>
      </c>
      <c r="BD19" s="59">
        <v>0</v>
      </c>
      <c r="BE19" s="59">
        <v>49.003157190933997</v>
      </c>
      <c r="BF19" s="59">
        <v>16.677472239125851</v>
      </c>
      <c r="BG19" s="59">
        <v>1.4723613094253223</v>
      </c>
      <c r="BH19" s="59">
        <v>30.853323642382822</v>
      </c>
      <c r="BI19" s="59">
        <v>0</v>
      </c>
      <c r="BJ19" s="59">
        <v>412.15295379377488</v>
      </c>
      <c r="BK19" s="59">
        <v>607.54462614297336</v>
      </c>
      <c r="BL19" s="59">
        <v>1.6510585845487138</v>
      </c>
      <c r="BM19" s="59">
        <v>4.6047458171204996</v>
      </c>
    </row>
    <row r="20" spans="1:65" s="56" customFormat="1" x14ac:dyDescent="0.35">
      <c r="A20" s="55" t="s">
        <v>10616</v>
      </c>
      <c r="B20" s="55" t="s">
        <v>10615</v>
      </c>
      <c r="C20" s="55" t="s">
        <v>9780</v>
      </c>
      <c r="D20" s="55" t="s">
        <v>9780</v>
      </c>
      <c r="E20" s="55" t="s">
        <v>10011</v>
      </c>
      <c r="F20" s="55">
        <f>F19</f>
        <v>121127</v>
      </c>
      <c r="G20" s="55">
        <f>G19</f>
        <v>0.89712952701856796</v>
      </c>
      <c r="H20" s="55">
        <f>(H19*N19)/(N19)</f>
        <v>199.99999999999997</v>
      </c>
      <c r="I20" s="55">
        <f>(I19*N19)/(N19)</f>
        <v>109.22046668447764</v>
      </c>
      <c r="J20" s="89">
        <f>(J19*N19)/(N19)</f>
        <v>4.6047458171204996</v>
      </c>
      <c r="K20" s="55">
        <f t="shared" ref="K20:W20" si="1">K19</f>
        <v>30</v>
      </c>
      <c r="L20" s="55">
        <f t="shared" si="1"/>
        <v>140.41235076477068</v>
      </c>
      <c r="M20" s="55">
        <f t="shared" si="1"/>
        <v>21.399039976028522</v>
      </c>
      <c r="N20" s="55">
        <f t="shared" si="1"/>
        <v>42.488796240288906</v>
      </c>
      <c r="O20" s="55">
        <f t="shared" si="1"/>
        <v>7.9196779308105283</v>
      </c>
      <c r="P20" s="55">
        <f t="shared" si="1"/>
        <v>16.451290127272763</v>
      </c>
      <c r="Q20" s="55">
        <f t="shared" si="1"/>
        <v>18.117828182205614</v>
      </c>
      <c r="R20" s="55">
        <f t="shared" si="1"/>
        <v>3.3884815001630408</v>
      </c>
      <c r="S20" s="55">
        <f t="shared" si="1"/>
        <v>7.100483317098699</v>
      </c>
      <c r="T20" s="55">
        <f t="shared" si="1"/>
        <v>7.6288633649438724</v>
      </c>
      <c r="U20" s="55">
        <f t="shared" si="1"/>
        <v>0</v>
      </c>
      <c r="V20" s="55">
        <f t="shared" si="1"/>
        <v>0</v>
      </c>
      <c r="W20" s="55">
        <f t="shared" si="1"/>
        <v>1289.9131161793068</v>
      </c>
      <c r="X20" s="55">
        <f>(X19*N19)/(N19)</f>
        <v>0</v>
      </c>
      <c r="Y20" s="55">
        <f>(Y19*N19)/(N19)</f>
        <v>304.6121390336761</v>
      </c>
      <c r="Z20" s="55">
        <f>(Z19*N19)/(N19)</f>
        <v>0</v>
      </c>
      <c r="AA20" s="55">
        <f>(AA19*N19)/(N19)</f>
        <v>0</v>
      </c>
      <c r="AB20" s="55">
        <f>(AB19*N19)/(N19)</f>
        <v>0</v>
      </c>
      <c r="AC20" s="55">
        <f>(AC19*N19)/(N19)</f>
        <v>304.6121390336761</v>
      </c>
      <c r="AD20" s="55">
        <f>(AD19*N19)/(N19)</f>
        <v>195.39167234919847</v>
      </c>
      <c r="AE20" s="55">
        <f>(AE19*N19)/(N19)</f>
        <v>-16.338962881692922</v>
      </c>
      <c r="AF20" s="55">
        <f>(AF19*N19)/(N19)</f>
        <v>14.27328083982685</v>
      </c>
      <c r="AG20" s="55">
        <f>(AG19*N19)/(N19)</f>
        <v>30.815325140872265</v>
      </c>
      <c r="AH20" s="55">
        <f>(AH19*N19)/(N19)</f>
        <v>0</v>
      </c>
      <c r="AI20" s="55">
        <f>(AI19*N19)/(N19)</f>
        <v>101.46076875000001</v>
      </c>
      <c r="AJ20" s="55">
        <f>(AJ19*N19)/(N19)</f>
        <v>0</v>
      </c>
      <c r="AK20" s="55">
        <f>(AK19*N19)/(N19)</f>
        <v>45.823795450192236</v>
      </c>
      <c r="AL20" s="55">
        <f>(AL19*N19)/(N19)</f>
        <v>0</v>
      </c>
      <c r="AM20" s="55">
        <f>(AM19*N19)/(N19)</f>
        <v>19.357465049999998</v>
      </c>
      <c r="AN20" s="55">
        <f>(AN19*N19)/(N19)</f>
        <v>0.64144414260390703</v>
      </c>
      <c r="AO20" s="55">
        <f>(AO19*N19)/(N19)</f>
        <v>109.22046668447764</v>
      </c>
      <c r="AP20" s="55">
        <f>(AP19*N19)/(N19)</f>
        <v>0</v>
      </c>
      <c r="AQ20" s="55">
        <f>(AQ19*N19)/(N19)</f>
        <v>0</v>
      </c>
      <c r="AR20" s="55">
        <f>(AR19*N19)/(N19)</f>
        <v>0</v>
      </c>
      <c r="AS20" s="55">
        <f>(AS19*N19)/(N19)</f>
        <v>0</v>
      </c>
      <c r="AT20" s="55">
        <f>(AT19*N19)/(N19)</f>
        <v>0</v>
      </c>
      <c r="AU20" s="55">
        <f>(AU19*N19)/(N19)</f>
        <v>412.15295379377488</v>
      </c>
      <c r="AV20" s="55">
        <f>(AV19*N19)/(N19)</f>
        <v>96.814689227565196</v>
      </c>
      <c r="AW20" s="55">
        <f>(AW19*N19)/(N19)</f>
        <v>96.814689227565196</v>
      </c>
      <c r="AX20" s="55">
        <f>(AX19*N19)/(N19)</f>
        <v>0</v>
      </c>
      <c r="AY20" s="55">
        <f>(AY19*N19)/(N19)</f>
        <v>0</v>
      </c>
      <c r="AZ20" s="55">
        <f>(AZ19*N19)/(N19)</f>
        <v>266.3351073752757</v>
      </c>
      <c r="BA20" s="55">
        <f>(BA19*N19)/(N19)</f>
        <v>76.930878417473082</v>
      </c>
      <c r="BB20" s="55">
        <f>(BB19*N19)/(N19)</f>
        <v>78.918428732417752</v>
      </c>
      <c r="BC20" s="55">
        <f>(BC19*N19)/(N19)</f>
        <v>110.48580022538486</v>
      </c>
      <c r="BD20" s="55">
        <f>(BD19*N19)/(N19)</f>
        <v>0</v>
      </c>
      <c r="BE20" s="55">
        <f>(BE19*N19)/(N19)</f>
        <v>49.003157190933997</v>
      </c>
      <c r="BF20" s="55">
        <f>(BF19*N19)/(N19)</f>
        <v>16.677472239125851</v>
      </c>
      <c r="BG20" s="55">
        <f>(BG19*N19)/(N19)</f>
        <v>1.4723613094253223</v>
      </c>
      <c r="BH20" s="55">
        <f>(BH19*N19)/(N19)</f>
        <v>30.853323642382822</v>
      </c>
      <c r="BI20" s="55">
        <f>(BI19*N19)/(N19)</f>
        <v>0</v>
      </c>
      <c r="BJ20" s="55">
        <f>(BJ19*N19)/(N19)</f>
        <v>412.15295379377488</v>
      </c>
      <c r="BK20" s="55">
        <f>(BK19*N19)/(N19)</f>
        <v>607.54462614297336</v>
      </c>
      <c r="BL20" s="55">
        <f>(BL19*N19)/(N19)</f>
        <v>1.6510585845487138</v>
      </c>
      <c r="BM20" s="55">
        <f>(BM19*N19)/(N19)</f>
        <v>4.6047458171204996</v>
      </c>
    </row>
    <row r="21" spans="1:65" x14ac:dyDescent="0.35">
      <c r="A21" s="15" t="s">
        <v>10625</v>
      </c>
      <c r="B21" s="15" t="s">
        <v>10455</v>
      </c>
      <c r="C21" s="15" t="s">
        <v>10456</v>
      </c>
      <c r="D21" s="15" t="s">
        <v>10321</v>
      </c>
      <c r="E21" s="15" t="s">
        <v>10626</v>
      </c>
      <c r="F21" s="15">
        <v>121127</v>
      </c>
      <c r="G21" s="15">
        <v>0.89712952701856796</v>
      </c>
      <c r="H21" s="15">
        <v>200</v>
      </c>
      <c r="I21" s="78">
        <v>163.22656973881664</v>
      </c>
      <c r="J21" s="79">
        <v>2.5909101746344239</v>
      </c>
      <c r="K21" s="15">
        <v>30</v>
      </c>
      <c r="L21" s="15">
        <v>105.69625940260569</v>
      </c>
      <c r="M21" s="15">
        <v>18.841259942988167</v>
      </c>
      <c r="N21" s="15">
        <v>42.488796240288906</v>
      </c>
      <c r="O21" s="15">
        <v>7.9196779308105283</v>
      </c>
      <c r="P21" s="15">
        <v>16.451290127272763</v>
      </c>
      <c r="Q21" s="15">
        <v>18.117828182205614</v>
      </c>
      <c r="R21" s="15">
        <v>3.3884815001630408</v>
      </c>
      <c r="S21" s="15">
        <v>7.100483317098699</v>
      </c>
      <c r="T21" s="15">
        <v>7.6288633649438724</v>
      </c>
      <c r="U21" s="15">
        <v>0</v>
      </c>
      <c r="V21" s="15">
        <v>5159.6524647172273</v>
      </c>
      <c r="W21" s="15">
        <v>0</v>
      </c>
      <c r="X21" s="15">
        <v>0</v>
      </c>
      <c r="Y21" s="15">
        <v>304.6121390336761</v>
      </c>
      <c r="Z21" s="15">
        <v>0</v>
      </c>
      <c r="AA21" s="15">
        <v>0</v>
      </c>
      <c r="AB21" s="15">
        <v>0</v>
      </c>
      <c r="AC21" s="15">
        <v>304.6121390336761</v>
      </c>
      <c r="AD21" s="15">
        <v>141.38556929485947</v>
      </c>
      <c r="AE21" s="15">
        <v>14.379008362973781</v>
      </c>
      <c r="AF21" s="15">
        <v>0</v>
      </c>
      <c r="AG21" s="15">
        <v>0</v>
      </c>
      <c r="AH21" s="15">
        <v>25.545792181885687</v>
      </c>
      <c r="AI21" s="15">
        <v>101.46076875000001</v>
      </c>
      <c r="AJ21" s="15">
        <v>0</v>
      </c>
      <c r="AK21" s="15">
        <v>0</v>
      </c>
      <c r="AL21" s="15">
        <v>0</v>
      </c>
      <c r="AM21" s="15">
        <v>0</v>
      </c>
      <c r="AN21" s="15">
        <v>0.46414949103268904</v>
      </c>
      <c r="AO21" s="15">
        <v>163.22656973881664</v>
      </c>
      <c r="AP21" s="15">
        <v>39.924800544859465</v>
      </c>
      <c r="AQ21" s="15">
        <v>14.379008362973781</v>
      </c>
      <c r="AR21" s="15">
        <v>0</v>
      </c>
      <c r="AS21" s="15">
        <v>0</v>
      </c>
      <c r="AT21" s="15">
        <v>25.545792181885687</v>
      </c>
      <c r="AU21" s="15">
        <v>346.20714950093253</v>
      </c>
      <c r="AV21" s="15">
        <v>61.280874999999988</v>
      </c>
      <c r="AW21" s="15">
        <v>61.280874999999988</v>
      </c>
      <c r="AX21" s="15">
        <v>0</v>
      </c>
      <c r="AY21" s="15">
        <v>0</v>
      </c>
      <c r="AZ21" s="15">
        <v>245.73596745685086</v>
      </c>
      <c r="BA21" s="15">
        <v>76.930878417473082</v>
      </c>
      <c r="BB21" s="15">
        <v>70.335453766407412</v>
      </c>
      <c r="BC21" s="15">
        <v>98.469635272970379</v>
      </c>
      <c r="BD21" s="15">
        <v>0</v>
      </c>
      <c r="BE21" s="15">
        <v>39.190307044081692</v>
      </c>
      <c r="BF21" s="15">
        <v>13.234366924440833</v>
      </c>
      <c r="BG21" s="15">
        <v>1.4723613094253223</v>
      </c>
      <c r="BH21" s="15">
        <v>24.483578810215537</v>
      </c>
      <c r="BI21" s="15">
        <v>0</v>
      </c>
      <c r="BJ21" s="15">
        <v>386.131950045792</v>
      </c>
      <c r="BK21" s="15">
        <v>527.51751934065146</v>
      </c>
      <c r="BL21" s="15">
        <v>1.3883405357664405</v>
      </c>
      <c r="BM21" s="15">
        <v>2.5909101746344239</v>
      </c>
    </row>
    <row r="22" spans="1:65" x14ac:dyDescent="0.35">
      <c r="A22" s="15" t="s">
        <v>10625</v>
      </c>
      <c r="B22" s="15" t="s">
        <v>10455</v>
      </c>
      <c r="C22" s="15" t="s">
        <v>10456</v>
      </c>
      <c r="D22" s="15" t="s">
        <v>10322</v>
      </c>
      <c r="E22" s="15" t="s">
        <v>10627</v>
      </c>
      <c r="F22" s="15">
        <v>121127</v>
      </c>
      <c r="G22" s="15">
        <v>0.89712952701856796</v>
      </c>
      <c r="H22" s="15">
        <v>200</v>
      </c>
      <c r="I22" s="80">
        <v>344.17321908263199</v>
      </c>
      <c r="J22" s="79">
        <v>0.67240604698246753</v>
      </c>
      <c r="K22" s="15">
        <v>30</v>
      </c>
      <c r="L22" s="15">
        <v>105.69625940260569</v>
      </c>
      <c r="M22" s="15">
        <v>18.841259942988167</v>
      </c>
      <c r="N22" s="15">
        <v>42.488796240288906</v>
      </c>
      <c r="O22" s="15">
        <v>7.9196779308105283</v>
      </c>
      <c r="P22" s="15">
        <v>16.451290127272763</v>
      </c>
      <c r="Q22" s="15">
        <v>18.117828182205614</v>
      </c>
      <c r="R22" s="15">
        <v>3.3884815001630408</v>
      </c>
      <c r="S22" s="15">
        <v>7.100483317098699</v>
      </c>
      <c r="T22" s="15">
        <v>7.6288633649438724</v>
      </c>
      <c r="U22" s="15">
        <v>0</v>
      </c>
      <c r="V22" s="15">
        <v>0</v>
      </c>
      <c r="W22" s="15">
        <v>1289.9131161793068</v>
      </c>
      <c r="X22" s="15">
        <v>0</v>
      </c>
      <c r="Y22" s="15">
        <v>304.6121390336761</v>
      </c>
      <c r="Z22" s="15">
        <v>0</v>
      </c>
      <c r="AA22" s="15">
        <v>0</v>
      </c>
      <c r="AB22" s="15">
        <v>0</v>
      </c>
      <c r="AC22" s="15">
        <v>304.6121390336761</v>
      </c>
      <c r="AD22" s="15">
        <v>-39.561080048955887</v>
      </c>
      <c r="AE22" s="15">
        <v>-16.338962881692922</v>
      </c>
      <c r="AF22" s="15">
        <v>14.27328083982685</v>
      </c>
      <c r="AG22" s="15">
        <v>-164.25669848192598</v>
      </c>
      <c r="AH22" s="15">
        <v>0</v>
      </c>
      <c r="AI22" s="15">
        <v>101.46076875000001</v>
      </c>
      <c r="AJ22" s="15">
        <v>0</v>
      </c>
      <c r="AK22" s="15">
        <v>25.300531724836187</v>
      </c>
      <c r="AL22" s="15">
        <v>0</v>
      </c>
      <c r="AM22" s="15">
        <v>0</v>
      </c>
      <c r="AN22" s="15">
        <v>-0.12987361624673222</v>
      </c>
      <c r="AO22" s="15">
        <v>344.17321908263199</v>
      </c>
      <c r="AP22" s="15">
        <v>0</v>
      </c>
      <c r="AQ22" s="15">
        <v>0</v>
      </c>
      <c r="AR22" s="15">
        <v>0</v>
      </c>
      <c r="AS22" s="15">
        <v>0</v>
      </c>
      <c r="AT22" s="15">
        <v>0</v>
      </c>
      <c r="AU22" s="15">
        <v>375.59737280321536</v>
      </c>
      <c r="AV22" s="15">
        <v>61.280874999999988</v>
      </c>
      <c r="AW22" s="15">
        <v>61.280874999999988</v>
      </c>
      <c r="AX22" s="15">
        <v>0</v>
      </c>
      <c r="AY22" s="15">
        <v>0</v>
      </c>
      <c r="AZ22" s="15">
        <v>245.73596745685086</v>
      </c>
      <c r="BA22" s="15">
        <v>76.930878417473082</v>
      </c>
      <c r="BB22" s="15">
        <v>70.335453766407412</v>
      </c>
      <c r="BC22" s="15">
        <v>98.469635272970379</v>
      </c>
      <c r="BD22" s="15">
        <v>0</v>
      </c>
      <c r="BE22" s="15">
        <v>68.58053034636454</v>
      </c>
      <c r="BF22" s="15">
        <v>23.546725977873411</v>
      </c>
      <c r="BG22" s="15">
        <v>1.4723613094253223</v>
      </c>
      <c r="BH22" s="15">
        <v>43.561443059065809</v>
      </c>
      <c r="BI22" s="15">
        <v>0</v>
      </c>
      <c r="BJ22" s="15">
        <v>375.59737280321536</v>
      </c>
      <c r="BK22" s="15">
        <v>336.03629275425948</v>
      </c>
      <c r="BL22" s="15">
        <v>0.75973385189025067</v>
      </c>
      <c r="BM22" s="15">
        <v>0.67240604698246753</v>
      </c>
    </row>
    <row r="23" spans="1:65" x14ac:dyDescent="0.35">
      <c r="A23" s="15" t="s">
        <v>10625</v>
      </c>
      <c r="B23" s="15" t="s">
        <v>10455</v>
      </c>
      <c r="C23" s="15" t="s">
        <v>10456</v>
      </c>
      <c r="D23" s="15" t="s">
        <v>10323</v>
      </c>
      <c r="E23" s="15" t="s">
        <v>10628</v>
      </c>
      <c r="F23" s="15">
        <v>121127</v>
      </c>
      <c r="G23" s="15">
        <v>0.89712952701856796</v>
      </c>
      <c r="H23" s="15">
        <v>200</v>
      </c>
      <c r="I23" s="78">
        <v>188.35800482446962</v>
      </c>
      <c r="J23" s="79">
        <v>1.9424007559736949</v>
      </c>
      <c r="K23" s="15">
        <v>30</v>
      </c>
      <c r="L23" s="15">
        <v>105.69625940260569</v>
      </c>
      <c r="M23" s="15">
        <v>18.841259942988167</v>
      </c>
      <c r="N23" s="15">
        <v>42.488796240288906</v>
      </c>
      <c r="O23" s="15">
        <v>7.9196779308105283</v>
      </c>
      <c r="P23" s="15">
        <v>16.451290127272763</v>
      </c>
      <c r="Q23" s="15">
        <v>18.117828182205614</v>
      </c>
      <c r="R23" s="15">
        <v>3.3884815001630408</v>
      </c>
      <c r="S23" s="15">
        <v>7.100483317098699</v>
      </c>
      <c r="T23" s="15">
        <v>7.6288633649438724</v>
      </c>
      <c r="U23" s="15">
        <v>0</v>
      </c>
      <c r="V23" s="15">
        <v>0</v>
      </c>
      <c r="W23" s="15">
        <v>0</v>
      </c>
      <c r="X23" s="15">
        <v>1289913.1161793068</v>
      </c>
      <c r="Y23" s="15">
        <v>304.6121390336761</v>
      </c>
      <c r="Z23" s="15">
        <v>0</v>
      </c>
      <c r="AA23" s="15">
        <v>0</v>
      </c>
      <c r="AB23" s="15">
        <v>0</v>
      </c>
      <c r="AC23" s="15">
        <v>304.6121390336761</v>
      </c>
      <c r="AD23" s="15">
        <v>116.25413420920648</v>
      </c>
      <c r="AE23" s="15">
        <v>-16.338962881692922</v>
      </c>
      <c r="AF23" s="15">
        <v>0</v>
      </c>
      <c r="AG23" s="15">
        <v>0</v>
      </c>
      <c r="AH23" s="15">
        <v>0</v>
      </c>
      <c r="AI23" s="15">
        <v>101.46076875000001</v>
      </c>
      <c r="AJ23" s="15">
        <v>0</v>
      </c>
      <c r="AK23" s="15">
        <v>31.132328340899367</v>
      </c>
      <c r="AL23" s="15">
        <v>0</v>
      </c>
      <c r="AM23" s="15">
        <v>0</v>
      </c>
      <c r="AN23" s="15">
        <v>0.38164642610107574</v>
      </c>
      <c r="AO23" s="15">
        <v>188.35800482446962</v>
      </c>
      <c r="AP23" s="15">
        <v>0</v>
      </c>
      <c r="AQ23" s="15">
        <v>0</v>
      </c>
      <c r="AR23" s="15">
        <v>0</v>
      </c>
      <c r="AS23" s="15">
        <v>0</v>
      </c>
      <c r="AT23" s="15">
        <v>0</v>
      </c>
      <c r="AU23" s="15">
        <v>354.22473578921625</v>
      </c>
      <c r="AV23" s="15">
        <v>61.280874999999988</v>
      </c>
      <c r="AW23" s="15">
        <v>61.280874999999988</v>
      </c>
      <c r="AX23" s="15">
        <v>0</v>
      </c>
      <c r="AY23" s="15">
        <v>0</v>
      </c>
      <c r="AZ23" s="15">
        <v>245.73596745685086</v>
      </c>
      <c r="BA23" s="15">
        <v>76.930878417473082</v>
      </c>
      <c r="BB23" s="15">
        <v>70.335453766407412</v>
      </c>
      <c r="BC23" s="15">
        <v>98.469635272970379</v>
      </c>
      <c r="BD23" s="15">
        <v>0</v>
      </c>
      <c r="BE23" s="15">
        <v>47.207893332365408</v>
      </c>
      <c r="BF23" s="15">
        <v>16.047555095768452</v>
      </c>
      <c r="BG23" s="15">
        <v>1.4723613094253223</v>
      </c>
      <c r="BH23" s="15">
        <v>29.687976927171633</v>
      </c>
      <c r="BI23" s="15">
        <v>0</v>
      </c>
      <c r="BJ23" s="15">
        <v>354.22473578921625</v>
      </c>
      <c r="BK23" s="15">
        <v>470.47886999842274</v>
      </c>
      <c r="BL23" s="15">
        <v>1.2010904494003063</v>
      </c>
      <c r="BM23" s="15">
        <v>1.9424007559736949</v>
      </c>
    </row>
    <row r="24" spans="1:65" x14ac:dyDescent="0.35">
      <c r="A24" s="15" t="s">
        <v>10625</v>
      </c>
      <c r="B24" s="15" t="s">
        <v>10455</v>
      </c>
      <c r="C24" s="15" t="s">
        <v>10456</v>
      </c>
      <c r="D24" s="15" t="s">
        <v>10324</v>
      </c>
      <c r="E24" s="15" t="s">
        <v>10629</v>
      </c>
      <c r="F24" s="15">
        <v>121127</v>
      </c>
      <c r="G24" s="15">
        <v>0.89712952701856796</v>
      </c>
      <c r="H24" s="15">
        <v>200</v>
      </c>
      <c r="I24" s="78">
        <v>179.13909951045326</v>
      </c>
      <c r="J24" s="79">
        <v>1.7174477277949824</v>
      </c>
      <c r="K24" s="15">
        <v>30</v>
      </c>
      <c r="L24" s="15">
        <v>68.643418036522377</v>
      </c>
      <c r="M24" s="15">
        <v>15.531068458441439</v>
      </c>
      <c r="N24" s="15">
        <v>42.488796240288906</v>
      </c>
      <c r="O24" s="15">
        <v>5.9705256476853954</v>
      </c>
      <c r="P24" s="15">
        <v>17.147415942674602</v>
      </c>
      <c r="Q24" s="15">
        <v>19.370854649928916</v>
      </c>
      <c r="R24" s="15">
        <v>3.3884815001630408</v>
      </c>
      <c r="S24" s="15">
        <v>8.3535097848219984</v>
      </c>
      <c r="T24" s="15">
        <v>7.6288633649438724</v>
      </c>
      <c r="U24" s="15">
        <v>0</v>
      </c>
      <c r="V24" s="15">
        <v>0</v>
      </c>
      <c r="W24" s="15">
        <v>0</v>
      </c>
      <c r="X24" s="15">
        <v>0</v>
      </c>
      <c r="Y24" s="15">
        <v>267.60417534542665</v>
      </c>
      <c r="Z24" s="15">
        <v>0</v>
      </c>
      <c r="AA24" s="15">
        <v>0</v>
      </c>
      <c r="AB24" s="15">
        <v>0</v>
      </c>
      <c r="AC24" s="15">
        <v>267.60417534542665</v>
      </c>
      <c r="AD24" s="15">
        <v>88.465075834973391</v>
      </c>
      <c r="AE24" s="15">
        <v>-12.995692915026604</v>
      </c>
      <c r="AF24" s="15">
        <v>0</v>
      </c>
      <c r="AG24" s="15">
        <v>0</v>
      </c>
      <c r="AH24" s="15">
        <v>0</v>
      </c>
      <c r="AI24" s="15">
        <v>101.46076875000001</v>
      </c>
      <c r="AJ24" s="15">
        <v>0</v>
      </c>
      <c r="AK24" s="15">
        <v>0</v>
      </c>
      <c r="AL24" s="15">
        <v>0</v>
      </c>
      <c r="AM24" s="15">
        <v>0</v>
      </c>
      <c r="AN24" s="15">
        <v>0.33058182190461571</v>
      </c>
      <c r="AO24" s="15">
        <v>179.13909951045326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5">
        <v>286.80113892392046</v>
      </c>
      <c r="AV24" s="15">
        <v>59.642499999999984</v>
      </c>
      <c r="AW24" s="15">
        <v>59.642499999999984</v>
      </c>
      <c r="AX24" s="15">
        <v>0</v>
      </c>
      <c r="AY24" s="15">
        <v>0</v>
      </c>
      <c r="AZ24" s="15">
        <v>185.70079638738059</v>
      </c>
      <c r="BA24" s="15">
        <v>76.930878417473082</v>
      </c>
      <c r="BB24" s="15">
        <v>45.320799154128132</v>
      </c>
      <c r="BC24" s="15">
        <v>63.449118815779386</v>
      </c>
      <c r="BD24" s="15">
        <v>0</v>
      </c>
      <c r="BE24" s="15">
        <v>41.457842536539914</v>
      </c>
      <c r="BF24" s="15">
        <v>14.029993413022664</v>
      </c>
      <c r="BG24" s="15">
        <v>1.4723613094253223</v>
      </c>
      <c r="BH24" s="15">
        <v>25.955487814091928</v>
      </c>
      <c r="BI24" s="15">
        <v>0</v>
      </c>
      <c r="BJ24" s="15">
        <v>286.80113892392046</v>
      </c>
      <c r="BK24" s="15">
        <v>375.26621475889385</v>
      </c>
      <c r="BL24" s="15">
        <v>1.1496907289145746</v>
      </c>
      <c r="BM24" s="15">
        <v>1.7174477277949824</v>
      </c>
    </row>
    <row r="25" spans="1:65" x14ac:dyDescent="0.35">
      <c r="A25" s="15" t="s">
        <v>10625</v>
      </c>
      <c r="B25" s="15" t="s">
        <v>10455</v>
      </c>
      <c r="C25" s="15" t="s">
        <v>10456</v>
      </c>
      <c r="D25" s="15" t="s">
        <v>10325</v>
      </c>
      <c r="E25" s="15" t="s">
        <v>10630</v>
      </c>
      <c r="F25" s="15">
        <v>121127</v>
      </c>
      <c r="G25" s="15">
        <v>0.89712952701856796</v>
      </c>
      <c r="H25" s="15">
        <v>200</v>
      </c>
      <c r="I25" s="78">
        <v>241.79690753955828</v>
      </c>
      <c r="J25" s="79">
        <v>1.03699416977942</v>
      </c>
      <c r="K25" s="15">
        <v>30</v>
      </c>
      <c r="L25" s="15">
        <v>60.758568561497214</v>
      </c>
      <c r="M25" s="15">
        <v>14.510608718421915</v>
      </c>
      <c r="N25" s="15">
        <v>42.488796240288906</v>
      </c>
      <c r="O25" s="15">
        <v>9.5216330154581428</v>
      </c>
      <c r="P25" s="15">
        <v>14.863430700777865</v>
      </c>
      <c r="Q25" s="15">
        <v>18.103732524052898</v>
      </c>
      <c r="R25" s="15">
        <v>3.3884815001630408</v>
      </c>
      <c r="S25" s="15">
        <v>0</v>
      </c>
      <c r="T25" s="15">
        <v>14.715251023889858</v>
      </c>
      <c r="U25" s="15">
        <v>0</v>
      </c>
      <c r="V25" s="15">
        <v>0</v>
      </c>
      <c r="W25" s="15">
        <v>0</v>
      </c>
      <c r="X25" s="15">
        <v>0</v>
      </c>
      <c r="Y25" s="15">
        <v>331.05565178408585</v>
      </c>
      <c r="Z25" s="15">
        <v>0</v>
      </c>
      <c r="AA25" s="15">
        <v>0</v>
      </c>
      <c r="AB25" s="15">
        <v>0</v>
      </c>
      <c r="AC25" s="15">
        <v>331.05565178408585</v>
      </c>
      <c r="AD25" s="15">
        <v>89.258744244527577</v>
      </c>
      <c r="AE25" s="15">
        <v>-12.202024505472435</v>
      </c>
      <c r="AF25" s="15">
        <v>0</v>
      </c>
      <c r="AG25" s="15">
        <v>0</v>
      </c>
      <c r="AH25" s="15">
        <v>0</v>
      </c>
      <c r="AI25" s="15">
        <v>101.46076875000001</v>
      </c>
      <c r="AJ25" s="15">
        <v>0</v>
      </c>
      <c r="AK25" s="15">
        <v>0</v>
      </c>
      <c r="AL25" s="15">
        <v>0</v>
      </c>
      <c r="AM25" s="15">
        <v>0</v>
      </c>
      <c r="AN25" s="15">
        <v>0.2696185483120585</v>
      </c>
      <c r="AO25" s="15">
        <v>241.79690753955828</v>
      </c>
      <c r="AP25" s="15">
        <v>0</v>
      </c>
      <c r="AQ25" s="15">
        <v>0</v>
      </c>
      <c r="AR25" s="15">
        <v>0</v>
      </c>
      <c r="AS25" s="15">
        <v>0</v>
      </c>
      <c r="AT25" s="15">
        <v>0</v>
      </c>
      <c r="AU25" s="15">
        <v>292.5388909287737</v>
      </c>
      <c r="AV25" s="15">
        <v>65.018000000000001</v>
      </c>
      <c r="AW25" s="15">
        <v>65.018000000000001</v>
      </c>
      <c r="AX25" s="15">
        <v>0</v>
      </c>
      <c r="AY25" s="15">
        <v>0</v>
      </c>
      <c r="AZ25" s="15">
        <v>177.13431074808634</v>
      </c>
      <c r="BA25" s="15">
        <v>76.930878417473082</v>
      </c>
      <c r="BB25" s="15">
        <v>41.75143013775552</v>
      </c>
      <c r="BC25" s="15">
        <v>58.452002192857726</v>
      </c>
      <c r="BD25" s="15">
        <v>0</v>
      </c>
      <c r="BE25" s="15">
        <v>50.386580180687375</v>
      </c>
      <c r="BF25" s="15">
        <v>17.162883814477915</v>
      </c>
      <c r="BG25" s="15">
        <v>1.4723613094253223</v>
      </c>
      <c r="BH25" s="15">
        <v>31.751335056784139</v>
      </c>
      <c r="BI25" s="15">
        <v>0</v>
      </c>
      <c r="BJ25" s="15">
        <v>292.5388909287737</v>
      </c>
      <c r="BK25" s="15">
        <v>381.79763517330127</v>
      </c>
      <c r="BL25" s="15">
        <v>0.75740130711542442</v>
      </c>
      <c r="BM25" s="15">
        <v>1.03699416977942</v>
      </c>
    </row>
    <row r="26" spans="1:65" x14ac:dyDescent="0.35">
      <c r="A26" s="15" t="s">
        <v>10625</v>
      </c>
      <c r="B26" s="15" t="s">
        <v>10455</v>
      </c>
      <c r="C26" s="15" t="s">
        <v>10456</v>
      </c>
      <c r="D26" s="15" t="s">
        <v>10326</v>
      </c>
      <c r="E26" s="15" t="s">
        <v>10631</v>
      </c>
      <c r="F26" s="15">
        <v>121127</v>
      </c>
      <c r="G26" s="15">
        <v>0.89712952701856796</v>
      </c>
      <c r="H26" s="15">
        <v>200</v>
      </c>
      <c r="I26" s="78">
        <v>196.95235387478408</v>
      </c>
      <c r="J26" s="79">
        <v>3.1177898149069936</v>
      </c>
      <c r="K26" s="15">
        <v>30</v>
      </c>
      <c r="L26" s="15">
        <v>60.758568561497214</v>
      </c>
      <c r="M26" s="15">
        <v>13.853109995397913</v>
      </c>
      <c r="N26" s="15">
        <v>42.488796240288906</v>
      </c>
      <c r="O26" s="15">
        <v>31.050801829354079</v>
      </c>
      <c r="P26" s="15">
        <v>7.8200629480251722</v>
      </c>
      <c r="Q26" s="15">
        <v>3.6179314629096586</v>
      </c>
      <c r="R26" s="15">
        <v>3.6179314629096586</v>
      </c>
      <c r="S26" s="15">
        <v>0</v>
      </c>
      <c r="T26" s="15">
        <v>0</v>
      </c>
      <c r="U26" s="15">
        <v>26940.824883221958</v>
      </c>
      <c r="V26" s="15">
        <v>0</v>
      </c>
      <c r="W26" s="15">
        <v>0</v>
      </c>
      <c r="X26" s="15">
        <v>0</v>
      </c>
      <c r="Y26" s="15">
        <v>619.26758411939954</v>
      </c>
      <c r="Z26" s="15">
        <v>0</v>
      </c>
      <c r="AA26" s="15">
        <v>0</v>
      </c>
      <c r="AB26" s="15">
        <v>0</v>
      </c>
      <c r="AC26" s="15">
        <v>619.26758411939954</v>
      </c>
      <c r="AD26" s="15">
        <v>422.31523024461546</v>
      </c>
      <c r="AE26" s="15">
        <v>12.018585350744981</v>
      </c>
      <c r="AF26" s="15">
        <v>0</v>
      </c>
      <c r="AG26" s="15">
        <v>0</v>
      </c>
      <c r="AH26" s="15">
        <v>287.29628666442795</v>
      </c>
      <c r="AI26" s="15">
        <v>123.00035822944254</v>
      </c>
      <c r="AJ26" s="15">
        <v>0</v>
      </c>
      <c r="AK26" s="15">
        <v>0</v>
      </c>
      <c r="AL26" s="15">
        <v>0</v>
      </c>
      <c r="AM26" s="15">
        <v>0</v>
      </c>
      <c r="AN26" s="15">
        <v>0.68195920644732122</v>
      </c>
      <c r="AO26" s="15">
        <v>196.95235387478408</v>
      </c>
      <c r="AP26" s="15">
        <v>299.31487201517291</v>
      </c>
      <c r="AQ26" s="15">
        <v>12.018585350744981</v>
      </c>
      <c r="AR26" s="15">
        <v>0</v>
      </c>
      <c r="AS26" s="15">
        <v>0</v>
      </c>
      <c r="AT26" s="15">
        <v>287.29628666442795</v>
      </c>
      <c r="AU26" s="15">
        <v>311.69352479237091</v>
      </c>
      <c r="AV26" s="15">
        <v>81.594999999999999</v>
      </c>
      <c r="AW26" s="15">
        <v>81.594999999999999</v>
      </c>
      <c r="AX26" s="15">
        <v>0</v>
      </c>
      <c r="AY26" s="15">
        <v>0</v>
      </c>
      <c r="AZ26" s="15">
        <v>182.9221303412387</v>
      </c>
      <c r="BA26" s="15">
        <v>82.718698010625445</v>
      </c>
      <c r="BB26" s="15">
        <v>41.75143013775552</v>
      </c>
      <c r="BC26" s="15">
        <v>58.452002192857726</v>
      </c>
      <c r="BD26" s="15">
        <v>0</v>
      </c>
      <c r="BE26" s="15">
        <v>47.176394451132211</v>
      </c>
      <c r="BF26" s="15">
        <v>15.997635605211332</v>
      </c>
      <c r="BG26" s="15">
        <v>1.5831329762799129</v>
      </c>
      <c r="BH26" s="15">
        <v>29.595625869640962</v>
      </c>
      <c r="BI26" s="15">
        <v>0</v>
      </c>
      <c r="BJ26" s="15">
        <v>611.00839680754382</v>
      </c>
      <c r="BK26" s="15">
        <v>1033.3236270521593</v>
      </c>
      <c r="BL26" s="15">
        <v>0.99158434686347963</v>
      </c>
      <c r="BM26" s="15">
        <v>3.1177898149069936</v>
      </c>
    </row>
    <row r="27" spans="1:65" x14ac:dyDescent="0.35">
      <c r="A27" s="15" t="s">
        <v>10625</v>
      </c>
      <c r="B27" s="15" t="s">
        <v>10455</v>
      </c>
      <c r="C27" s="15" t="s">
        <v>10456</v>
      </c>
      <c r="D27" s="15" t="s">
        <v>10327</v>
      </c>
      <c r="E27" s="15" t="s">
        <v>10632</v>
      </c>
      <c r="F27" s="15">
        <v>121127</v>
      </c>
      <c r="G27" s="15">
        <v>0.89712952701856796</v>
      </c>
      <c r="H27" s="15">
        <v>200</v>
      </c>
      <c r="I27" s="80">
        <v>1138.0764759340489</v>
      </c>
      <c r="J27" s="81">
        <v>-8.1542390156229785E-2</v>
      </c>
      <c r="K27" s="15">
        <v>30</v>
      </c>
      <c r="L27" s="15">
        <v>89.706111320908434</v>
      </c>
      <c r="M27" s="15">
        <v>23.578158133359857</v>
      </c>
      <c r="N27" s="15">
        <v>42.488796240288906</v>
      </c>
      <c r="O27" s="15">
        <v>31.050801829354079</v>
      </c>
      <c r="P27" s="15">
        <v>7.8200629480251722</v>
      </c>
      <c r="Q27" s="15">
        <v>3.6179314629096586</v>
      </c>
      <c r="R27" s="15">
        <v>3.6179314629096586</v>
      </c>
      <c r="S27" s="15">
        <v>0</v>
      </c>
      <c r="T27" s="15">
        <v>0</v>
      </c>
      <c r="U27" s="15">
        <v>26940.824883221958</v>
      </c>
      <c r="V27" s="15">
        <v>0</v>
      </c>
      <c r="W27" s="15">
        <v>0</v>
      </c>
      <c r="X27" s="15">
        <v>0</v>
      </c>
      <c r="Y27" s="15">
        <v>1524.4020736071391</v>
      </c>
      <c r="Z27" s="15">
        <v>0</v>
      </c>
      <c r="AA27" s="15">
        <v>0</v>
      </c>
      <c r="AB27" s="15">
        <v>0</v>
      </c>
      <c r="AC27" s="15">
        <v>1524.4020736071391</v>
      </c>
      <c r="AD27" s="15">
        <v>386.32559767309021</v>
      </c>
      <c r="AE27" s="15">
        <v>32.726667830411053</v>
      </c>
      <c r="AF27" s="15">
        <v>0</v>
      </c>
      <c r="AG27" s="15">
        <v>0</v>
      </c>
      <c r="AH27" s="15">
        <v>230.59857161323652</v>
      </c>
      <c r="AI27" s="15">
        <v>123.00035822944254</v>
      </c>
      <c r="AJ27" s="15">
        <v>0</v>
      </c>
      <c r="AK27" s="15">
        <v>0</v>
      </c>
      <c r="AL27" s="15">
        <v>0</v>
      </c>
      <c r="AM27" s="15">
        <v>0</v>
      </c>
      <c r="AN27" s="15">
        <v>0.25342762540262198</v>
      </c>
      <c r="AO27" s="15">
        <v>1138.0764759340489</v>
      </c>
      <c r="AP27" s="15">
        <v>263.32523944364755</v>
      </c>
      <c r="AQ27" s="15">
        <v>32.726667830411053</v>
      </c>
      <c r="AR27" s="15">
        <v>0</v>
      </c>
      <c r="AS27" s="15">
        <v>0</v>
      </c>
      <c r="AT27" s="15">
        <v>230.59857161323652</v>
      </c>
      <c r="AU27" s="15">
        <v>581.94976046216004</v>
      </c>
      <c r="AV27" s="15">
        <v>81.594999999999999</v>
      </c>
      <c r="AW27" s="15">
        <v>81.594999999999999</v>
      </c>
      <c r="AX27" s="15">
        <v>0</v>
      </c>
      <c r="AY27" s="15">
        <v>0</v>
      </c>
      <c r="AZ27" s="15">
        <v>319.06817861758265</v>
      </c>
      <c r="BA27" s="15">
        <v>82.718698010625445</v>
      </c>
      <c r="BB27" s="15">
        <v>98.478950252898827</v>
      </c>
      <c r="BC27" s="15">
        <v>137.87053035405836</v>
      </c>
      <c r="BD27" s="15">
        <v>0</v>
      </c>
      <c r="BE27" s="15">
        <v>181.28658184457743</v>
      </c>
      <c r="BF27" s="15">
        <v>63.053841708174573</v>
      </c>
      <c r="BG27" s="15">
        <v>1.5831329762799129</v>
      </c>
      <c r="BH27" s="15">
        <v>116.64960716012295</v>
      </c>
      <c r="BI27" s="15">
        <v>0</v>
      </c>
      <c r="BJ27" s="15">
        <v>845.27499990580759</v>
      </c>
      <c r="BK27" s="15">
        <v>1231.6005975788978</v>
      </c>
      <c r="BL27" s="15">
        <v>-6.087729584928233E-2</v>
      </c>
      <c r="BM27" s="15">
        <v>-8.1542390156229785E-2</v>
      </c>
    </row>
    <row r="28" spans="1:65" s="60" customFormat="1" x14ac:dyDescent="0.35">
      <c r="A28" s="59" t="s">
        <v>10625</v>
      </c>
      <c r="B28" s="59" t="s">
        <v>10455</v>
      </c>
      <c r="C28" s="59" t="s">
        <v>10613</v>
      </c>
      <c r="D28" s="59" t="s">
        <v>10321</v>
      </c>
      <c r="E28" s="59" t="s">
        <v>10633</v>
      </c>
      <c r="F28" s="59">
        <v>121127</v>
      </c>
      <c r="G28" s="59">
        <v>0.89712952701856796</v>
      </c>
      <c r="H28" s="59">
        <v>200</v>
      </c>
      <c r="I28" s="59">
        <v>163.22656973881664</v>
      </c>
      <c r="J28" s="88">
        <v>2.5909101746344239</v>
      </c>
      <c r="K28" s="59">
        <v>30</v>
      </c>
      <c r="L28" s="59">
        <v>105.69625940260569</v>
      </c>
      <c r="M28" s="59">
        <v>18.841259942988167</v>
      </c>
      <c r="N28" s="59">
        <v>42.488796240288906</v>
      </c>
      <c r="O28" s="59">
        <v>7.9196779308105283</v>
      </c>
      <c r="P28" s="59">
        <v>16.451290127272763</v>
      </c>
      <c r="Q28" s="59">
        <v>18.117828182205614</v>
      </c>
      <c r="R28" s="59">
        <v>3.3884815001630408</v>
      </c>
      <c r="S28" s="59">
        <v>7.100483317098699</v>
      </c>
      <c r="T28" s="59">
        <v>7.6288633649438724</v>
      </c>
      <c r="U28" s="59">
        <v>0</v>
      </c>
      <c r="V28" s="59">
        <v>5159.6524647172273</v>
      </c>
      <c r="W28" s="59">
        <v>0</v>
      </c>
      <c r="X28" s="59">
        <v>0</v>
      </c>
      <c r="Y28" s="59">
        <v>304.6121390336761</v>
      </c>
      <c r="Z28" s="59">
        <v>0</v>
      </c>
      <c r="AA28" s="59">
        <v>0</v>
      </c>
      <c r="AB28" s="59">
        <v>0</v>
      </c>
      <c r="AC28" s="59">
        <v>304.6121390336761</v>
      </c>
      <c r="AD28" s="59">
        <v>141.38556929485947</v>
      </c>
      <c r="AE28" s="59">
        <v>14.379008362973781</v>
      </c>
      <c r="AF28" s="59">
        <v>0</v>
      </c>
      <c r="AG28" s="59">
        <v>0</v>
      </c>
      <c r="AH28" s="59">
        <v>25.545792181885687</v>
      </c>
      <c r="AI28" s="59">
        <v>101.46076875000001</v>
      </c>
      <c r="AJ28" s="59">
        <v>0</v>
      </c>
      <c r="AK28" s="59">
        <v>0</v>
      </c>
      <c r="AL28" s="59">
        <v>0</v>
      </c>
      <c r="AM28" s="59">
        <v>0</v>
      </c>
      <c r="AN28" s="59">
        <v>0.46414949103268904</v>
      </c>
      <c r="AO28" s="59">
        <v>163.22656973881664</v>
      </c>
      <c r="AP28" s="59">
        <v>39.924800544859465</v>
      </c>
      <c r="AQ28" s="59">
        <v>14.379008362973781</v>
      </c>
      <c r="AR28" s="59">
        <v>0</v>
      </c>
      <c r="AS28" s="59">
        <v>0</v>
      </c>
      <c r="AT28" s="59">
        <v>25.545792181885687</v>
      </c>
      <c r="AU28" s="59">
        <v>346.20714950093253</v>
      </c>
      <c r="AV28" s="59">
        <v>61.280874999999988</v>
      </c>
      <c r="AW28" s="59">
        <v>61.280874999999988</v>
      </c>
      <c r="AX28" s="59">
        <v>0</v>
      </c>
      <c r="AY28" s="59">
        <v>0</v>
      </c>
      <c r="AZ28" s="59">
        <v>245.73596745685086</v>
      </c>
      <c r="BA28" s="59">
        <v>76.930878417473082</v>
      </c>
      <c r="BB28" s="59">
        <v>70.335453766407412</v>
      </c>
      <c r="BC28" s="59">
        <v>98.469635272970379</v>
      </c>
      <c r="BD28" s="59">
        <v>0</v>
      </c>
      <c r="BE28" s="59">
        <v>39.190307044081692</v>
      </c>
      <c r="BF28" s="59">
        <v>13.234366924440833</v>
      </c>
      <c r="BG28" s="59">
        <v>1.4723613094253223</v>
      </c>
      <c r="BH28" s="59">
        <v>24.483578810215537</v>
      </c>
      <c r="BI28" s="59">
        <v>0</v>
      </c>
      <c r="BJ28" s="59">
        <v>386.131950045792</v>
      </c>
      <c r="BK28" s="59">
        <v>527.51751934065146</v>
      </c>
      <c r="BL28" s="59">
        <v>1.3883405357664405</v>
      </c>
      <c r="BM28" s="59">
        <v>2.5909101746344239</v>
      </c>
    </row>
    <row r="29" spans="1:65" s="56" customFormat="1" x14ac:dyDescent="0.35">
      <c r="A29" s="55" t="s">
        <v>10625</v>
      </c>
      <c r="B29" s="55" t="s">
        <v>10615</v>
      </c>
      <c r="C29" s="55" t="s">
        <v>9780</v>
      </c>
      <c r="D29" s="55" t="s">
        <v>9780</v>
      </c>
      <c r="E29" s="55" t="s">
        <v>10012</v>
      </c>
      <c r="F29" s="55">
        <f>F28</f>
        <v>121127</v>
      </c>
      <c r="G29" s="55">
        <f>G28</f>
        <v>0.89712952701856796</v>
      </c>
      <c r="H29" s="55">
        <f>(H28*N28)/(N28)</f>
        <v>199.99999999999997</v>
      </c>
      <c r="I29" s="55">
        <f>(I28*N28)/(N28)</f>
        <v>163.22656973881664</v>
      </c>
      <c r="J29" s="89">
        <f>(J28*N28)/(N28)</f>
        <v>2.5909101746344239</v>
      </c>
      <c r="K29" s="55">
        <f t="shared" ref="K29:W29" si="2">K28</f>
        <v>30</v>
      </c>
      <c r="L29" s="55">
        <f t="shared" si="2"/>
        <v>105.69625940260569</v>
      </c>
      <c r="M29" s="55">
        <f t="shared" si="2"/>
        <v>18.841259942988167</v>
      </c>
      <c r="N29" s="55">
        <f t="shared" si="2"/>
        <v>42.488796240288906</v>
      </c>
      <c r="O29" s="55">
        <f t="shared" si="2"/>
        <v>7.9196779308105283</v>
      </c>
      <c r="P29" s="55">
        <f t="shared" si="2"/>
        <v>16.451290127272763</v>
      </c>
      <c r="Q29" s="55">
        <f t="shared" si="2"/>
        <v>18.117828182205614</v>
      </c>
      <c r="R29" s="55">
        <f t="shared" si="2"/>
        <v>3.3884815001630408</v>
      </c>
      <c r="S29" s="55">
        <f t="shared" si="2"/>
        <v>7.100483317098699</v>
      </c>
      <c r="T29" s="55">
        <f t="shared" si="2"/>
        <v>7.6288633649438724</v>
      </c>
      <c r="U29" s="55">
        <f t="shared" si="2"/>
        <v>0</v>
      </c>
      <c r="V29" s="55">
        <f t="shared" si="2"/>
        <v>5159.6524647172273</v>
      </c>
      <c r="W29" s="55">
        <f t="shared" si="2"/>
        <v>0</v>
      </c>
      <c r="X29" s="55">
        <f>(X28*N28)/(N28)</f>
        <v>0</v>
      </c>
      <c r="Y29" s="55">
        <f>(Y28*N28)/(N28)</f>
        <v>304.6121390336761</v>
      </c>
      <c r="Z29" s="55">
        <f>(Z28*N28)/(N28)</f>
        <v>0</v>
      </c>
      <c r="AA29" s="55">
        <f>(AA28*N28)/(N28)</f>
        <v>0</v>
      </c>
      <c r="AB29" s="55">
        <f>(AB28*N28)/(N28)</f>
        <v>0</v>
      </c>
      <c r="AC29" s="55">
        <f>(AC28*N28)/(N28)</f>
        <v>304.6121390336761</v>
      </c>
      <c r="AD29" s="55">
        <f>(AD28*N28)/(N28)</f>
        <v>141.38556929485947</v>
      </c>
      <c r="AE29" s="55">
        <f>(AE28*N28)/(N28)</f>
        <v>14.379008362973781</v>
      </c>
      <c r="AF29" s="55">
        <f>(AF28*N28)/(N28)</f>
        <v>0</v>
      </c>
      <c r="AG29" s="55">
        <f>(AG28*N28)/(N28)</f>
        <v>0</v>
      </c>
      <c r="AH29" s="55">
        <f>(AH28*N28)/(N28)</f>
        <v>25.545792181885687</v>
      </c>
      <c r="AI29" s="55">
        <f>(AI28*N28)/(N28)</f>
        <v>101.46076875000001</v>
      </c>
      <c r="AJ29" s="55">
        <f>(AJ28*N28)/(N28)</f>
        <v>0</v>
      </c>
      <c r="AK29" s="55">
        <f>(AK28*N28)/(N28)</f>
        <v>0</v>
      </c>
      <c r="AL29" s="55">
        <f>(AL28*N28)/(N28)</f>
        <v>0</v>
      </c>
      <c r="AM29" s="55">
        <f>(AM28*N28)/(N28)</f>
        <v>0</v>
      </c>
      <c r="AN29" s="55">
        <f>(AN28*N28)/(N28)</f>
        <v>0.46414949103268899</v>
      </c>
      <c r="AO29" s="55">
        <f>(AO28*N28)/(N28)</f>
        <v>163.22656973881664</v>
      </c>
      <c r="AP29" s="55">
        <f>(AP28*N28)/(N28)</f>
        <v>39.924800544859465</v>
      </c>
      <c r="AQ29" s="55">
        <f>(AQ28*N28)/(N28)</f>
        <v>14.379008362973781</v>
      </c>
      <c r="AR29" s="55">
        <f>(AR28*N28)/(N28)</f>
        <v>0</v>
      </c>
      <c r="AS29" s="55">
        <f>(AS28*N28)/(N28)</f>
        <v>0</v>
      </c>
      <c r="AT29" s="55">
        <f>(AT28*N28)/(N28)</f>
        <v>25.545792181885687</v>
      </c>
      <c r="AU29" s="55">
        <f>(AU28*N28)/(N28)</f>
        <v>346.20714950093253</v>
      </c>
      <c r="AV29" s="55">
        <f>(AV28*N28)/(N28)</f>
        <v>61.280874999999988</v>
      </c>
      <c r="AW29" s="55">
        <f>(AW28*N28)/(N28)</f>
        <v>61.280874999999988</v>
      </c>
      <c r="AX29" s="55">
        <f>(AX28*N28)/(N28)</f>
        <v>0</v>
      </c>
      <c r="AY29" s="55">
        <f>(AY28*N28)/(N28)</f>
        <v>0</v>
      </c>
      <c r="AZ29" s="55">
        <f>(AZ28*N28)/(N28)</f>
        <v>245.73596745685083</v>
      </c>
      <c r="BA29" s="55">
        <f>(BA28*N28)/(N28)</f>
        <v>76.930878417473082</v>
      </c>
      <c r="BB29" s="55">
        <f>(BB28*N28)/(N28)</f>
        <v>70.335453766407412</v>
      </c>
      <c r="BC29" s="55">
        <f>(BC28*N28)/(N28)</f>
        <v>98.469635272970365</v>
      </c>
      <c r="BD29" s="55">
        <f>(BD28*N28)/(N28)</f>
        <v>0</v>
      </c>
      <c r="BE29" s="55">
        <f>(BE28*N28)/(N28)</f>
        <v>39.190307044081692</v>
      </c>
      <c r="BF29" s="55">
        <f>(BF28*N28)/(N28)</f>
        <v>13.234366924440833</v>
      </c>
      <c r="BG29" s="55">
        <f>(BG28*N28)/(N28)</f>
        <v>1.4723613094253223</v>
      </c>
      <c r="BH29" s="55">
        <f>(BH28*N28)/(N28)</f>
        <v>24.483578810215537</v>
      </c>
      <c r="BI29" s="55">
        <f>(BI28*N28)/(N28)</f>
        <v>0</v>
      </c>
      <c r="BJ29" s="55">
        <f>(BJ28*N28)/(N28)</f>
        <v>386.131950045792</v>
      </c>
      <c r="BK29" s="55">
        <f>(BK28*N28)/(N28)</f>
        <v>527.51751934065146</v>
      </c>
      <c r="BL29" s="55">
        <f>(BL28*N28)/(N28)</f>
        <v>1.3883405357664405</v>
      </c>
      <c r="BM29" s="55">
        <f>(BM28*N28)/(N28)</f>
        <v>2.5909101746344239</v>
      </c>
    </row>
    <row r="30" spans="1:65" x14ac:dyDescent="0.35">
      <c r="A30" s="15" t="s">
        <v>10605</v>
      </c>
      <c r="B30" s="15" t="s">
        <v>10457</v>
      </c>
      <c r="C30" s="15" t="s">
        <v>10582</v>
      </c>
      <c r="D30" s="15" t="s">
        <v>10321</v>
      </c>
      <c r="E30" s="15" t="s">
        <v>10634</v>
      </c>
      <c r="F30" s="15">
        <v>18919</v>
      </c>
      <c r="G30" s="15">
        <v>0.89712986944341666</v>
      </c>
      <c r="H30" s="15">
        <v>200</v>
      </c>
      <c r="I30" s="78">
        <v>146.63798289729402</v>
      </c>
      <c r="J30" s="79">
        <v>3.8061094450097372</v>
      </c>
      <c r="K30" s="15">
        <v>30</v>
      </c>
      <c r="L30" s="15">
        <v>39.528246974342871</v>
      </c>
      <c r="M30" s="15">
        <v>8.6683235982771087</v>
      </c>
      <c r="N30" s="15">
        <v>6.6363886077370218</v>
      </c>
      <c r="O30" s="15">
        <v>1.2369863363448381</v>
      </c>
      <c r="P30" s="15">
        <v>2.5695516005154566</v>
      </c>
      <c r="Q30" s="15">
        <v>2.8298506708767253</v>
      </c>
      <c r="R30" s="15">
        <v>0.52925199146702739</v>
      </c>
      <c r="S30" s="15">
        <v>1.109035104890516</v>
      </c>
      <c r="T30" s="15">
        <v>1.1915635745191826</v>
      </c>
      <c r="U30" s="15">
        <v>0</v>
      </c>
      <c r="V30" s="15">
        <v>805.8938324137099</v>
      </c>
      <c r="W30" s="15">
        <v>0</v>
      </c>
      <c r="X30" s="15">
        <v>0</v>
      </c>
      <c r="Y30" s="15">
        <v>288.89808559445322</v>
      </c>
      <c r="Z30" s="15">
        <v>0</v>
      </c>
      <c r="AA30" s="15">
        <v>0</v>
      </c>
      <c r="AB30" s="15">
        <v>0</v>
      </c>
      <c r="AC30" s="15">
        <v>288.89808559445322</v>
      </c>
      <c r="AD30" s="15">
        <v>142.2601026971592</v>
      </c>
      <c r="AE30" s="15">
        <v>0.54994788619329271</v>
      </c>
      <c r="AF30" s="15">
        <v>0</v>
      </c>
      <c r="AG30" s="15">
        <v>0</v>
      </c>
      <c r="AH30" s="15">
        <v>40.249386060965911</v>
      </c>
      <c r="AI30" s="15">
        <v>101.46076874999999</v>
      </c>
      <c r="AJ30" s="15">
        <v>-1.468144660174908E-15</v>
      </c>
      <c r="AK30" s="15">
        <v>0</v>
      </c>
      <c r="AL30" s="15">
        <v>0</v>
      </c>
      <c r="AM30" s="15">
        <v>0</v>
      </c>
      <c r="AN30" s="15">
        <v>0.49242314086102951</v>
      </c>
      <c r="AO30" s="15">
        <v>146.63798289729402</v>
      </c>
      <c r="AP30" s="15">
        <v>40.799333947159205</v>
      </c>
      <c r="AQ30" s="15">
        <v>0.54994788619329271</v>
      </c>
      <c r="AR30" s="15">
        <v>0</v>
      </c>
      <c r="AS30" s="15">
        <v>0</v>
      </c>
      <c r="AT30" s="15">
        <v>40.249386060965911</v>
      </c>
      <c r="AU30" s="15">
        <v>463.95886065270184</v>
      </c>
      <c r="AV30" s="15">
        <v>125.8448511889483</v>
      </c>
      <c r="AW30" s="15">
        <v>125.8448511889483</v>
      </c>
      <c r="AX30" s="15">
        <v>0</v>
      </c>
      <c r="AY30" s="15">
        <v>0</v>
      </c>
      <c r="AZ30" s="15">
        <v>232.76638106271054</v>
      </c>
      <c r="BA30" s="15">
        <v>76.930878417473096</v>
      </c>
      <c r="BB30" s="15">
        <v>64.931459435515606</v>
      </c>
      <c r="BC30" s="15">
        <v>90.904043209721834</v>
      </c>
      <c r="BD30" s="15">
        <v>0</v>
      </c>
      <c r="BE30" s="15">
        <v>105.34762840104298</v>
      </c>
      <c r="BF30" s="15">
        <v>36.447462137409708</v>
      </c>
      <c r="BG30" s="15">
        <v>1.4723613094253223</v>
      </c>
      <c r="BH30" s="15">
        <v>67.427804954207957</v>
      </c>
      <c r="BI30" s="15">
        <v>0</v>
      </c>
      <c r="BJ30" s="15">
        <v>504.75819459986104</v>
      </c>
      <c r="BK30" s="15">
        <v>647.01829729702024</v>
      </c>
      <c r="BL30" s="15">
        <v>1.9318930776372125</v>
      </c>
      <c r="BM30" s="15">
        <v>3.8061094450097372</v>
      </c>
    </row>
    <row r="31" spans="1:65" x14ac:dyDescent="0.35">
      <c r="A31" s="15" t="s">
        <v>10605</v>
      </c>
      <c r="B31" s="15" t="s">
        <v>10457</v>
      </c>
      <c r="C31" s="15" t="s">
        <v>10582</v>
      </c>
      <c r="D31" s="15" t="s">
        <v>10322</v>
      </c>
      <c r="E31" s="15" t="s">
        <v>10635</v>
      </c>
      <c r="F31" s="15">
        <v>18919</v>
      </c>
      <c r="G31" s="15">
        <v>0.89712986944341666</v>
      </c>
      <c r="H31" s="15">
        <v>200</v>
      </c>
      <c r="I31" s="80">
        <v>1207.4994439616598</v>
      </c>
      <c r="J31" s="81">
        <v>-0.3319268741422326</v>
      </c>
      <c r="K31" s="15">
        <v>30</v>
      </c>
      <c r="L31" s="15">
        <v>39.528246974342871</v>
      </c>
      <c r="M31" s="15">
        <v>8.6683235982771087</v>
      </c>
      <c r="N31" s="15">
        <v>6.6363886077370218</v>
      </c>
      <c r="O31" s="15">
        <v>1.2369863363448381</v>
      </c>
      <c r="P31" s="15">
        <v>2.5695516005154566</v>
      </c>
      <c r="Q31" s="15">
        <v>2.8298506708767253</v>
      </c>
      <c r="R31" s="15">
        <v>0.52925199146702739</v>
      </c>
      <c r="S31" s="15">
        <v>1.109035104890516</v>
      </c>
      <c r="T31" s="15">
        <v>1.1915635745191826</v>
      </c>
      <c r="U31" s="15">
        <v>0</v>
      </c>
      <c r="V31" s="15">
        <v>0</v>
      </c>
      <c r="W31" s="15">
        <v>201.47345810342748</v>
      </c>
      <c r="X31" s="15">
        <v>0</v>
      </c>
      <c r="Y31" s="15">
        <v>288.89808559445322</v>
      </c>
      <c r="Z31" s="15">
        <v>0</v>
      </c>
      <c r="AA31" s="15">
        <v>0</v>
      </c>
      <c r="AB31" s="15">
        <v>0</v>
      </c>
      <c r="AC31" s="15">
        <v>288.89808559445322</v>
      </c>
      <c r="AD31" s="15">
        <v>-918.60135836720656</v>
      </c>
      <c r="AE31" s="15">
        <v>-0.62490944247001956</v>
      </c>
      <c r="AF31" s="15">
        <v>91.383214144028386</v>
      </c>
      <c r="AG31" s="15">
        <v>-1051.6366363423308</v>
      </c>
      <c r="AH31" s="15">
        <v>0</v>
      </c>
      <c r="AI31" s="15">
        <v>101.46076874999999</v>
      </c>
      <c r="AJ31" s="15">
        <v>0</v>
      </c>
      <c r="AK31" s="15">
        <v>-59.183795476434078</v>
      </c>
      <c r="AL31" s="15">
        <v>0</v>
      </c>
      <c r="AM31" s="15">
        <v>0</v>
      </c>
      <c r="AN31" s="15">
        <v>-3.1796727087237007</v>
      </c>
      <c r="AO31" s="15">
        <v>1207.4994439616598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5">
        <v>606.6979279989821</v>
      </c>
      <c r="AV31" s="15">
        <v>125.8448511889483</v>
      </c>
      <c r="AW31" s="15">
        <v>125.8448511889483</v>
      </c>
      <c r="AX31" s="15">
        <v>0</v>
      </c>
      <c r="AY31" s="15">
        <v>0</v>
      </c>
      <c r="AZ31" s="15">
        <v>232.76638106271054</v>
      </c>
      <c r="BA31" s="15">
        <v>76.930878417473096</v>
      </c>
      <c r="BB31" s="15">
        <v>64.931459435515606</v>
      </c>
      <c r="BC31" s="15">
        <v>90.904043209721834</v>
      </c>
      <c r="BD31" s="15">
        <v>0</v>
      </c>
      <c r="BE31" s="15">
        <v>248.08669574732329</v>
      </c>
      <c r="BF31" s="15">
        <v>86.531345416806303</v>
      </c>
      <c r="BG31" s="15">
        <v>1.4723613094253223</v>
      </c>
      <c r="BH31" s="15">
        <v>160.08298902109166</v>
      </c>
      <c r="BI31" s="15">
        <v>0</v>
      </c>
      <c r="BJ31" s="15">
        <v>606.6979279989821</v>
      </c>
      <c r="BK31" s="15">
        <v>-311.90343036822446</v>
      </c>
      <c r="BL31" s="15">
        <v>-1.3873456971442562</v>
      </c>
      <c r="BM31" s="15">
        <v>-0.3319268741422326</v>
      </c>
    </row>
    <row r="32" spans="1:65" x14ac:dyDescent="0.35">
      <c r="A32" s="15" t="s">
        <v>10605</v>
      </c>
      <c r="B32" s="15" t="s">
        <v>10457</v>
      </c>
      <c r="C32" s="15" t="s">
        <v>10582</v>
      </c>
      <c r="D32" s="15" t="s">
        <v>10323</v>
      </c>
      <c r="E32" s="15" t="s">
        <v>10636</v>
      </c>
      <c r="F32" s="15">
        <v>18919</v>
      </c>
      <c r="G32" s="15">
        <v>0.89712986944341666</v>
      </c>
      <c r="H32" s="15">
        <v>200</v>
      </c>
      <c r="I32" s="78">
        <v>209.90854308619936</v>
      </c>
      <c r="J32" s="79">
        <v>2.1912079684181505</v>
      </c>
      <c r="K32" s="15">
        <v>30</v>
      </c>
      <c r="L32" s="15">
        <v>39.528246974342871</v>
      </c>
      <c r="M32" s="15">
        <v>8.6683235982771087</v>
      </c>
      <c r="N32" s="15">
        <v>6.6363886077370218</v>
      </c>
      <c r="O32" s="15">
        <v>1.2369863363448381</v>
      </c>
      <c r="P32" s="15">
        <v>2.5695516005154566</v>
      </c>
      <c r="Q32" s="15">
        <v>2.8298506708767253</v>
      </c>
      <c r="R32" s="15">
        <v>0.52925199146702739</v>
      </c>
      <c r="S32" s="15">
        <v>1.109035104890516</v>
      </c>
      <c r="T32" s="15">
        <v>1.1915635745191826</v>
      </c>
      <c r="U32" s="15">
        <v>0</v>
      </c>
      <c r="V32" s="15">
        <v>0</v>
      </c>
      <c r="W32" s="15">
        <v>0</v>
      </c>
      <c r="X32" s="15">
        <v>201473.45810342749</v>
      </c>
      <c r="Y32" s="15">
        <v>288.89808559445322</v>
      </c>
      <c r="Z32" s="15">
        <v>0</v>
      </c>
      <c r="AA32" s="15">
        <v>0</v>
      </c>
      <c r="AB32" s="15">
        <v>0</v>
      </c>
      <c r="AC32" s="15">
        <v>288.89808559445322</v>
      </c>
      <c r="AD32" s="15">
        <v>78.989542508253862</v>
      </c>
      <c r="AE32" s="15">
        <v>-0.62490944247001956</v>
      </c>
      <c r="AF32" s="15">
        <v>0</v>
      </c>
      <c r="AG32" s="15">
        <v>0</v>
      </c>
      <c r="AH32" s="15">
        <v>0</v>
      </c>
      <c r="AI32" s="15">
        <v>101.46076874999999</v>
      </c>
      <c r="AJ32" s="15">
        <v>0</v>
      </c>
      <c r="AK32" s="15">
        <v>-21.846316799276114</v>
      </c>
      <c r="AL32" s="15">
        <v>0</v>
      </c>
      <c r="AM32" s="15">
        <v>0</v>
      </c>
      <c r="AN32" s="15">
        <v>0.27341663530140903</v>
      </c>
      <c r="AO32" s="15">
        <v>209.90854308619936</v>
      </c>
      <c r="AP32" s="15">
        <v>0</v>
      </c>
      <c r="AQ32" s="15">
        <v>0</v>
      </c>
      <c r="AR32" s="15">
        <v>0</v>
      </c>
      <c r="AS32" s="15">
        <v>0</v>
      </c>
      <c r="AT32" s="15">
        <v>0</v>
      </c>
      <c r="AU32" s="15">
        <v>469.86181533572403</v>
      </c>
      <c r="AV32" s="15">
        <v>125.8448511889483</v>
      </c>
      <c r="AW32" s="15">
        <v>125.8448511889483</v>
      </c>
      <c r="AX32" s="15">
        <v>0</v>
      </c>
      <c r="AY32" s="15">
        <v>0</v>
      </c>
      <c r="AZ32" s="15">
        <v>232.76638106271054</v>
      </c>
      <c r="BA32" s="15">
        <v>76.930878417473096</v>
      </c>
      <c r="BB32" s="15">
        <v>64.931459435515606</v>
      </c>
      <c r="BC32" s="15">
        <v>90.904043209721834</v>
      </c>
      <c r="BD32" s="15">
        <v>0</v>
      </c>
      <c r="BE32" s="15">
        <v>111.25058308406516</v>
      </c>
      <c r="BF32" s="15">
        <v>38.518674306891171</v>
      </c>
      <c r="BG32" s="15">
        <v>1.4723613094253223</v>
      </c>
      <c r="BH32" s="15">
        <v>71.259547467748661</v>
      </c>
      <c r="BI32" s="15">
        <v>0</v>
      </c>
      <c r="BJ32" s="15">
        <v>469.86181533572403</v>
      </c>
      <c r="BK32" s="15">
        <v>548.85135784397789</v>
      </c>
      <c r="BL32" s="15">
        <v>1.5920952584476236</v>
      </c>
      <c r="BM32" s="15">
        <v>2.1912079684181505</v>
      </c>
    </row>
    <row r="33" spans="1:65" x14ac:dyDescent="0.35">
      <c r="A33" s="15" t="s">
        <v>10605</v>
      </c>
      <c r="B33" s="15" t="s">
        <v>10457</v>
      </c>
      <c r="C33" s="15" t="s">
        <v>10582</v>
      </c>
      <c r="D33" s="15" t="s">
        <v>10324</v>
      </c>
      <c r="E33" s="15" t="s">
        <v>10637</v>
      </c>
      <c r="F33" s="15">
        <v>18919</v>
      </c>
      <c r="G33" s="15">
        <v>0.89712986944341666</v>
      </c>
      <c r="H33" s="15">
        <v>200</v>
      </c>
      <c r="I33" s="78">
        <v>154.73505049950842</v>
      </c>
      <c r="J33" s="79">
        <v>3.3060235985171613</v>
      </c>
      <c r="K33" s="15">
        <v>30</v>
      </c>
      <c r="L33" s="15">
        <v>39.724186967451779</v>
      </c>
      <c r="M33" s="15">
        <v>8.7101526363602897</v>
      </c>
      <c r="N33" s="15">
        <v>6.6363886077370218</v>
      </c>
      <c r="O33" s="15">
        <v>0.93254532715920602</v>
      </c>
      <c r="P33" s="15">
        <v>2.6782805323674688</v>
      </c>
      <c r="Q33" s="15">
        <v>3.0255627482103469</v>
      </c>
      <c r="R33" s="15">
        <v>0.52925199146702739</v>
      </c>
      <c r="S33" s="15">
        <v>1.3047471822241368</v>
      </c>
      <c r="T33" s="15">
        <v>1.1915635745191826</v>
      </c>
      <c r="U33" s="15">
        <v>0</v>
      </c>
      <c r="V33" s="15">
        <v>0</v>
      </c>
      <c r="W33" s="15">
        <v>0</v>
      </c>
      <c r="X33" s="15">
        <v>0</v>
      </c>
      <c r="Y33" s="15">
        <v>255.40215083995423</v>
      </c>
      <c r="Z33" s="15">
        <v>0</v>
      </c>
      <c r="AA33" s="15">
        <v>0</v>
      </c>
      <c r="AB33" s="15">
        <v>0</v>
      </c>
      <c r="AC33" s="15">
        <v>255.40215083995423</v>
      </c>
      <c r="AD33" s="15">
        <v>100.66710034044581</v>
      </c>
      <c r="AE33" s="15">
        <v>-0.79366840955416917</v>
      </c>
      <c r="AF33" s="15">
        <v>0</v>
      </c>
      <c r="AG33" s="15">
        <v>0</v>
      </c>
      <c r="AH33" s="15">
        <v>0</v>
      </c>
      <c r="AI33" s="15">
        <v>101.46076874999999</v>
      </c>
      <c r="AJ33" s="15">
        <v>0</v>
      </c>
      <c r="AK33" s="15">
        <v>0</v>
      </c>
      <c r="AL33" s="15">
        <v>0</v>
      </c>
      <c r="AM33" s="15">
        <v>0</v>
      </c>
      <c r="AN33" s="15">
        <v>0.39415134136254032</v>
      </c>
      <c r="AO33" s="15">
        <v>154.73505049950842</v>
      </c>
      <c r="AP33" s="15">
        <v>0</v>
      </c>
      <c r="AQ33" s="15">
        <v>0</v>
      </c>
      <c r="AR33" s="15">
        <v>0</v>
      </c>
      <c r="AS33" s="15">
        <v>0</v>
      </c>
      <c r="AT33" s="15">
        <v>0</v>
      </c>
      <c r="AU33" s="15">
        <v>466.29277896862789</v>
      </c>
      <c r="AV33" s="15">
        <v>122.10317272649331</v>
      </c>
      <c r="AW33" s="15">
        <v>122.10317272649331</v>
      </c>
      <c r="AX33" s="15">
        <v>0</v>
      </c>
      <c r="AY33" s="15">
        <v>0</v>
      </c>
      <c r="AZ33" s="15">
        <v>237.9002689864036</v>
      </c>
      <c r="BA33" s="15">
        <v>76.930878417473096</v>
      </c>
      <c r="BB33" s="15">
        <v>67.070579403721055</v>
      </c>
      <c r="BC33" s="15">
        <v>93.898811165209466</v>
      </c>
      <c r="BD33" s="15">
        <v>0</v>
      </c>
      <c r="BE33" s="15">
        <v>106.289337255731</v>
      </c>
      <c r="BF33" s="15">
        <v>36.777886296949362</v>
      </c>
      <c r="BG33" s="15">
        <v>1.4723613094253223</v>
      </c>
      <c r="BH33" s="15">
        <v>68.039089649356313</v>
      </c>
      <c r="BI33" s="15">
        <v>0</v>
      </c>
      <c r="BJ33" s="15">
        <v>466.29277896862789</v>
      </c>
      <c r="BK33" s="15">
        <v>566.9598793090737</v>
      </c>
      <c r="BL33" s="15">
        <v>2.0029499625854097</v>
      </c>
      <c r="BM33" s="15">
        <v>3.3060235985171613</v>
      </c>
    </row>
    <row r="34" spans="1:65" x14ac:dyDescent="0.35">
      <c r="A34" s="15" t="s">
        <v>10605</v>
      </c>
      <c r="B34" s="15" t="s">
        <v>10457</v>
      </c>
      <c r="C34" s="15" t="s">
        <v>10582</v>
      </c>
      <c r="D34" s="15" t="s">
        <v>10325</v>
      </c>
      <c r="E34" s="15" t="s">
        <v>10638</v>
      </c>
      <c r="F34" s="15">
        <v>18919</v>
      </c>
      <c r="G34" s="15">
        <v>0.89712986944341666</v>
      </c>
      <c r="H34" s="15">
        <v>200</v>
      </c>
      <c r="I34" s="78">
        <v>217.39285852861343</v>
      </c>
      <c r="J34" s="79">
        <v>1.94678505520825</v>
      </c>
      <c r="K34" s="15">
        <v>30</v>
      </c>
      <c r="L34" s="15">
        <v>38.415577156879181</v>
      </c>
      <c r="M34" s="15">
        <v>8.0921374064707994</v>
      </c>
      <c r="N34" s="15">
        <v>6.6363886077370218</v>
      </c>
      <c r="O34" s="15">
        <v>1.4871980960223472</v>
      </c>
      <c r="P34" s="15">
        <v>2.3215414627585647</v>
      </c>
      <c r="Q34" s="15">
        <v>2.8276490489561095</v>
      </c>
      <c r="R34" s="15">
        <v>0.52925199146702739</v>
      </c>
      <c r="S34" s="15">
        <v>0</v>
      </c>
      <c r="T34" s="15">
        <v>2.2983970574890824</v>
      </c>
      <c r="U34" s="15">
        <v>0</v>
      </c>
      <c r="V34" s="15">
        <v>0</v>
      </c>
      <c r="W34" s="15">
        <v>0</v>
      </c>
      <c r="X34" s="15">
        <v>0</v>
      </c>
      <c r="Y34" s="15">
        <v>318.85362727861343</v>
      </c>
      <c r="Z34" s="15">
        <v>0</v>
      </c>
      <c r="AA34" s="15">
        <v>0</v>
      </c>
      <c r="AB34" s="15">
        <v>0</v>
      </c>
      <c r="AC34" s="15">
        <v>318.85362727861343</v>
      </c>
      <c r="AD34" s="15">
        <v>101.46076875</v>
      </c>
      <c r="AE34" s="15">
        <v>0</v>
      </c>
      <c r="AF34" s="15">
        <v>0</v>
      </c>
      <c r="AG34" s="15">
        <v>0</v>
      </c>
      <c r="AH34" s="15">
        <v>0</v>
      </c>
      <c r="AI34" s="15">
        <v>101.46076874999999</v>
      </c>
      <c r="AJ34" s="15">
        <v>0</v>
      </c>
      <c r="AK34" s="15">
        <v>0</v>
      </c>
      <c r="AL34" s="15">
        <v>0</v>
      </c>
      <c r="AM34" s="15">
        <v>0</v>
      </c>
      <c r="AN34" s="15">
        <v>0.31820484407205396</v>
      </c>
      <c r="AO34" s="15">
        <v>217.39285852861343</v>
      </c>
      <c r="AP34" s="15">
        <v>0</v>
      </c>
      <c r="AQ34" s="15">
        <v>0</v>
      </c>
      <c r="AR34" s="15">
        <v>0</v>
      </c>
      <c r="AS34" s="15">
        <v>0</v>
      </c>
      <c r="AT34" s="15">
        <v>0</v>
      </c>
      <c r="AU34" s="15">
        <v>440.61002662111935</v>
      </c>
      <c r="AV34" s="15">
        <v>134.47456183061067</v>
      </c>
      <c r="AW34" s="15">
        <v>134.47456183061067</v>
      </c>
      <c r="AX34" s="15">
        <v>0</v>
      </c>
      <c r="AY34" s="15">
        <v>0</v>
      </c>
      <c r="AZ34" s="15">
        <v>190.21242442342691</v>
      </c>
      <c r="BA34" s="15">
        <v>76.930878417473096</v>
      </c>
      <c r="BB34" s="15">
        <v>47.200644169147424</v>
      </c>
      <c r="BC34" s="15">
        <v>66.08090183680639</v>
      </c>
      <c r="BD34" s="15">
        <v>0</v>
      </c>
      <c r="BE34" s="15">
        <v>115.92304036708171</v>
      </c>
      <c r="BF34" s="15">
        <v>40.158133002686455</v>
      </c>
      <c r="BG34" s="15">
        <v>1.4723613094253223</v>
      </c>
      <c r="BH34" s="15">
        <v>74.292546054969932</v>
      </c>
      <c r="BI34" s="15">
        <v>0</v>
      </c>
      <c r="BJ34" s="15">
        <v>440.61002662111935</v>
      </c>
      <c r="BK34" s="15">
        <v>542.0707953711194</v>
      </c>
      <c r="BL34" s="15">
        <v>1.3273086202739037</v>
      </c>
      <c r="BM34" s="15">
        <v>1.94678505520825</v>
      </c>
    </row>
    <row r="35" spans="1:65" x14ac:dyDescent="0.35">
      <c r="A35" s="15" t="s">
        <v>10605</v>
      </c>
      <c r="B35" s="15" t="s">
        <v>10457</v>
      </c>
      <c r="C35" s="15" t="s">
        <v>10582</v>
      </c>
      <c r="D35" s="15" t="s">
        <v>10326</v>
      </c>
      <c r="E35" s="15" t="s">
        <v>10639</v>
      </c>
      <c r="F35" s="15">
        <v>18919</v>
      </c>
      <c r="G35" s="15">
        <v>0.89712986944341666</v>
      </c>
      <c r="H35" s="15">
        <v>200</v>
      </c>
      <c r="I35" s="78">
        <v>122.85835380949312</v>
      </c>
      <c r="J35" s="79">
        <v>7.4519856427263438</v>
      </c>
      <c r="K35" s="15">
        <v>30</v>
      </c>
      <c r="L35" s="15">
        <v>37.925031646979804</v>
      </c>
      <c r="M35" s="15">
        <v>8.0141726230779753</v>
      </c>
      <c r="N35" s="15">
        <v>6.6363886077370218</v>
      </c>
      <c r="O35" s="15">
        <v>4.8498711602949411</v>
      </c>
      <c r="P35" s="15">
        <v>1.2214273232539989</v>
      </c>
      <c r="Q35" s="15">
        <v>0.56509012418808247</v>
      </c>
      <c r="R35" s="15">
        <v>0.56509012418808247</v>
      </c>
      <c r="S35" s="15">
        <v>0</v>
      </c>
      <c r="T35" s="15">
        <v>0</v>
      </c>
      <c r="U35" s="15">
        <v>4207.927716448683</v>
      </c>
      <c r="V35" s="15">
        <v>0</v>
      </c>
      <c r="W35" s="15">
        <v>0</v>
      </c>
      <c r="X35" s="15">
        <v>0</v>
      </c>
      <c r="Y35" s="15">
        <v>607.24899876865459</v>
      </c>
      <c r="Z35" s="15">
        <v>0</v>
      </c>
      <c r="AA35" s="15">
        <v>0</v>
      </c>
      <c r="AB35" s="15">
        <v>0</v>
      </c>
      <c r="AC35" s="15">
        <v>607.24899876865459</v>
      </c>
      <c r="AD35" s="15">
        <v>484.39064495916148</v>
      </c>
      <c r="AE35" s="15">
        <v>0</v>
      </c>
      <c r="AF35" s="15">
        <v>0</v>
      </c>
      <c r="AG35" s="15">
        <v>0</v>
      </c>
      <c r="AH35" s="15">
        <v>361.39028672971892</v>
      </c>
      <c r="AI35" s="15">
        <v>123.00035822944254</v>
      </c>
      <c r="AJ35" s="15">
        <v>0</v>
      </c>
      <c r="AK35" s="15">
        <v>0</v>
      </c>
      <c r="AL35" s="15">
        <v>0</v>
      </c>
      <c r="AM35" s="15">
        <v>0</v>
      </c>
      <c r="AN35" s="15">
        <v>0.79768043412402756</v>
      </c>
      <c r="AO35" s="15">
        <v>122.85835380949312</v>
      </c>
      <c r="AP35" s="15">
        <v>361.39028672971892</v>
      </c>
      <c r="AQ35" s="15">
        <v>0</v>
      </c>
      <c r="AR35" s="15">
        <v>0</v>
      </c>
      <c r="AS35" s="15">
        <v>0</v>
      </c>
      <c r="AT35" s="15">
        <v>361.39028672971892</v>
      </c>
      <c r="AU35" s="15">
        <v>477.00675575711023</v>
      </c>
      <c r="AV35" s="15">
        <v>174.47385567193638</v>
      </c>
      <c r="AW35" s="15">
        <v>174.47385567193638</v>
      </c>
      <c r="AX35" s="15">
        <v>0</v>
      </c>
      <c r="AY35" s="15">
        <v>0</v>
      </c>
      <c r="AZ35" s="15">
        <v>194.55190351062373</v>
      </c>
      <c r="BA35" s="15">
        <v>82.718698010625459</v>
      </c>
      <c r="BB35" s="15">
        <v>46.59716895833261</v>
      </c>
      <c r="BC35" s="15">
        <v>65.236036541665655</v>
      </c>
      <c r="BD35" s="15">
        <v>0</v>
      </c>
      <c r="BE35" s="15">
        <v>107.98099657455009</v>
      </c>
      <c r="BF35" s="15">
        <v>37.332583718691289</v>
      </c>
      <c r="BG35" s="15">
        <v>1.5831329762799129</v>
      </c>
      <c r="BH35" s="15">
        <v>69.065279879578881</v>
      </c>
      <c r="BI35" s="15">
        <v>0</v>
      </c>
      <c r="BJ35" s="15">
        <v>838.39704248682915</v>
      </c>
      <c r="BK35" s="15">
        <v>1322.7876874459907</v>
      </c>
      <c r="BL35" s="15">
        <v>1.5076825001503733</v>
      </c>
      <c r="BM35" s="15">
        <v>7.4519856427263438</v>
      </c>
    </row>
    <row r="36" spans="1:65" x14ac:dyDescent="0.35">
      <c r="A36" s="15" t="s">
        <v>10605</v>
      </c>
      <c r="B36" s="15" t="s">
        <v>10457</v>
      </c>
      <c r="C36" s="15" t="s">
        <v>10582</v>
      </c>
      <c r="D36" s="15" t="s">
        <v>10327</v>
      </c>
      <c r="E36" s="15" t="s">
        <v>10640</v>
      </c>
      <c r="F36" s="15">
        <v>18919</v>
      </c>
      <c r="G36" s="15">
        <v>0.89712986944341666</v>
      </c>
      <c r="H36" s="15">
        <v>200</v>
      </c>
      <c r="I36" s="80">
        <v>4153.223222151847</v>
      </c>
      <c r="J36" s="81">
        <v>-1.0374751422814428</v>
      </c>
      <c r="K36" s="15">
        <v>30</v>
      </c>
      <c r="L36" s="15">
        <v>60.906942170607969</v>
      </c>
      <c r="M36" s="15">
        <v>21.718349903516106</v>
      </c>
      <c r="N36" s="15">
        <v>6.6363886077370218</v>
      </c>
      <c r="O36" s="15">
        <v>4.8498711602949411</v>
      </c>
      <c r="P36" s="15">
        <v>1.2214273232539989</v>
      </c>
      <c r="Q36" s="15">
        <v>0.56509012418808247</v>
      </c>
      <c r="R36" s="15">
        <v>0.56509012418808247</v>
      </c>
      <c r="S36" s="15">
        <v>0</v>
      </c>
      <c r="T36" s="15">
        <v>0</v>
      </c>
      <c r="U36" s="15">
        <v>4207.927716448683</v>
      </c>
      <c r="V36" s="15">
        <v>0</v>
      </c>
      <c r="W36" s="15">
        <v>0</v>
      </c>
      <c r="X36" s="15">
        <v>0</v>
      </c>
      <c r="Y36" s="15">
        <v>1423.7117106864648</v>
      </c>
      <c r="Z36" s="15">
        <v>0</v>
      </c>
      <c r="AA36" s="15">
        <v>0</v>
      </c>
      <c r="AB36" s="15">
        <v>0</v>
      </c>
      <c r="AC36" s="15">
        <v>1423.7117106864648</v>
      </c>
      <c r="AD36" s="15">
        <v>-2729.5115114653822</v>
      </c>
      <c r="AE36" s="15">
        <v>-67.963695090263201</v>
      </c>
      <c r="AF36" s="15">
        <v>0</v>
      </c>
      <c r="AG36" s="15">
        <v>0</v>
      </c>
      <c r="AH36" s="15">
        <v>-2784.5481746045607</v>
      </c>
      <c r="AI36" s="15">
        <v>123.00035822944254</v>
      </c>
      <c r="AJ36" s="15">
        <v>0</v>
      </c>
      <c r="AK36" s="15">
        <v>0</v>
      </c>
      <c r="AL36" s="15">
        <v>0</v>
      </c>
      <c r="AM36" s="15">
        <v>0</v>
      </c>
      <c r="AN36" s="15">
        <v>-1.9171799255267106</v>
      </c>
      <c r="AO36" s="15">
        <v>4153.223222151847</v>
      </c>
      <c r="AP36" s="15">
        <v>-2852.5118696948239</v>
      </c>
      <c r="AQ36" s="15">
        <v>-67.963695090263201</v>
      </c>
      <c r="AR36" s="15">
        <v>0</v>
      </c>
      <c r="AS36" s="15">
        <v>0</v>
      </c>
      <c r="AT36" s="15">
        <v>-2784.5481746045607</v>
      </c>
      <c r="AU36" s="15">
        <v>2496.8692385180912</v>
      </c>
      <c r="AV36" s="15">
        <v>174.47385567193638</v>
      </c>
      <c r="AW36" s="15">
        <v>174.47385567193638</v>
      </c>
      <c r="AX36" s="15">
        <v>0</v>
      </c>
      <c r="AY36" s="15">
        <v>0</v>
      </c>
      <c r="AZ36" s="15">
        <v>1640.087392532819</v>
      </c>
      <c r="BA36" s="15">
        <v>82.718698010625459</v>
      </c>
      <c r="BB36" s="15">
        <v>648.90362271758067</v>
      </c>
      <c r="BC36" s="15">
        <v>908.46507180461288</v>
      </c>
      <c r="BD36" s="15">
        <v>0</v>
      </c>
      <c r="BE36" s="15">
        <v>682.30799031333549</v>
      </c>
      <c r="BF36" s="15">
        <v>238.85082713580897</v>
      </c>
      <c r="BG36" s="15">
        <v>1.5831329762799129</v>
      </c>
      <c r="BH36" s="15">
        <v>441.87403020124657</v>
      </c>
      <c r="BI36" s="15">
        <v>0</v>
      </c>
      <c r="BJ36" s="15">
        <v>-355.64263117673272</v>
      </c>
      <c r="BK36" s="15">
        <v>-3085.1541426421149</v>
      </c>
      <c r="BL36" s="15">
        <v>-3.0265016582963926</v>
      </c>
      <c r="BM36" s="15">
        <v>-1.0374751422814428</v>
      </c>
    </row>
    <row r="37" spans="1:65" s="60" customFormat="1" x14ac:dyDescent="0.35">
      <c r="A37" s="59" t="s">
        <v>10605</v>
      </c>
      <c r="B37" s="59" t="s">
        <v>10457</v>
      </c>
      <c r="C37" s="59" t="s">
        <v>10641</v>
      </c>
      <c r="D37" s="59" t="s">
        <v>10326</v>
      </c>
      <c r="E37" s="59" t="s">
        <v>10642</v>
      </c>
      <c r="F37" s="59">
        <v>18919</v>
      </c>
      <c r="G37" s="59">
        <v>0.89712986944341666</v>
      </c>
      <c r="H37" s="59">
        <v>200</v>
      </c>
      <c r="I37" s="59">
        <v>122.85835380949312</v>
      </c>
      <c r="J37" s="88">
        <v>7.4519856427263438</v>
      </c>
      <c r="K37" s="59">
        <v>30</v>
      </c>
      <c r="L37" s="59">
        <v>37.925031646979804</v>
      </c>
      <c r="M37" s="59">
        <v>8.0141726230779753</v>
      </c>
      <c r="N37" s="59">
        <v>6.6363886077370218</v>
      </c>
      <c r="O37" s="59">
        <v>4.8498711602949411</v>
      </c>
      <c r="P37" s="59">
        <v>1.2214273232539989</v>
      </c>
      <c r="Q37" s="59">
        <v>0.56509012418808247</v>
      </c>
      <c r="R37" s="59">
        <v>0.56509012418808247</v>
      </c>
      <c r="S37" s="59">
        <v>0</v>
      </c>
      <c r="T37" s="59">
        <v>0</v>
      </c>
      <c r="U37" s="59">
        <v>4207.927716448683</v>
      </c>
      <c r="V37" s="59">
        <v>0</v>
      </c>
      <c r="W37" s="59">
        <v>0</v>
      </c>
      <c r="X37" s="59">
        <v>0</v>
      </c>
      <c r="Y37" s="59">
        <v>607.24899876865459</v>
      </c>
      <c r="Z37" s="59">
        <v>0</v>
      </c>
      <c r="AA37" s="59">
        <v>0</v>
      </c>
      <c r="AB37" s="59">
        <v>0</v>
      </c>
      <c r="AC37" s="59">
        <v>607.24899876865459</v>
      </c>
      <c r="AD37" s="59">
        <v>484.39064495916148</v>
      </c>
      <c r="AE37" s="59">
        <v>0</v>
      </c>
      <c r="AF37" s="59">
        <v>0</v>
      </c>
      <c r="AG37" s="59">
        <v>0</v>
      </c>
      <c r="AH37" s="59">
        <v>361.39028672971892</v>
      </c>
      <c r="AI37" s="59">
        <v>123.00035822944254</v>
      </c>
      <c r="AJ37" s="59">
        <v>0</v>
      </c>
      <c r="AK37" s="59">
        <v>0</v>
      </c>
      <c r="AL37" s="59">
        <v>0</v>
      </c>
      <c r="AM37" s="59">
        <v>0</v>
      </c>
      <c r="AN37" s="59">
        <v>0.79768043412402756</v>
      </c>
      <c r="AO37" s="59">
        <v>122.85835380949312</v>
      </c>
      <c r="AP37" s="59">
        <v>361.39028672971892</v>
      </c>
      <c r="AQ37" s="59">
        <v>0</v>
      </c>
      <c r="AR37" s="59">
        <v>0</v>
      </c>
      <c r="AS37" s="59">
        <v>0</v>
      </c>
      <c r="AT37" s="59">
        <v>361.39028672971892</v>
      </c>
      <c r="AU37" s="59">
        <v>477.00675575711023</v>
      </c>
      <c r="AV37" s="59">
        <v>174.47385567193638</v>
      </c>
      <c r="AW37" s="59">
        <v>174.47385567193638</v>
      </c>
      <c r="AX37" s="59">
        <v>0</v>
      </c>
      <c r="AY37" s="59">
        <v>0</v>
      </c>
      <c r="AZ37" s="59">
        <v>194.55190351062373</v>
      </c>
      <c r="BA37" s="59">
        <v>82.718698010625459</v>
      </c>
      <c r="BB37" s="59">
        <v>46.59716895833261</v>
      </c>
      <c r="BC37" s="59">
        <v>65.236036541665655</v>
      </c>
      <c r="BD37" s="59">
        <v>0</v>
      </c>
      <c r="BE37" s="59">
        <v>107.98099657455009</v>
      </c>
      <c r="BF37" s="59">
        <v>37.332583718691289</v>
      </c>
      <c r="BG37" s="59">
        <v>1.5831329762799129</v>
      </c>
      <c r="BH37" s="59">
        <v>69.065279879578881</v>
      </c>
      <c r="BI37" s="59">
        <v>0</v>
      </c>
      <c r="BJ37" s="59">
        <v>838.39704248682915</v>
      </c>
      <c r="BK37" s="59">
        <v>1322.7876874459907</v>
      </c>
      <c r="BL37" s="59">
        <v>1.5076825001503733</v>
      </c>
      <c r="BM37" s="59">
        <v>7.4519856427263438</v>
      </c>
    </row>
    <row r="38" spans="1:65" s="56" customFormat="1" x14ac:dyDescent="0.35">
      <c r="A38" s="15" t="s">
        <v>10605</v>
      </c>
      <c r="B38" s="15" t="s">
        <v>10457</v>
      </c>
      <c r="C38" s="15" t="s">
        <v>10584</v>
      </c>
      <c r="D38" s="15" t="s">
        <v>10321</v>
      </c>
      <c r="E38" s="15" t="s">
        <v>10643</v>
      </c>
      <c r="F38" s="15">
        <v>102208</v>
      </c>
      <c r="G38" s="15">
        <v>0.89712946363472601</v>
      </c>
      <c r="H38" s="15">
        <v>200</v>
      </c>
      <c r="I38" s="78">
        <v>158.56995212485791</v>
      </c>
      <c r="J38" s="79">
        <v>2.8877166949529998</v>
      </c>
      <c r="K38" s="15">
        <v>30</v>
      </c>
      <c r="L38" s="15">
        <v>98.208040486307397</v>
      </c>
      <c r="M38" s="15">
        <v>17.449561214908613</v>
      </c>
      <c r="N38" s="15">
        <v>35.852407632551881</v>
      </c>
      <c r="O38" s="15">
        <v>6.6826915944656911</v>
      </c>
      <c r="P38" s="15">
        <v>13.881738526757307</v>
      </c>
      <c r="Q38" s="15">
        <v>15.287977511328885</v>
      </c>
      <c r="R38" s="15">
        <v>2.859229508696012</v>
      </c>
      <c r="S38" s="15">
        <v>5.9914482122081827</v>
      </c>
      <c r="T38" s="15">
        <v>6.4372997904246914</v>
      </c>
      <c r="U38" s="15">
        <v>0</v>
      </c>
      <c r="V38" s="15">
        <v>4353.7586323035193</v>
      </c>
      <c r="W38" s="15">
        <v>0</v>
      </c>
      <c r="X38" s="15">
        <v>0</v>
      </c>
      <c r="Y38" s="15">
        <v>300.20101355741713</v>
      </c>
      <c r="Z38" s="15">
        <v>0</v>
      </c>
      <c r="AA38" s="15">
        <v>0</v>
      </c>
      <c r="AB38" s="15">
        <v>0</v>
      </c>
      <c r="AC38" s="15">
        <v>300.20101355741713</v>
      </c>
      <c r="AD38" s="15">
        <v>141.63106143255922</v>
      </c>
      <c r="AE38" s="15">
        <v>10.497023283962299</v>
      </c>
      <c r="AF38" s="15">
        <v>0</v>
      </c>
      <c r="AG38" s="15">
        <v>0</v>
      </c>
      <c r="AH38" s="15">
        <v>29.673269398596982</v>
      </c>
      <c r="AI38" s="15">
        <v>101.46076874999997</v>
      </c>
      <c r="AJ38" s="15">
        <v>0</v>
      </c>
      <c r="AK38" s="15">
        <v>0</v>
      </c>
      <c r="AL38" s="15">
        <v>0</v>
      </c>
      <c r="AM38" s="15">
        <v>0</v>
      </c>
      <c r="AN38" s="15">
        <v>0.47178741921692596</v>
      </c>
      <c r="AO38" s="15">
        <v>158.56995212485791</v>
      </c>
      <c r="AP38" s="15">
        <v>40.170292682559278</v>
      </c>
      <c r="AQ38" s="15">
        <v>10.497023283962299</v>
      </c>
      <c r="AR38" s="15">
        <v>0</v>
      </c>
      <c r="AS38" s="15">
        <v>0</v>
      </c>
      <c r="AT38" s="15">
        <v>29.673269398596982</v>
      </c>
      <c r="AU38" s="15">
        <v>376.30475751114869</v>
      </c>
      <c r="AV38" s="15">
        <v>100.21210397526849</v>
      </c>
      <c r="AW38" s="15">
        <v>100.21210397526849</v>
      </c>
      <c r="AX38" s="15">
        <v>0</v>
      </c>
      <c r="AY38" s="15">
        <v>0</v>
      </c>
      <c r="AZ38" s="15">
        <v>227.47966352954032</v>
      </c>
      <c r="BA38" s="15">
        <v>76.930878417473068</v>
      </c>
      <c r="BB38" s="15">
        <v>62.728660463361365</v>
      </c>
      <c r="BC38" s="15">
        <v>87.8201246487059</v>
      </c>
      <c r="BD38" s="15">
        <v>0</v>
      </c>
      <c r="BE38" s="15">
        <v>48.612990006339871</v>
      </c>
      <c r="BF38" s="15">
        <v>16.540571472601595</v>
      </c>
      <c r="BG38" s="15">
        <v>1.4723613094253218</v>
      </c>
      <c r="BH38" s="15">
        <v>30.600057224312952</v>
      </c>
      <c r="BI38" s="15">
        <v>0</v>
      </c>
      <c r="BJ38" s="15">
        <v>416.47505019370794</v>
      </c>
      <c r="BK38" s="55">
        <v>558.10611162626719</v>
      </c>
      <c r="BL38" s="55">
        <v>1.5253282880114929</v>
      </c>
      <c r="BM38" s="55">
        <v>2.8877166949529998</v>
      </c>
    </row>
    <row r="39" spans="1:65" x14ac:dyDescent="0.35">
      <c r="A39" s="15" t="s">
        <v>10605</v>
      </c>
      <c r="B39" s="15" t="s">
        <v>10457</v>
      </c>
      <c r="C39" s="15" t="s">
        <v>10584</v>
      </c>
      <c r="D39" s="15" t="s">
        <v>10322</v>
      </c>
      <c r="E39" s="15" t="s">
        <v>10644</v>
      </c>
      <c r="F39" s="15">
        <v>102208</v>
      </c>
      <c r="G39" s="15">
        <v>0.89712946363472601</v>
      </c>
      <c r="H39" s="15">
        <v>200</v>
      </c>
      <c r="I39" s="80">
        <v>366.00804738919533</v>
      </c>
      <c r="J39" s="79">
        <v>0.66405498970175403</v>
      </c>
      <c r="K39" s="15">
        <v>30</v>
      </c>
      <c r="L39" s="15">
        <v>98.208040486307397</v>
      </c>
      <c r="M39" s="15">
        <v>17.449561214908613</v>
      </c>
      <c r="N39" s="15">
        <v>35.852407632551881</v>
      </c>
      <c r="O39" s="15">
        <v>6.6826915944656911</v>
      </c>
      <c r="P39" s="15">
        <v>13.881738526757307</v>
      </c>
      <c r="Q39" s="15">
        <v>15.287977511328885</v>
      </c>
      <c r="R39" s="15">
        <v>2.859229508696012</v>
      </c>
      <c r="S39" s="15">
        <v>5.9914482122081827</v>
      </c>
      <c r="T39" s="15">
        <v>6.4372997904246914</v>
      </c>
      <c r="U39" s="15">
        <v>0</v>
      </c>
      <c r="V39" s="15">
        <v>0</v>
      </c>
      <c r="W39" s="15">
        <v>1088.4396580758798</v>
      </c>
      <c r="X39" s="15">
        <v>0</v>
      </c>
      <c r="Y39" s="15">
        <v>300.20101355741713</v>
      </c>
      <c r="Z39" s="15">
        <v>0</v>
      </c>
      <c r="AA39" s="15">
        <v>0</v>
      </c>
      <c r="AB39" s="15">
        <v>0</v>
      </c>
      <c r="AC39" s="15">
        <v>300.20101355741713</v>
      </c>
      <c r="AD39" s="15">
        <v>-65.807033831778199</v>
      </c>
      <c r="AE39" s="15">
        <v>-11.927837405433957</v>
      </c>
      <c r="AF39" s="15">
        <v>16.915308101461996</v>
      </c>
      <c r="AG39" s="15">
        <v>-194.661107963208</v>
      </c>
      <c r="AH39" s="15">
        <v>0</v>
      </c>
      <c r="AI39" s="15">
        <v>101.46076874999997</v>
      </c>
      <c r="AJ39" s="15">
        <v>0</v>
      </c>
      <c r="AK39" s="15">
        <v>22.405834685401754</v>
      </c>
      <c r="AL39" s="15">
        <v>0</v>
      </c>
      <c r="AM39" s="15">
        <v>0</v>
      </c>
      <c r="AN39" s="15">
        <v>-0.21920989890059714</v>
      </c>
      <c r="AO39" s="15">
        <v>366.00804738919533</v>
      </c>
      <c r="AP39" s="15">
        <v>0</v>
      </c>
      <c r="AQ39" s="15">
        <v>0</v>
      </c>
      <c r="AR39" s="15">
        <v>0</v>
      </c>
      <c r="AS39" s="15">
        <v>0</v>
      </c>
      <c r="AT39" s="15">
        <v>0</v>
      </c>
      <c r="AU39" s="15">
        <v>409.05751752898652</v>
      </c>
      <c r="AV39" s="15">
        <v>100.21210397526849</v>
      </c>
      <c r="AW39" s="15">
        <v>100.21210397526849</v>
      </c>
      <c r="AX39" s="15">
        <v>0</v>
      </c>
      <c r="AY39" s="15">
        <v>0</v>
      </c>
      <c r="AZ39" s="15">
        <v>227.47966352954032</v>
      </c>
      <c r="BA39" s="15">
        <v>76.930878417473068</v>
      </c>
      <c r="BB39" s="15">
        <v>62.728660463361365</v>
      </c>
      <c r="BC39" s="15">
        <v>87.8201246487059</v>
      </c>
      <c r="BD39" s="15">
        <v>0</v>
      </c>
      <c r="BE39" s="15">
        <v>81.365750024177714</v>
      </c>
      <c r="BF39" s="15">
        <v>28.03276797008856</v>
      </c>
      <c r="BG39" s="15">
        <v>1.4723613094253218</v>
      </c>
      <c r="BH39" s="15">
        <v>51.860620744663834</v>
      </c>
      <c r="BI39" s="15">
        <v>0</v>
      </c>
      <c r="BJ39" s="15">
        <v>409.05751752898652</v>
      </c>
      <c r="BK39" s="15">
        <v>343.25048369720832</v>
      </c>
      <c r="BL39" s="15">
        <v>0.80962241685871261</v>
      </c>
      <c r="BM39" s="15">
        <v>0.66405498970175403</v>
      </c>
    </row>
    <row r="40" spans="1:65" x14ac:dyDescent="0.35">
      <c r="A40" s="15" t="s">
        <v>10605</v>
      </c>
      <c r="B40" s="15" t="s">
        <v>10457</v>
      </c>
      <c r="C40" s="15" t="s">
        <v>10584</v>
      </c>
      <c r="D40" s="15" t="s">
        <v>10323</v>
      </c>
      <c r="E40" s="15" t="s">
        <v>10645</v>
      </c>
      <c r="F40" s="15">
        <v>102208</v>
      </c>
      <c r="G40" s="15">
        <v>0.89712946363472601</v>
      </c>
      <c r="H40" s="15">
        <v>200</v>
      </c>
      <c r="I40" s="78">
        <v>181.35096779766795</v>
      </c>
      <c r="J40" s="79">
        <v>2.2187792992643414</v>
      </c>
      <c r="K40" s="15">
        <v>30</v>
      </c>
      <c r="L40" s="15">
        <v>98.208040486307397</v>
      </c>
      <c r="M40" s="15">
        <v>17.449561214908613</v>
      </c>
      <c r="N40" s="15">
        <v>35.852407632551881</v>
      </c>
      <c r="O40" s="15">
        <v>6.6826915944656911</v>
      </c>
      <c r="P40" s="15">
        <v>13.881738526757307</v>
      </c>
      <c r="Q40" s="15">
        <v>15.287977511328885</v>
      </c>
      <c r="R40" s="15">
        <v>2.859229508696012</v>
      </c>
      <c r="S40" s="15">
        <v>5.9914482122081827</v>
      </c>
      <c r="T40" s="15">
        <v>6.4372997904246914</v>
      </c>
      <c r="U40" s="15">
        <v>0</v>
      </c>
      <c r="V40" s="15">
        <v>0</v>
      </c>
      <c r="W40" s="15">
        <v>0</v>
      </c>
      <c r="X40" s="15">
        <v>1088439.6580758798</v>
      </c>
      <c r="Y40" s="15">
        <v>300.20101355741713</v>
      </c>
      <c r="Z40" s="15">
        <v>0</v>
      </c>
      <c r="AA40" s="15">
        <v>0</v>
      </c>
      <c r="AB40" s="15">
        <v>0</v>
      </c>
      <c r="AC40" s="15">
        <v>300.20101355741713</v>
      </c>
      <c r="AD40" s="15">
        <v>118.85004575974918</v>
      </c>
      <c r="AE40" s="15">
        <v>-11.927837405433957</v>
      </c>
      <c r="AF40" s="15">
        <v>0</v>
      </c>
      <c r="AG40" s="15">
        <v>0</v>
      </c>
      <c r="AH40" s="15">
        <v>0</v>
      </c>
      <c r="AI40" s="15">
        <v>101.46076874999997</v>
      </c>
      <c r="AJ40" s="15">
        <v>0</v>
      </c>
      <c r="AK40" s="15">
        <v>29.317114415183131</v>
      </c>
      <c r="AL40" s="15">
        <v>0</v>
      </c>
      <c r="AM40" s="15">
        <v>0</v>
      </c>
      <c r="AN40" s="15">
        <v>0.39590154727115084</v>
      </c>
      <c r="AO40" s="15">
        <v>181.35096779766795</v>
      </c>
      <c r="AP40" s="15">
        <v>0</v>
      </c>
      <c r="AQ40" s="15">
        <v>0</v>
      </c>
      <c r="AR40" s="15">
        <v>0</v>
      </c>
      <c r="AS40" s="15">
        <v>0</v>
      </c>
      <c r="AT40" s="15">
        <v>0</v>
      </c>
      <c r="AU40" s="15">
        <v>383.72874104868771</v>
      </c>
      <c r="AV40" s="15">
        <v>100.21210397526849</v>
      </c>
      <c r="AW40" s="15">
        <v>100.21210397526849</v>
      </c>
      <c r="AX40" s="15">
        <v>0</v>
      </c>
      <c r="AY40" s="15">
        <v>0</v>
      </c>
      <c r="AZ40" s="15">
        <v>227.47966352954032</v>
      </c>
      <c r="BA40" s="15">
        <v>76.930878417473068</v>
      </c>
      <c r="BB40" s="15">
        <v>62.728660463361365</v>
      </c>
      <c r="BC40" s="15">
        <v>87.8201246487059</v>
      </c>
      <c r="BD40" s="15">
        <v>0</v>
      </c>
      <c r="BE40" s="15">
        <v>56.036973543878908</v>
      </c>
      <c r="BF40" s="15">
        <v>19.14547797700126</v>
      </c>
      <c r="BG40" s="15">
        <v>1.4723613094253218</v>
      </c>
      <c r="BH40" s="15">
        <v>35.419134257452328</v>
      </c>
      <c r="BI40" s="15">
        <v>0</v>
      </c>
      <c r="BJ40" s="15">
        <v>383.72874104868771</v>
      </c>
      <c r="BK40" s="15">
        <v>502.57878680843692</v>
      </c>
      <c r="BL40" s="15">
        <v>1.3403611416323886</v>
      </c>
      <c r="BM40" s="15">
        <v>2.2187792992643414</v>
      </c>
    </row>
    <row r="41" spans="1:65" x14ac:dyDescent="0.35">
      <c r="A41" s="15" t="s">
        <v>10605</v>
      </c>
      <c r="B41" s="15" t="s">
        <v>10457</v>
      </c>
      <c r="C41" s="15" t="s">
        <v>10584</v>
      </c>
      <c r="D41" s="15" t="s">
        <v>10324</v>
      </c>
      <c r="E41" s="15" t="s">
        <v>10646</v>
      </c>
      <c r="F41" s="15">
        <v>102208</v>
      </c>
      <c r="G41" s="15">
        <v>0.89712946363472601</v>
      </c>
      <c r="H41" s="15">
        <v>200</v>
      </c>
      <c r="I41" s="78">
        <v>179.13909951045329</v>
      </c>
      <c r="J41" s="79">
        <v>2.2196804795261071</v>
      </c>
      <c r="K41" s="15">
        <v>30</v>
      </c>
      <c r="L41" s="15">
        <v>99.332477802162103</v>
      </c>
      <c r="M41" s="15">
        <v>17.561268648522091</v>
      </c>
      <c r="N41" s="15">
        <v>35.852407632551881</v>
      </c>
      <c r="O41" s="15">
        <v>5.0379803205261906</v>
      </c>
      <c r="P41" s="15">
        <v>14.469135410307127</v>
      </c>
      <c r="Q41" s="15">
        <v>16.345291901718568</v>
      </c>
      <c r="R41" s="15">
        <v>2.859229508696012</v>
      </c>
      <c r="S41" s="15">
        <v>7.0487626025978622</v>
      </c>
      <c r="T41" s="15">
        <v>6.4372997904246914</v>
      </c>
      <c r="U41" s="15">
        <v>0</v>
      </c>
      <c r="V41" s="15">
        <v>0</v>
      </c>
      <c r="W41" s="15">
        <v>0</v>
      </c>
      <c r="X41" s="15">
        <v>0</v>
      </c>
      <c r="Y41" s="15">
        <v>267.60417534542665</v>
      </c>
      <c r="Z41" s="15">
        <v>0</v>
      </c>
      <c r="AA41" s="15">
        <v>0</v>
      </c>
      <c r="AB41" s="15">
        <v>0</v>
      </c>
      <c r="AC41" s="15">
        <v>267.60417534542665</v>
      </c>
      <c r="AD41" s="15">
        <v>88.465075834973362</v>
      </c>
      <c r="AE41" s="15">
        <v>-12.995692915026602</v>
      </c>
      <c r="AF41" s="15">
        <v>0</v>
      </c>
      <c r="AG41" s="15">
        <v>0</v>
      </c>
      <c r="AH41" s="15">
        <v>0</v>
      </c>
      <c r="AI41" s="15">
        <v>101.46076874999997</v>
      </c>
      <c r="AJ41" s="15">
        <v>0</v>
      </c>
      <c r="AK41" s="15">
        <v>0</v>
      </c>
      <c r="AL41" s="15">
        <v>0</v>
      </c>
      <c r="AM41" s="15">
        <v>0</v>
      </c>
      <c r="AN41" s="15">
        <v>0.3305818219046156</v>
      </c>
      <c r="AO41" s="15">
        <v>179.13909951045329</v>
      </c>
      <c r="AP41" s="15">
        <v>0</v>
      </c>
      <c r="AQ41" s="15">
        <v>0</v>
      </c>
      <c r="AR41" s="15">
        <v>0</v>
      </c>
      <c r="AS41" s="15">
        <v>0</v>
      </c>
      <c r="AT41" s="15">
        <v>0</v>
      </c>
      <c r="AU41" s="15">
        <v>376.77066181369128</v>
      </c>
      <c r="AV41" s="15">
        <v>96.729205860894595</v>
      </c>
      <c r="AW41" s="15">
        <v>96.729205860894595</v>
      </c>
      <c r="AX41" s="15">
        <v>0</v>
      </c>
      <c r="AY41" s="15">
        <v>0</v>
      </c>
      <c r="AZ41" s="15">
        <v>228.58103166861807</v>
      </c>
      <c r="BA41" s="15">
        <v>76.930878417473068</v>
      </c>
      <c r="BB41" s="15">
        <v>63.187563854643749</v>
      </c>
      <c r="BC41" s="15">
        <v>88.462589396501244</v>
      </c>
      <c r="BD41" s="15">
        <v>0</v>
      </c>
      <c r="BE41" s="15">
        <v>51.4604242841786</v>
      </c>
      <c r="BF41" s="15">
        <v>17.539671219211677</v>
      </c>
      <c r="BG41" s="15">
        <v>1.4723613094253218</v>
      </c>
      <c r="BH41" s="15">
        <v>32.4483917555416</v>
      </c>
      <c r="BI41" s="15">
        <v>0</v>
      </c>
      <c r="BJ41" s="15">
        <v>376.77066181369128</v>
      </c>
      <c r="BK41" s="15">
        <v>465.23573764866467</v>
      </c>
      <c r="BL41" s="15">
        <v>1.485894462558256</v>
      </c>
      <c r="BM41" s="15">
        <v>2.2196804795261071</v>
      </c>
    </row>
    <row r="42" spans="1:65" x14ac:dyDescent="0.35">
      <c r="A42" s="15" t="s">
        <v>10605</v>
      </c>
      <c r="B42" s="15" t="s">
        <v>10457</v>
      </c>
      <c r="C42" s="15" t="s">
        <v>10584</v>
      </c>
      <c r="D42" s="15" t="s">
        <v>10325</v>
      </c>
      <c r="E42" s="15" t="s">
        <v>10647</v>
      </c>
      <c r="F42" s="15">
        <v>102208</v>
      </c>
      <c r="G42" s="15">
        <v>0.89712946363472601</v>
      </c>
      <c r="H42" s="15">
        <v>200</v>
      </c>
      <c r="I42" s="78">
        <v>241.7969075395583</v>
      </c>
      <c r="J42" s="79">
        <v>1.4329118484775036</v>
      </c>
      <c r="K42" s="15">
        <v>30</v>
      </c>
      <c r="L42" s="15">
        <v>91.787654745061644</v>
      </c>
      <c r="M42" s="15">
        <v>16.703914262320232</v>
      </c>
      <c r="N42" s="15">
        <v>35.852407632551881</v>
      </c>
      <c r="O42" s="15">
        <v>8.034434919435796</v>
      </c>
      <c r="P42" s="15">
        <v>12.541889238019301</v>
      </c>
      <c r="Q42" s="15">
        <v>15.276083475096788</v>
      </c>
      <c r="R42" s="15">
        <v>2.859229508696012</v>
      </c>
      <c r="S42" s="15">
        <v>0</v>
      </c>
      <c r="T42" s="15">
        <v>12.416853966400774</v>
      </c>
      <c r="U42" s="15">
        <v>0</v>
      </c>
      <c r="V42" s="15">
        <v>0</v>
      </c>
      <c r="W42" s="15">
        <v>0</v>
      </c>
      <c r="X42" s="15">
        <v>0</v>
      </c>
      <c r="Y42" s="15">
        <v>331.05565178408585</v>
      </c>
      <c r="Z42" s="15">
        <v>0</v>
      </c>
      <c r="AA42" s="15">
        <v>0</v>
      </c>
      <c r="AB42" s="15">
        <v>0</v>
      </c>
      <c r="AC42" s="15">
        <v>331.05565178408585</v>
      </c>
      <c r="AD42" s="15">
        <v>89.258744244527549</v>
      </c>
      <c r="AE42" s="15">
        <v>-12.202024505472432</v>
      </c>
      <c r="AF42" s="15">
        <v>0</v>
      </c>
      <c r="AG42" s="15">
        <v>0</v>
      </c>
      <c r="AH42" s="15">
        <v>0</v>
      </c>
      <c r="AI42" s="15">
        <v>101.46076874999997</v>
      </c>
      <c r="AJ42" s="15">
        <v>0</v>
      </c>
      <c r="AK42" s="15">
        <v>0</v>
      </c>
      <c r="AL42" s="15">
        <v>0</v>
      </c>
      <c r="AM42" s="15">
        <v>0</v>
      </c>
      <c r="AN42" s="15">
        <v>0.26961854831205845</v>
      </c>
      <c r="AO42" s="15">
        <v>241.7969075395583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5">
        <v>388.27056127821083</v>
      </c>
      <c r="AV42" s="15">
        <v>108.45270949318981</v>
      </c>
      <c r="AW42" s="15">
        <v>108.45270949318981</v>
      </c>
      <c r="AX42" s="15">
        <v>0</v>
      </c>
      <c r="AY42" s="15">
        <v>0</v>
      </c>
      <c r="AZ42" s="15">
        <v>219.14166953742475</v>
      </c>
      <c r="BA42" s="15">
        <v>76.930878417473068</v>
      </c>
      <c r="BB42" s="15">
        <v>59.25449629997987</v>
      </c>
      <c r="BC42" s="15">
        <v>82.956294819971816</v>
      </c>
      <c r="BD42" s="15">
        <v>0</v>
      </c>
      <c r="BE42" s="15">
        <v>60.676182247596287</v>
      </c>
      <c r="BF42" s="15">
        <v>20.773270504621394</v>
      </c>
      <c r="BG42" s="15">
        <v>1.4723613094253218</v>
      </c>
      <c r="BH42" s="15">
        <v>38.430550433549577</v>
      </c>
      <c r="BI42" s="15">
        <v>0</v>
      </c>
      <c r="BJ42" s="15">
        <v>388.27056127821083</v>
      </c>
      <c r="BK42" s="15">
        <v>477.52930552273835</v>
      </c>
      <c r="BL42" s="15">
        <v>1.0465722360318508</v>
      </c>
      <c r="BM42" s="15">
        <v>1.4329118484775036</v>
      </c>
    </row>
    <row r="43" spans="1:65" x14ac:dyDescent="0.35">
      <c r="A43" s="15" t="s">
        <v>10605</v>
      </c>
      <c r="B43" s="15" t="s">
        <v>10457</v>
      </c>
      <c r="C43" s="15" t="s">
        <v>10584</v>
      </c>
      <c r="D43" s="15" t="s">
        <v>10326</v>
      </c>
      <c r="E43" s="15" t="s">
        <v>10648</v>
      </c>
      <c r="F43" s="15">
        <v>102208</v>
      </c>
      <c r="G43" s="15">
        <v>0.89712946363472601</v>
      </c>
      <c r="H43" s="15">
        <v>200</v>
      </c>
      <c r="I43" s="78">
        <v>187.39198033882158</v>
      </c>
      <c r="J43" s="79">
        <v>4.0143865455536938</v>
      </c>
      <c r="K43" s="15">
        <v>30</v>
      </c>
      <c r="L43" s="15">
        <v>89.137533026341487</v>
      </c>
      <c r="M43" s="15">
        <v>16.282717530121023</v>
      </c>
      <c r="N43" s="15">
        <v>35.852407632551881</v>
      </c>
      <c r="O43" s="15">
        <v>26.200930669059137</v>
      </c>
      <c r="P43" s="15">
        <v>6.598635624771175</v>
      </c>
      <c r="Q43" s="15">
        <v>3.0528413387215751</v>
      </c>
      <c r="R43" s="15">
        <v>3.0528413387215751</v>
      </c>
      <c r="S43" s="15">
        <v>0</v>
      </c>
      <c r="T43" s="15">
        <v>0</v>
      </c>
      <c r="U43" s="15">
        <v>22732.897166773269</v>
      </c>
      <c r="V43" s="15">
        <v>0</v>
      </c>
      <c r="W43" s="15">
        <v>0</v>
      </c>
      <c r="X43" s="15">
        <v>0</v>
      </c>
      <c r="Y43" s="15">
        <v>617.64727093119143</v>
      </c>
      <c r="Z43" s="15">
        <v>0</v>
      </c>
      <c r="AA43" s="15">
        <v>0</v>
      </c>
      <c r="AB43" s="15">
        <v>0</v>
      </c>
      <c r="AC43" s="15">
        <v>617.64727093119143</v>
      </c>
      <c r="AD43" s="15">
        <v>430.25529059236987</v>
      </c>
      <c r="AE43" s="15">
        <v>10.398272162536887</v>
      </c>
      <c r="AF43" s="15">
        <v>0</v>
      </c>
      <c r="AG43" s="15">
        <v>0</v>
      </c>
      <c r="AH43" s="15">
        <v>296.85666020039048</v>
      </c>
      <c r="AI43" s="15">
        <v>123.00035822944253</v>
      </c>
      <c r="AJ43" s="15">
        <v>0</v>
      </c>
      <c r="AK43" s="15">
        <v>0</v>
      </c>
      <c r="AL43" s="15">
        <v>0</v>
      </c>
      <c r="AM43" s="15">
        <v>0</v>
      </c>
      <c r="AN43" s="15">
        <v>0.69660356459391237</v>
      </c>
      <c r="AO43" s="15">
        <v>187.39198033882158</v>
      </c>
      <c r="AP43" s="15">
        <v>307.25493236292738</v>
      </c>
      <c r="AQ43" s="15">
        <v>10.398272162536887</v>
      </c>
      <c r="AR43" s="15">
        <v>0</v>
      </c>
      <c r="AS43" s="15">
        <v>0</v>
      </c>
      <c r="AT43" s="15">
        <v>296.85666020039048</v>
      </c>
      <c r="AU43" s="15">
        <v>432.40089259272179</v>
      </c>
      <c r="AV43" s="15">
        <v>151.63425756146447</v>
      </c>
      <c r="AW43" s="15">
        <v>151.63425756146447</v>
      </c>
      <c r="AX43" s="15">
        <v>0</v>
      </c>
      <c r="AY43" s="15">
        <v>0</v>
      </c>
      <c r="AZ43" s="15">
        <v>223.48114862462157</v>
      </c>
      <c r="BA43" s="15">
        <v>82.718698010625417</v>
      </c>
      <c r="BB43" s="15">
        <v>58.65102108916507</v>
      </c>
      <c r="BC43" s="15">
        <v>82.111429524831095</v>
      </c>
      <c r="BD43" s="15">
        <v>0</v>
      </c>
      <c r="BE43" s="15">
        <v>57.285486406635741</v>
      </c>
      <c r="BF43" s="15">
        <v>19.54468541415994</v>
      </c>
      <c r="BG43" s="15">
        <v>1.5831329762799125</v>
      </c>
      <c r="BH43" s="15">
        <v>36.157668016195885</v>
      </c>
      <c r="BI43" s="15">
        <v>0</v>
      </c>
      <c r="BJ43" s="15">
        <v>739.65582495564922</v>
      </c>
      <c r="BK43" s="15">
        <v>1169.9111155480191</v>
      </c>
      <c r="BL43" s="15">
        <v>1.2179505682631488</v>
      </c>
      <c r="BM43" s="15">
        <v>4.0143865455536938</v>
      </c>
    </row>
    <row r="44" spans="1:65" x14ac:dyDescent="0.35">
      <c r="A44" s="15" t="s">
        <v>10605</v>
      </c>
      <c r="B44" s="15" t="s">
        <v>10457</v>
      </c>
      <c r="C44" s="15" t="s">
        <v>10584</v>
      </c>
      <c r="D44" s="15" t="s">
        <v>10327</v>
      </c>
      <c r="E44" s="15" t="s">
        <v>10649</v>
      </c>
      <c r="F44" s="15">
        <v>102208</v>
      </c>
      <c r="G44" s="15">
        <v>0.89712946363472601</v>
      </c>
      <c r="H44" s="15">
        <v>200</v>
      </c>
      <c r="I44" s="80">
        <v>1145.0700788222314</v>
      </c>
      <c r="J44" s="81">
        <v>2.8660287166460852E-2</v>
      </c>
      <c r="K44" s="15">
        <v>30</v>
      </c>
      <c r="L44" s="15">
        <v>108.87239167328235</v>
      </c>
      <c r="M44" s="15">
        <v>25.458572509114063</v>
      </c>
      <c r="N44" s="15">
        <v>35.852407632551881</v>
      </c>
      <c r="O44" s="15">
        <v>26.200930669059137</v>
      </c>
      <c r="P44" s="15">
        <v>6.598635624771175</v>
      </c>
      <c r="Q44" s="15">
        <v>3.0528413387215751</v>
      </c>
      <c r="R44" s="15">
        <v>3.0528413387215751</v>
      </c>
      <c r="S44" s="15">
        <v>0</v>
      </c>
      <c r="T44" s="15">
        <v>0</v>
      </c>
      <c r="U44" s="15">
        <v>22732.897166773269</v>
      </c>
      <c r="V44" s="15">
        <v>0</v>
      </c>
      <c r="W44" s="15">
        <v>0</v>
      </c>
      <c r="X44" s="15">
        <v>0</v>
      </c>
      <c r="Y44" s="15">
        <v>1518.0599492909914</v>
      </c>
      <c r="Z44" s="15">
        <v>0</v>
      </c>
      <c r="AA44" s="15">
        <v>0</v>
      </c>
      <c r="AB44" s="15">
        <v>0</v>
      </c>
      <c r="AC44" s="15">
        <v>1518.0599492909914</v>
      </c>
      <c r="AD44" s="15">
        <v>372.98987046876005</v>
      </c>
      <c r="AE44" s="15">
        <v>26.384543514263495</v>
      </c>
      <c r="AF44" s="15">
        <v>0</v>
      </c>
      <c r="AG44" s="15">
        <v>0</v>
      </c>
      <c r="AH44" s="15">
        <v>223.60496872505396</v>
      </c>
      <c r="AI44" s="15">
        <v>123.00035822944253</v>
      </c>
      <c r="AJ44" s="15">
        <v>0</v>
      </c>
      <c r="AK44" s="15">
        <v>0</v>
      </c>
      <c r="AL44" s="15">
        <v>0</v>
      </c>
      <c r="AM44" s="15">
        <v>0</v>
      </c>
      <c r="AN44" s="15">
        <v>0.2457016737994864</v>
      </c>
      <c r="AO44" s="15">
        <v>1145.0700788222314</v>
      </c>
      <c r="AP44" s="15">
        <v>249.98951223931746</v>
      </c>
      <c r="AQ44" s="15">
        <v>26.384543514263495</v>
      </c>
      <c r="AR44" s="15">
        <v>0</v>
      </c>
      <c r="AS44" s="15">
        <v>0</v>
      </c>
      <c r="AT44" s="15">
        <v>223.60496872505396</v>
      </c>
      <c r="AU44" s="15">
        <v>727.898603867681</v>
      </c>
      <c r="AV44" s="15">
        <v>151.63425756146447</v>
      </c>
      <c r="AW44" s="15">
        <v>151.63425756146447</v>
      </c>
      <c r="AX44" s="15">
        <v>0</v>
      </c>
      <c r="AY44" s="15">
        <v>0</v>
      </c>
      <c r="AZ44" s="15">
        <v>382.50973086569496</v>
      </c>
      <c r="BA44" s="15">
        <v>82.718698010625417</v>
      </c>
      <c r="BB44" s="15">
        <v>124.91293035627898</v>
      </c>
      <c r="BC44" s="15">
        <v>174.87810249879055</v>
      </c>
      <c r="BD44" s="15">
        <v>0</v>
      </c>
      <c r="BE44" s="15">
        <v>193.7546154405216</v>
      </c>
      <c r="BF44" s="15">
        <v>67.428590338330423</v>
      </c>
      <c r="BG44" s="15">
        <v>1.5831329762799125</v>
      </c>
      <c r="BH44" s="15">
        <v>124.74289212591128</v>
      </c>
      <c r="BI44" s="15">
        <v>0</v>
      </c>
      <c r="BJ44" s="15">
        <v>977.8881161069985</v>
      </c>
      <c r="BK44" s="15">
        <v>1350.8779865757585</v>
      </c>
      <c r="BL44" s="15">
        <v>2.1618406638087482E-2</v>
      </c>
      <c r="BM44" s="15">
        <v>2.8660287166460852E-2</v>
      </c>
    </row>
    <row r="45" spans="1:65" s="60" customFormat="1" x14ac:dyDescent="0.35">
      <c r="A45" s="59" t="s">
        <v>10605</v>
      </c>
      <c r="B45" s="59" t="s">
        <v>10457</v>
      </c>
      <c r="C45" s="59" t="s">
        <v>10650</v>
      </c>
      <c r="D45" s="59" t="s">
        <v>10321</v>
      </c>
      <c r="E45" s="59" t="s">
        <v>10651</v>
      </c>
      <c r="F45" s="59">
        <v>102208</v>
      </c>
      <c r="G45" s="59">
        <v>0.89712946363472601</v>
      </c>
      <c r="H45" s="59">
        <v>200</v>
      </c>
      <c r="I45" s="59">
        <v>158.56995212485791</v>
      </c>
      <c r="J45" s="88">
        <v>2.8877166949529998</v>
      </c>
      <c r="K45" s="59">
        <v>30</v>
      </c>
      <c r="L45" s="59">
        <v>98.208040486307397</v>
      </c>
      <c r="M45" s="59">
        <v>17.449561214908613</v>
      </c>
      <c r="N45" s="59">
        <v>35.852407632551881</v>
      </c>
      <c r="O45" s="59">
        <v>6.6826915944656911</v>
      </c>
      <c r="P45" s="59">
        <v>13.881738526757307</v>
      </c>
      <c r="Q45" s="59">
        <v>15.287977511328885</v>
      </c>
      <c r="R45" s="59">
        <v>2.859229508696012</v>
      </c>
      <c r="S45" s="59">
        <v>5.9914482122081827</v>
      </c>
      <c r="T45" s="59">
        <v>6.4372997904246914</v>
      </c>
      <c r="U45" s="59">
        <v>0</v>
      </c>
      <c r="V45" s="59">
        <v>4353.7586323035193</v>
      </c>
      <c r="W45" s="59">
        <v>0</v>
      </c>
      <c r="X45" s="59">
        <v>0</v>
      </c>
      <c r="Y45" s="59">
        <v>300.20101355741713</v>
      </c>
      <c r="Z45" s="59">
        <v>0</v>
      </c>
      <c r="AA45" s="59">
        <v>0</v>
      </c>
      <c r="AB45" s="59">
        <v>0</v>
      </c>
      <c r="AC45" s="59">
        <v>300.20101355741713</v>
      </c>
      <c r="AD45" s="59">
        <v>141.63106143255922</v>
      </c>
      <c r="AE45" s="59">
        <v>10.497023283962299</v>
      </c>
      <c r="AF45" s="59">
        <v>0</v>
      </c>
      <c r="AG45" s="59">
        <v>0</v>
      </c>
      <c r="AH45" s="59">
        <v>29.673269398596982</v>
      </c>
      <c r="AI45" s="59">
        <v>101.46076874999997</v>
      </c>
      <c r="AJ45" s="59">
        <v>0</v>
      </c>
      <c r="AK45" s="59">
        <v>0</v>
      </c>
      <c r="AL45" s="59">
        <v>0</v>
      </c>
      <c r="AM45" s="59">
        <v>0</v>
      </c>
      <c r="AN45" s="59">
        <v>0.47178741921692596</v>
      </c>
      <c r="AO45" s="59">
        <v>158.56995212485791</v>
      </c>
      <c r="AP45" s="59">
        <v>40.170292682559278</v>
      </c>
      <c r="AQ45" s="59">
        <v>10.497023283962299</v>
      </c>
      <c r="AR45" s="59">
        <v>0</v>
      </c>
      <c r="AS45" s="59">
        <v>0</v>
      </c>
      <c r="AT45" s="59">
        <v>29.673269398596982</v>
      </c>
      <c r="AU45" s="59">
        <v>376.30475751114869</v>
      </c>
      <c r="AV45" s="59">
        <v>100.21210397526849</v>
      </c>
      <c r="AW45" s="59">
        <v>100.21210397526849</v>
      </c>
      <c r="AX45" s="59">
        <v>0</v>
      </c>
      <c r="AY45" s="59">
        <v>0</v>
      </c>
      <c r="AZ45" s="59">
        <v>227.47966352954032</v>
      </c>
      <c r="BA45" s="59">
        <v>76.930878417473068</v>
      </c>
      <c r="BB45" s="59">
        <v>62.728660463361365</v>
      </c>
      <c r="BC45" s="59">
        <v>87.8201246487059</v>
      </c>
      <c r="BD45" s="59">
        <v>0</v>
      </c>
      <c r="BE45" s="59">
        <v>48.612990006339871</v>
      </c>
      <c r="BF45" s="59">
        <v>16.540571472601595</v>
      </c>
      <c r="BG45" s="59">
        <v>1.4723613094253218</v>
      </c>
      <c r="BH45" s="59">
        <v>30.600057224312952</v>
      </c>
      <c r="BI45" s="59">
        <v>0</v>
      </c>
      <c r="BJ45" s="59">
        <v>416.47505019370794</v>
      </c>
      <c r="BK45" s="59">
        <v>558.10611162626719</v>
      </c>
      <c r="BL45" s="59">
        <v>1.5253282880114929</v>
      </c>
      <c r="BM45" s="59">
        <v>2.8877166949529998</v>
      </c>
    </row>
    <row r="46" spans="1:65" s="56" customFormat="1" x14ac:dyDescent="0.35">
      <c r="A46" s="55" t="s">
        <v>10605</v>
      </c>
      <c r="B46" s="55" t="s">
        <v>10652</v>
      </c>
      <c r="C46" s="55" t="s">
        <v>9780</v>
      </c>
      <c r="D46" s="55" t="s">
        <v>9780</v>
      </c>
      <c r="E46" s="55" t="s">
        <v>10013</v>
      </c>
      <c r="F46" s="55">
        <f>F37</f>
        <v>18919</v>
      </c>
      <c r="G46" s="55">
        <f>G37</f>
        <v>0.89712986944341666</v>
      </c>
      <c r="H46" s="55">
        <f>(H37*N37+H45*N45)/(N37+N45)</f>
        <v>199.99999999999997</v>
      </c>
      <c r="I46" s="55">
        <f>(I37*N37+I45*N45)/(N37+N45)</f>
        <v>152.99210419327912</v>
      </c>
      <c r="J46" s="89">
        <f>(J37*N37+J45*N45)/(N37+N45)</f>
        <v>3.6006166857258357</v>
      </c>
      <c r="K46" s="55">
        <f>K37</f>
        <v>30</v>
      </c>
      <c r="L46" s="55">
        <f t="shared" ref="L46:W46" si="3">L37+L45</f>
        <v>136.13307213328721</v>
      </c>
      <c r="M46" s="55">
        <f t="shared" si="3"/>
        <v>25.463733837986588</v>
      </c>
      <c r="N46" s="55">
        <f t="shared" si="3"/>
        <v>42.488796240288906</v>
      </c>
      <c r="O46" s="55">
        <f t="shared" si="3"/>
        <v>11.532562754760633</v>
      </c>
      <c r="P46" s="55">
        <f t="shared" si="3"/>
        <v>15.103165850011305</v>
      </c>
      <c r="Q46" s="55">
        <f t="shared" si="3"/>
        <v>15.853067635516966</v>
      </c>
      <c r="R46" s="55">
        <f t="shared" si="3"/>
        <v>3.4243196328840946</v>
      </c>
      <c r="S46" s="55">
        <f t="shared" si="3"/>
        <v>5.9914482122081827</v>
      </c>
      <c r="T46" s="55">
        <f t="shared" si="3"/>
        <v>6.4372997904246914</v>
      </c>
      <c r="U46" s="55">
        <f t="shared" si="3"/>
        <v>4207.927716448683</v>
      </c>
      <c r="V46" s="55">
        <f t="shared" si="3"/>
        <v>4353.7586323035193</v>
      </c>
      <c r="W46" s="55">
        <f t="shared" si="3"/>
        <v>0</v>
      </c>
      <c r="X46" s="55">
        <f>(X37*N37+X45*N45)/(N37+N45)</f>
        <v>0</v>
      </c>
      <c r="Y46" s="55">
        <f>(Y37*N37+Y45*N45)/(N37+N45)</f>
        <v>348.15929742031165</v>
      </c>
      <c r="Z46" s="55">
        <f>(Z37*N37+Z45*N45)/(N37+N45)</f>
        <v>0</v>
      </c>
      <c r="AA46" s="55">
        <f>(AA37*N37+AA45*N45)/(N37+N45)</f>
        <v>0</v>
      </c>
      <c r="AB46" s="55">
        <f>(AB37*N37+AB45*N45)/(N37+N45)</f>
        <v>0</v>
      </c>
      <c r="AC46" s="55">
        <f>(AC37*N37+AC45*N45)/(N37+N45)</f>
        <v>348.15929742031165</v>
      </c>
      <c r="AD46" s="55">
        <f>(AD37*N37+AD45*N45)/(N37+N45)</f>
        <v>195.16719322703253</v>
      </c>
      <c r="AE46" s="55">
        <f>(AE37*N37+AE45*N45)/(N37+N45)</f>
        <v>8.8574775236429666</v>
      </c>
      <c r="AF46" s="55">
        <f>(AF37*N37+AF45*N45)/(N37+N45)</f>
        <v>0</v>
      </c>
      <c r="AG46" s="55">
        <f>(AG37*N37+AG45*N45)/(N37+N45)</f>
        <v>0</v>
      </c>
      <c r="AH46" s="55">
        <f>(AH37*N37+AH45*N45)/(N37+N45)</f>
        <v>81.48464626978587</v>
      </c>
      <c r="AI46" s="55">
        <f>(AI37*N37+AI45*N45)/(N37+N45)</f>
        <v>104.82506943360373</v>
      </c>
      <c r="AJ46" s="55">
        <f>(AJ37*N37+AJ45*N45)/(N37+N45)</f>
        <v>0</v>
      </c>
      <c r="AK46" s="55">
        <f>(AK37*N37+AK45*N45)/(N37+N45)</f>
        <v>0</v>
      </c>
      <c r="AL46" s="55">
        <f>(AL37*N37+AL45*N45)/(N37+N45)</f>
        <v>0</v>
      </c>
      <c r="AM46" s="55">
        <f>(AM37*N37+AM45*N45)/(N37+N45)</f>
        <v>0</v>
      </c>
      <c r="AN46" s="55">
        <f>(AN37*N37+AN45*N45)/(N37+N45)</f>
        <v>0.52268913644231974</v>
      </c>
      <c r="AO46" s="55">
        <f>(AO37*N37+AO45*N45)/(N37+N45)</f>
        <v>152.99210419327912</v>
      </c>
      <c r="AP46" s="55">
        <f>(AP37*N37+AP45*N45)/(N37+N45)</f>
        <v>90.342123793428826</v>
      </c>
      <c r="AQ46" s="55">
        <f>(AQ37*N37+AQ45*N45)/(N37+N45)</f>
        <v>8.8574775236429666</v>
      </c>
      <c r="AR46" s="55">
        <f>(AR37*N37+AR45*N45)/(N37+N45)</f>
        <v>0</v>
      </c>
      <c r="AS46" s="55">
        <f>(AS37*N37+AS45*N45)/(N37+N45)</f>
        <v>0</v>
      </c>
      <c r="AT46" s="55">
        <f>(AT37*N37+AT45*N45)/(N37+N45)</f>
        <v>81.48464626978587</v>
      </c>
      <c r="AU46" s="55">
        <f>(AU37*N37+AU45*N45)/(N37+N45)</f>
        <v>392.03355317192472</v>
      </c>
      <c r="AV46" s="55">
        <f>(AV37*N37+AV45*N45)/(N37+N45)</f>
        <v>111.81115799796279</v>
      </c>
      <c r="AW46" s="55">
        <f>(AW37*N37+AW45*N45)/(N37+N45)</f>
        <v>111.81115799796279</v>
      </c>
      <c r="AX46" s="55">
        <f>(AX37*N37+AX45*N45)/(N37+N45)</f>
        <v>0</v>
      </c>
      <c r="AY46" s="55">
        <f>(AY37*N37+AY45*N45)/(N37+N45)</f>
        <v>0</v>
      </c>
      <c r="AZ46" s="55">
        <f>(AZ37*N37+AZ45*N45)/(N37+N45)</f>
        <v>222.33662746346721</v>
      </c>
      <c r="BA46" s="55">
        <f>(BA37*N37+BA45*N45)/(N37+N45)</f>
        <v>77.834886612819687</v>
      </c>
      <c r="BB46" s="55">
        <f>(BB37*N37+BB45*N45)/(N37+N45)</f>
        <v>60.209058687769819</v>
      </c>
      <c r="BC46" s="55">
        <f>(BC37*N37+BC45*N45)/(N37+N45)</f>
        <v>84.292682162877725</v>
      </c>
      <c r="BD46" s="55">
        <f>(BD37*N37+BD45*N45)/(N37+N45)</f>
        <v>0</v>
      </c>
      <c r="BE46" s="55">
        <f>(BE37*N37+BE45*N45)/(N37+N45)</f>
        <v>57.885767710494662</v>
      </c>
      <c r="BF46" s="55">
        <f>(BF37*N37+BF45*N45)/(N37+N45)</f>
        <v>19.788106950461017</v>
      </c>
      <c r="BG46" s="55">
        <f>(BG37*N37+BG45*N45)/(N37+N45)</f>
        <v>1.4896629016807592</v>
      </c>
      <c r="BH46" s="55">
        <f>(BH37*N37+BH45*N45)/(N37+N45)</f>
        <v>36.607997858352881</v>
      </c>
      <c r="BI46" s="55">
        <f>(BI37*N37+BI45*N45)/(N37+N45)</f>
        <v>0</v>
      </c>
      <c r="BJ46" s="55">
        <f>(BJ37*N37+BJ45*N45)/(N37+N45)</f>
        <v>482.37567696535342</v>
      </c>
      <c r="BK46" s="55">
        <f>(BK37*N37+BK45*N45)/(N37+N45)</f>
        <v>677.54287019238609</v>
      </c>
      <c r="BL46" s="55">
        <f>(BL37*N37+BL45*N45)/(N37+N45)</f>
        <v>1.5225721660240914</v>
      </c>
      <c r="BM46" s="55">
        <f>(BM37*N37+BM45*N45)/(N37+N45)</f>
        <v>3.6006166857258357</v>
      </c>
    </row>
    <row r="47" spans="1:65" s="56" customFormat="1" x14ac:dyDescent="0.35">
      <c r="A47" s="15" t="s">
        <v>10616</v>
      </c>
      <c r="B47" s="15" t="s">
        <v>10457</v>
      </c>
      <c r="C47" s="15" t="s">
        <v>10582</v>
      </c>
      <c r="D47" s="15" t="s">
        <v>10321</v>
      </c>
      <c r="E47" s="15" t="s">
        <v>10653</v>
      </c>
      <c r="F47" s="15">
        <v>18919</v>
      </c>
      <c r="G47" s="15">
        <v>0.89712986944341666</v>
      </c>
      <c r="H47" s="15">
        <v>200</v>
      </c>
      <c r="I47" s="78">
        <v>127.28051784729401</v>
      </c>
      <c r="J47" s="79">
        <v>4.5370468828968882</v>
      </c>
      <c r="K47" s="15">
        <v>30</v>
      </c>
      <c r="L47" s="15">
        <v>39.528246974342871</v>
      </c>
      <c r="M47" s="15">
        <v>8.6683235982771087</v>
      </c>
      <c r="N47" s="15">
        <v>6.6363886077370218</v>
      </c>
      <c r="O47" s="15">
        <v>1.2369863363448381</v>
      </c>
      <c r="P47" s="15">
        <v>2.5695516005154566</v>
      </c>
      <c r="Q47" s="15">
        <v>2.8298506708767253</v>
      </c>
      <c r="R47" s="15">
        <v>0.52925199146702739</v>
      </c>
      <c r="S47" s="15">
        <v>1.109035104890516</v>
      </c>
      <c r="T47" s="15">
        <v>1.1915635745191826</v>
      </c>
      <c r="U47" s="15">
        <v>0</v>
      </c>
      <c r="V47" s="15">
        <v>805.8938324137099</v>
      </c>
      <c r="W47" s="15">
        <v>0</v>
      </c>
      <c r="X47" s="15">
        <v>0</v>
      </c>
      <c r="Y47" s="15">
        <v>288.89808559445322</v>
      </c>
      <c r="Z47" s="15">
        <v>0</v>
      </c>
      <c r="AA47" s="15">
        <v>0</v>
      </c>
      <c r="AB47" s="15">
        <v>0</v>
      </c>
      <c r="AC47" s="15">
        <v>288.89808559445322</v>
      </c>
      <c r="AD47" s="15">
        <v>161.61756774715923</v>
      </c>
      <c r="AE47" s="15">
        <v>0.54994788619329271</v>
      </c>
      <c r="AF47" s="15">
        <v>0</v>
      </c>
      <c r="AG47" s="15">
        <v>0</v>
      </c>
      <c r="AH47" s="15">
        <v>40.249386060965911</v>
      </c>
      <c r="AI47" s="15">
        <v>101.46076874999999</v>
      </c>
      <c r="AJ47" s="15">
        <v>-1.468144660174908E-15</v>
      </c>
      <c r="AK47" s="15">
        <v>0</v>
      </c>
      <c r="AL47" s="15">
        <v>0</v>
      </c>
      <c r="AM47" s="15">
        <v>19.357465050000009</v>
      </c>
      <c r="AN47" s="15">
        <v>0.55942761757872395</v>
      </c>
      <c r="AO47" s="15">
        <v>127.28051784729401</v>
      </c>
      <c r="AP47" s="15">
        <v>40.799333947159205</v>
      </c>
      <c r="AQ47" s="15">
        <v>0.54994788619329271</v>
      </c>
      <c r="AR47" s="15">
        <v>0</v>
      </c>
      <c r="AS47" s="15">
        <v>0</v>
      </c>
      <c r="AT47" s="15">
        <v>40.249386060965911</v>
      </c>
      <c r="AU47" s="15">
        <v>463.9588606527019</v>
      </c>
      <c r="AV47" s="15">
        <v>125.8448511889483</v>
      </c>
      <c r="AW47" s="15">
        <v>125.8448511889483</v>
      </c>
      <c r="AX47" s="15">
        <v>0</v>
      </c>
      <c r="AY47" s="15">
        <v>0</v>
      </c>
      <c r="AZ47" s="15">
        <v>232.76638106271054</v>
      </c>
      <c r="BA47" s="15">
        <v>76.930878417473096</v>
      </c>
      <c r="BB47" s="15">
        <v>64.931459435515606</v>
      </c>
      <c r="BC47" s="15">
        <v>90.904043209721834</v>
      </c>
      <c r="BD47" s="15">
        <v>0</v>
      </c>
      <c r="BE47" s="15">
        <v>105.34762840104301</v>
      </c>
      <c r="BF47" s="15">
        <v>36.447462137409715</v>
      </c>
      <c r="BG47" s="15">
        <v>1.4723613094253223</v>
      </c>
      <c r="BH47" s="15">
        <v>67.427804954207971</v>
      </c>
      <c r="BI47" s="15">
        <v>0</v>
      </c>
      <c r="BJ47" s="15">
        <v>504.7581945998611</v>
      </c>
      <c r="BK47" s="55">
        <v>666.37576234702033</v>
      </c>
      <c r="BL47" s="55">
        <v>1.9988975543549068</v>
      </c>
      <c r="BM47" s="55">
        <v>4.5370468828968882</v>
      </c>
    </row>
    <row r="48" spans="1:65" x14ac:dyDescent="0.35">
      <c r="A48" s="15" t="s">
        <v>10616</v>
      </c>
      <c r="B48" s="15" t="s">
        <v>10457</v>
      </c>
      <c r="C48" s="15" t="s">
        <v>10582</v>
      </c>
      <c r="D48" s="15" t="s">
        <v>10322</v>
      </c>
      <c r="E48" s="15" t="s">
        <v>10654</v>
      </c>
      <c r="F48" s="15">
        <v>18919</v>
      </c>
      <c r="G48" s="15">
        <v>0.89712986944341666</v>
      </c>
      <c r="H48" s="15">
        <v>200</v>
      </c>
      <c r="I48" s="78">
        <v>69.773412614829468</v>
      </c>
      <c r="J48" s="79">
        <v>8.0109624915714548</v>
      </c>
      <c r="K48" s="15">
        <v>30</v>
      </c>
      <c r="L48" s="15">
        <v>39.528246974342871</v>
      </c>
      <c r="M48" s="15">
        <v>8.6683235982771087</v>
      </c>
      <c r="N48" s="15">
        <v>6.6363886077370218</v>
      </c>
      <c r="O48" s="15">
        <v>1.2369863363448381</v>
      </c>
      <c r="P48" s="15">
        <v>2.5695516005154566</v>
      </c>
      <c r="Q48" s="15">
        <v>2.8298506708767253</v>
      </c>
      <c r="R48" s="15">
        <v>0.52925199146702739</v>
      </c>
      <c r="S48" s="15">
        <v>1.109035104890516</v>
      </c>
      <c r="T48" s="15">
        <v>1.1915635745191826</v>
      </c>
      <c r="U48" s="15">
        <v>0</v>
      </c>
      <c r="V48" s="15">
        <v>0</v>
      </c>
      <c r="W48" s="15">
        <v>201.47345810342748</v>
      </c>
      <c r="X48" s="15">
        <v>0</v>
      </c>
      <c r="Y48" s="15">
        <v>288.89808559445322</v>
      </c>
      <c r="Z48" s="15">
        <v>0</v>
      </c>
      <c r="AA48" s="15">
        <v>0</v>
      </c>
      <c r="AB48" s="15">
        <v>0</v>
      </c>
      <c r="AC48" s="15">
        <v>288.89808559445322</v>
      </c>
      <c r="AD48" s="15">
        <v>219.12467297962377</v>
      </c>
      <c r="AE48" s="15">
        <v>-0.62490944247001956</v>
      </c>
      <c r="AF48" s="15">
        <v>91.383214144028386</v>
      </c>
      <c r="AG48" s="15">
        <v>197.29195325637224</v>
      </c>
      <c r="AH48" s="15">
        <v>0</v>
      </c>
      <c r="AI48" s="15">
        <v>101.46076874999999</v>
      </c>
      <c r="AJ48" s="15">
        <v>0</v>
      </c>
      <c r="AK48" s="15">
        <v>-189.74381877830683</v>
      </c>
      <c r="AL48" s="15">
        <v>0</v>
      </c>
      <c r="AM48" s="15">
        <v>19.357465050000009</v>
      </c>
      <c r="AN48" s="15">
        <v>0.75848433723172759</v>
      </c>
      <c r="AO48" s="15">
        <v>69.773412614829468</v>
      </c>
      <c r="AP48" s="15">
        <v>0</v>
      </c>
      <c r="AQ48" s="15">
        <v>0</v>
      </c>
      <c r="AR48" s="15">
        <v>0</v>
      </c>
      <c r="AS48" s="15">
        <v>0</v>
      </c>
      <c r="AT48" s="15">
        <v>0</v>
      </c>
      <c r="AU48" s="15">
        <v>428.72560398116696</v>
      </c>
      <c r="AV48" s="15">
        <v>125.8448511889483</v>
      </c>
      <c r="AW48" s="15">
        <v>125.8448511889483</v>
      </c>
      <c r="AX48" s="15">
        <v>0</v>
      </c>
      <c r="AY48" s="15">
        <v>0</v>
      </c>
      <c r="AZ48" s="15">
        <v>232.76638106271054</v>
      </c>
      <c r="BA48" s="15">
        <v>76.930878417473096</v>
      </c>
      <c r="BB48" s="15">
        <v>64.931459435515606</v>
      </c>
      <c r="BC48" s="15">
        <v>90.904043209721834</v>
      </c>
      <c r="BD48" s="15">
        <v>0</v>
      </c>
      <c r="BE48" s="15">
        <v>70.114371729508093</v>
      </c>
      <c r="BF48" s="15">
        <v>24.084915936871148</v>
      </c>
      <c r="BG48" s="15">
        <v>1.4723613094253223</v>
      </c>
      <c r="BH48" s="15">
        <v>44.557094483211621</v>
      </c>
      <c r="BI48" s="15">
        <v>0</v>
      </c>
      <c r="BJ48" s="15">
        <v>428.72560398116696</v>
      </c>
      <c r="BK48" s="15">
        <v>647.85027696079078</v>
      </c>
      <c r="BL48" s="15">
        <v>1.9347729155636511</v>
      </c>
      <c r="BM48" s="15">
        <v>8.0109624915714548</v>
      </c>
    </row>
    <row r="49" spans="1:65" x14ac:dyDescent="0.35">
      <c r="A49" s="15" t="s">
        <v>10616</v>
      </c>
      <c r="B49" s="15" t="s">
        <v>10457</v>
      </c>
      <c r="C49" s="15" t="s">
        <v>10582</v>
      </c>
      <c r="D49" s="15" t="s">
        <v>10323</v>
      </c>
      <c r="E49" s="15" t="s">
        <v>10655</v>
      </c>
      <c r="F49" s="15">
        <v>18919</v>
      </c>
      <c r="G49" s="15">
        <v>0.89712986944341666</v>
      </c>
      <c r="H49" s="15">
        <v>200</v>
      </c>
      <c r="I49" s="78">
        <v>142.06184295619937</v>
      </c>
      <c r="J49" s="79">
        <v>3.7152831569435318</v>
      </c>
      <c r="K49" s="15">
        <v>30</v>
      </c>
      <c r="L49" s="15">
        <v>39.528246974342871</v>
      </c>
      <c r="M49" s="15">
        <v>8.6683235982771087</v>
      </c>
      <c r="N49" s="15">
        <v>6.6363886077370218</v>
      </c>
      <c r="O49" s="15">
        <v>1.2369863363448381</v>
      </c>
      <c r="P49" s="15">
        <v>2.5695516005154566</v>
      </c>
      <c r="Q49" s="15">
        <v>2.8298506708767253</v>
      </c>
      <c r="R49" s="15">
        <v>0.52925199146702739</v>
      </c>
      <c r="S49" s="15">
        <v>1.109035104890516</v>
      </c>
      <c r="T49" s="15">
        <v>1.1915635745191826</v>
      </c>
      <c r="U49" s="15">
        <v>0</v>
      </c>
      <c r="V49" s="15">
        <v>0</v>
      </c>
      <c r="W49" s="15">
        <v>0</v>
      </c>
      <c r="X49" s="15">
        <v>201473.45810342749</v>
      </c>
      <c r="Y49" s="15">
        <v>288.89808559445322</v>
      </c>
      <c r="Z49" s="15">
        <v>0</v>
      </c>
      <c r="AA49" s="15">
        <v>0</v>
      </c>
      <c r="AB49" s="15">
        <v>0</v>
      </c>
      <c r="AC49" s="15">
        <v>288.89808559445322</v>
      </c>
      <c r="AD49" s="15">
        <v>146.83624263825385</v>
      </c>
      <c r="AE49" s="15">
        <v>-0.62490944247001956</v>
      </c>
      <c r="AF49" s="15">
        <v>0</v>
      </c>
      <c r="AG49" s="15">
        <v>0</v>
      </c>
      <c r="AH49" s="15">
        <v>0</v>
      </c>
      <c r="AI49" s="15">
        <v>101.46076874999999</v>
      </c>
      <c r="AJ49" s="15">
        <v>0</v>
      </c>
      <c r="AK49" s="15">
        <v>26.642918280723894</v>
      </c>
      <c r="AL49" s="15">
        <v>0</v>
      </c>
      <c r="AM49" s="15">
        <v>19.357465050000009</v>
      </c>
      <c r="AN49" s="15">
        <v>0.50826312101070248</v>
      </c>
      <c r="AO49" s="15">
        <v>142.06184295619937</v>
      </c>
      <c r="AP49" s="15">
        <v>0</v>
      </c>
      <c r="AQ49" s="15">
        <v>0</v>
      </c>
      <c r="AR49" s="15">
        <v>0</v>
      </c>
      <c r="AS49" s="15">
        <v>0</v>
      </c>
      <c r="AT49" s="15">
        <v>0</v>
      </c>
      <c r="AU49" s="15">
        <v>469.86181533572403</v>
      </c>
      <c r="AV49" s="15">
        <v>125.8448511889483</v>
      </c>
      <c r="AW49" s="15">
        <v>125.8448511889483</v>
      </c>
      <c r="AX49" s="15">
        <v>0</v>
      </c>
      <c r="AY49" s="15">
        <v>0</v>
      </c>
      <c r="AZ49" s="15">
        <v>232.76638106271054</v>
      </c>
      <c r="BA49" s="15">
        <v>76.930878417473096</v>
      </c>
      <c r="BB49" s="15">
        <v>64.931459435515606</v>
      </c>
      <c r="BC49" s="15">
        <v>90.904043209721834</v>
      </c>
      <c r="BD49" s="15">
        <v>0</v>
      </c>
      <c r="BE49" s="15">
        <v>111.25058308406516</v>
      </c>
      <c r="BF49" s="15">
        <v>38.518674306891171</v>
      </c>
      <c r="BG49" s="15">
        <v>1.4723613094253223</v>
      </c>
      <c r="BH49" s="15">
        <v>71.259547467748661</v>
      </c>
      <c r="BI49" s="15">
        <v>0</v>
      </c>
      <c r="BJ49" s="15">
        <v>469.86181533572403</v>
      </c>
      <c r="BK49" s="15">
        <v>616.69805797397794</v>
      </c>
      <c r="BL49" s="15">
        <v>1.8269417441569169</v>
      </c>
      <c r="BM49" s="15">
        <v>3.7152831569435318</v>
      </c>
    </row>
    <row r="50" spans="1:65" x14ac:dyDescent="0.35">
      <c r="A50" s="15" t="s">
        <v>10616</v>
      </c>
      <c r="B50" s="15" t="s">
        <v>10457</v>
      </c>
      <c r="C50" s="15" t="s">
        <v>10582</v>
      </c>
      <c r="D50" s="15" t="s">
        <v>10324</v>
      </c>
      <c r="E50" s="15" t="s">
        <v>10656</v>
      </c>
      <c r="F50" s="15">
        <v>18919</v>
      </c>
      <c r="G50" s="15">
        <v>0.89712986944341666</v>
      </c>
      <c r="H50" s="15">
        <v>200</v>
      </c>
      <c r="I50" s="78">
        <v>135.37758544950844</v>
      </c>
      <c r="J50" s="79">
        <v>3.9217363181376448</v>
      </c>
      <c r="K50" s="15">
        <v>30</v>
      </c>
      <c r="L50" s="15">
        <v>39.724186967451779</v>
      </c>
      <c r="M50" s="15">
        <v>8.7101526363602897</v>
      </c>
      <c r="N50" s="15">
        <v>6.6363886077370218</v>
      </c>
      <c r="O50" s="15">
        <v>0.93254532715920602</v>
      </c>
      <c r="P50" s="15">
        <v>2.6782805323674688</v>
      </c>
      <c r="Q50" s="15">
        <v>3.0255627482103469</v>
      </c>
      <c r="R50" s="15">
        <v>0.52925199146702739</v>
      </c>
      <c r="S50" s="15">
        <v>1.3047471822241368</v>
      </c>
      <c r="T50" s="15">
        <v>1.1915635745191826</v>
      </c>
      <c r="U50" s="15">
        <v>0</v>
      </c>
      <c r="V50" s="15">
        <v>0</v>
      </c>
      <c r="W50" s="15">
        <v>0</v>
      </c>
      <c r="X50" s="15">
        <v>0</v>
      </c>
      <c r="Y50" s="15">
        <v>255.40215083995423</v>
      </c>
      <c r="Z50" s="15">
        <v>0</v>
      </c>
      <c r="AA50" s="15">
        <v>0</v>
      </c>
      <c r="AB50" s="15">
        <v>0</v>
      </c>
      <c r="AC50" s="15">
        <v>255.40215083995423</v>
      </c>
      <c r="AD50" s="15">
        <v>120.02456539044579</v>
      </c>
      <c r="AE50" s="15">
        <v>-0.79366840955416917</v>
      </c>
      <c r="AF50" s="15">
        <v>0</v>
      </c>
      <c r="AG50" s="15">
        <v>0</v>
      </c>
      <c r="AH50" s="15">
        <v>0</v>
      </c>
      <c r="AI50" s="15">
        <v>101.46076874999999</v>
      </c>
      <c r="AJ50" s="15">
        <v>0</v>
      </c>
      <c r="AK50" s="15">
        <v>0</v>
      </c>
      <c r="AL50" s="15">
        <v>0</v>
      </c>
      <c r="AM50" s="15">
        <v>19.357465050000009</v>
      </c>
      <c r="AN50" s="15">
        <v>0.46994344016177941</v>
      </c>
      <c r="AO50" s="15">
        <v>135.37758544950844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466.29277896862794</v>
      </c>
      <c r="AV50" s="15">
        <v>122.10317272649331</v>
      </c>
      <c r="AW50" s="15">
        <v>122.10317272649331</v>
      </c>
      <c r="AX50" s="15">
        <v>0</v>
      </c>
      <c r="AY50" s="15">
        <v>0</v>
      </c>
      <c r="AZ50" s="15">
        <v>237.9002689864036</v>
      </c>
      <c r="BA50" s="15">
        <v>76.930878417473096</v>
      </c>
      <c r="BB50" s="15">
        <v>67.070579403721055</v>
      </c>
      <c r="BC50" s="15">
        <v>93.898811165209466</v>
      </c>
      <c r="BD50" s="15">
        <v>0</v>
      </c>
      <c r="BE50" s="15">
        <v>106.28933725573103</v>
      </c>
      <c r="BF50" s="15">
        <v>36.777886296949369</v>
      </c>
      <c r="BG50" s="15">
        <v>1.4723613094253223</v>
      </c>
      <c r="BH50" s="15">
        <v>68.039089649356328</v>
      </c>
      <c r="BI50" s="15">
        <v>0</v>
      </c>
      <c r="BJ50" s="15">
        <v>466.29277896862794</v>
      </c>
      <c r="BK50" s="15">
        <v>586.31734435907379</v>
      </c>
      <c r="BL50" s="15">
        <v>2.0787420613846495</v>
      </c>
      <c r="BM50" s="15">
        <v>3.9217363181376448</v>
      </c>
    </row>
    <row r="51" spans="1:65" x14ac:dyDescent="0.35">
      <c r="A51" s="15" t="s">
        <v>10616</v>
      </c>
      <c r="B51" s="15" t="s">
        <v>10457</v>
      </c>
      <c r="C51" s="15" t="s">
        <v>10582</v>
      </c>
      <c r="D51" s="15" t="s">
        <v>10325</v>
      </c>
      <c r="E51" s="15" t="s">
        <v>10657</v>
      </c>
      <c r="F51" s="15">
        <v>18919</v>
      </c>
      <c r="G51" s="15">
        <v>0.89712986944341666</v>
      </c>
      <c r="H51" s="15">
        <v>200</v>
      </c>
      <c r="I51" s="78">
        <v>180.05440537111343</v>
      </c>
      <c r="J51" s="79">
        <v>2.5578692190326939</v>
      </c>
      <c r="K51" s="15">
        <v>30</v>
      </c>
      <c r="L51" s="15">
        <v>38.415577156879181</v>
      </c>
      <c r="M51" s="15">
        <v>8.0921374064707994</v>
      </c>
      <c r="N51" s="15">
        <v>6.6363886077370218</v>
      </c>
      <c r="O51" s="15">
        <v>1.4871980960223472</v>
      </c>
      <c r="P51" s="15">
        <v>2.3215414627585647</v>
      </c>
      <c r="Q51" s="15">
        <v>2.8276490489561095</v>
      </c>
      <c r="R51" s="15">
        <v>0.52925199146702739</v>
      </c>
      <c r="S51" s="15">
        <v>0</v>
      </c>
      <c r="T51" s="15">
        <v>2.2983970574890824</v>
      </c>
      <c r="U51" s="15">
        <v>0</v>
      </c>
      <c r="V51" s="15">
        <v>0</v>
      </c>
      <c r="W51" s="15">
        <v>0</v>
      </c>
      <c r="X51" s="15">
        <v>0</v>
      </c>
      <c r="Y51" s="15">
        <v>318.85362727861343</v>
      </c>
      <c r="Z51" s="15">
        <v>0</v>
      </c>
      <c r="AA51" s="15">
        <v>0</v>
      </c>
      <c r="AB51" s="15">
        <v>0</v>
      </c>
      <c r="AC51" s="15">
        <v>318.85362727861343</v>
      </c>
      <c r="AD51" s="15">
        <v>138.7992219075</v>
      </c>
      <c r="AE51" s="15">
        <v>0</v>
      </c>
      <c r="AF51" s="15">
        <v>0</v>
      </c>
      <c r="AG51" s="15">
        <v>0</v>
      </c>
      <c r="AH51" s="15">
        <v>0</v>
      </c>
      <c r="AI51" s="15">
        <v>101.46076874999999</v>
      </c>
      <c r="AJ51" s="15">
        <v>0</v>
      </c>
      <c r="AK51" s="15">
        <v>0</v>
      </c>
      <c r="AL51" s="15">
        <v>0</v>
      </c>
      <c r="AM51" s="15">
        <v>37.338453157500005</v>
      </c>
      <c r="AN51" s="15">
        <v>0.4353070187475635</v>
      </c>
      <c r="AO51" s="15">
        <v>180.05440537111343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5">
        <v>440.61002662111935</v>
      </c>
      <c r="AV51" s="15">
        <v>134.47456183061067</v>
      </c>
      <c r="AW51" s="15">
        <v>134.47456183061067</v>
      </c>
      <c r="AX51" s="15">
        <v>0</v>
      </c>
      <c r="AY51" s="15">
        <v>0</v>
      </c>
      <c r="AZ51" s="15">
        <v>190.21242442342691</v>
      </c>
      <c r="BA51" s="15">
        <v>76.930878417473096</v>
      </c>
      <c r="BB51" s="15">
        <v>47.200644169147424</v>
      </c>
      <c r="BC51" s="15">
        <v>66.08090183680639</v>
      </c>
      <c r="BD51" s="15">
        <v>0</v>
      </c>
      <c r="BE51" s="15">
        <v>115.92304036708171</v>
      </c>
      <c r="BF51" s="15">
        <v>40.158133002686455</v>
      </c>
      <c r="BG51" s="15">
        <v>1.4723613094253223</v>
      </c>
      <c r="BH51" s="15">
        <v>74.292546054969932</v>
      </c>
      <c r="BI51" s="15">
        <v>0</v>
      </c>
      <c r="BJ51" s="15">
        <v>440.61002662111935</v>
      </c>
      <c r="BK51" s="15">
        <v>579.4092485286194</v>
      </c>
      <c r="BL51" s="15">
        <v>1.4444107949494134</v>
      </c>
      <c r="BM51" s="15">
        <v>2.5578692190326939</v>
      </c>
    </row>
    <row r="52" spans="1:65" x14ac:dyDescent="0.35">
      <c r="A52" s="15" t="s">
        <v>10616</v>
      </c>
      <c r="B52" s="15" t="s">
        <v>10457</v>
      </c>
      <c r="C52" s="15" t="s">
        <v>10582</v>
      </c>
      <c r="D52" s="15" t="s">
        <v>10326</v>
      </c>
      <c r="E52" s="15" t="s">
        <v>10658</v>
      </c>
      <c r="F52" s="15">
        <v>18919</v>
      </c>
      <c r="G52" s="15">
        <v>0.89712986944341666</v>
      </c>
      <c r="H52" s="15">
        <v>200</v>
      </c>
      <c r="I52" s="78">
        <v>122.85835380949312</v>
      </c>
      <c r="J52" s="79">
        <v>7.4519856427263438</v>
      </c>
      <c r="K52" s="15">
        <v>30</v>
      </c>
      <c r="L52" s="15">
        <v>37.925031646979804</v>
      </c>
      <c r="M52" s="15">
        <v>8.0141726230779753</v>
      </c>
      <c r="N52" s="15">
        <v>6.6363886077370218</v>
      </c>
      <c r="O52" s="15">
        <v>4.8498711602949411</v>
      </c>
      <c r="P52" s="15">
        <v>1.2214273232539989</v>
      </c>
      <c r="Q52" s="15">
        <v>0.56509012418808247</v>
      </c>
      <c r="R52" s="15">
        <v>0.56509012418808247</v>
      </c>
      <c r="S52" s="15">
        <v>0</v>
      </c>
      <c r="T52" s="15">
        <v>0</v>
      </c>
      <c r="U52" s="15">
        <v>4207.927716448683</v>
      </c>
      <c r="V52" s="15">
        <v>0</v>
      </c>
      <c r="W52" s="15">
        <v>0</v>
      </c>
      <c r="X52" s="15">
        <v>0</v>
      </c>
      <c r="Y52" s="15">
        <v>607.24899876865459</v>
      </c>
      <c r="Z52" s="15">
        <v>0</v>
      </c>
      <c r="AA52" s="15">
        <v>0</v>
      </c>
      <c r="AB52" s="15">
        <v>0</v>
      </c>
      <c r="AC52" s="15">
        <v>607.24899876865459</v>
      </c>
      <c r="AD52" s="15">
        <v>484.39064495916148</v>
      </c>
      <c r="AE52" s="15">
        <v>0</v>
      </c>
      <c r="AF52" s="15">
        <v>0</v>
      </c>
      <c r="AG52" s="15">
        <v>0</v>
      </c>
      <c r="AH52" s="15">
        <v>361.39028672971892</v>
      </c>
      <c r="AI52" s="15">
        <v>123.00035822944254</v>
      </c>
      <c r="AJ52" s="15">
        <v>0</v>
      </c>
      <c r="AK52" s="15">
        <v>0</v>
      </c>
      <c r="AL52" s="15">
        <v>0</v>
      </c>
      <c r="AM52" s="15">
        <v>0</v>
      </c>
      <c r="AN52" s="15">
        <v>0.79768043412402756</v>
      </c>
      <c r="AO52" s="15">
        <v>122.85835380949312</v>
      </c>
      <c r="AP52" s="15">
        <v>361.39028672971892</v>
      </c>
      <c r="AQ52" s="15">
        <v>0</v>
      </c>
      <c r="AR52" s="15">
        <v>0</v>
      </c>
      <c r="AS52" s="15">
        <v>0</v>
      </c>
      <c r="AT52" s="15">
        <v>361.39028672971892</v>
      </c>
      <c r="AU52" s="15">
        <v>477.00675575711023</v>
      </c>
      <c r="AV52" s="15">
        <v>174.47385567193638</v>
      </c>
      <c r="AW52" s="15">
        <v>174.47385567193638</v>
      </c>
      <c r="AX52" s="15">
        <v>0</v>
      </c>
      <c r="AY52" s="15">
        <v>0</v>
      </c>
      <c r="AZ52" s="15">
        <v>194.55190351062373</v>
      </c>
      <c r="BA52" s="15">
        <v>82.718698010625459</v>
      </c>
      <c r="BB52" s="15">
        <v>46.59716895833261</v>
      </c>
      <c r="BC52" s="15">
        <v>65.236036541665655</v>
      </c>
      <c r="BD52" s="15">
        <v>0</v>
      </c>
      <c r="BE52" s="15">
        <v>107.98099657455009</v>
      </c>
      <c r="BF52" s="15">
        <v>37.332583718691289</v>
      </c>
      <c r="BG52" s="15">
        <v>1.5831329762799129</v>
      </c>
      <c r="BH52" s="15">
        <v>69.065279879578881</v>
      </c>
      <c r="BI52" s="15">
        <v>0</v>
      </c>
      <c r="BJ52" s="15">
        <v>838.39704248682915</v>
      </c>
      <c r="BK52" s="15">
        <v>1322.7876874459907</v>
      </c>
      <c r="BL52" s="15">
        <v>1.5076825001503733</v>
      </c>
      <c r="BM52" s="15">
        <v>7.4519856427263438</v>
      </c>
    </row>
    <row r="53" spans="1:65" x14ac:dyDescent="0.35">
      <c r="A53" s="15" t="s">
        <v>10616</v>
      </c>
      <c r="B53" s="15" t="s">
        <v>10457</v>
      </c>
      <c r="C53" s="15" t="s">
        <v>10582</v>
      </c>
      <c r="D53" s="15" t="s">
        <v>10327</v>
      </c>
      <c r="E53" s="15" t="s">
        <v>10659</v>
      </c>
      <c r="F53" s="15">
        <v>18919</v>
      </c>
      <c r="G53" s="15">
        <v>0.89712986944341666</v>
      </c>
      <c r="H53" s="15">
        <v>200</v>
      </c>
      <c r="I53" s="80">
        <v>4153.223222151847</v>
      </c>
      <c r="J53" s="81">
        <v>-1.0374751422814428</v>
      </c>
      <c r="K53" s="15">
        <v>30</v>
      </c>
      <c r="L53" s="15">
        <v>60.906942170607969</v>
      </c>
      <c r="M53" s="15">
        <v>21.718349903516106</v>
      </c>
      <c r="N53" s="15">
        <v>6.6363886077370218</v>
      </c>
      <c r="O53" s="15">
        <v>4.8498711602949411</v>
      </c>
      <c r="P53" s="15">
        <v>1.2214273232539989</v>
      </c>
      <c r="Q53" s="15">
        <v>0.56509012418808247</v>
      </c>
      <c r="R53" s="15">
        <v>0.56509012418808247</v>
      </c>
      <c r="S53" s="15">
        <v>0</v>
      </c>
      <c r="T53" s="15">
        <v>0</v>
      </c>
      <c r="U53" s="15">
        <v>4207.927716448683</v>
      </c>
      <c r="V53" s="15">
        <v>0</v>
      </c>
      <c r="W53" s="15">
        <v>0</v>
      </c>
      <c r="X53" s="15">
        <v>0</v>
      </c>
      <c r="Y53" s="15">
        <v>1423.7117106864648</v>
      </c>
      <c r="Z53" s="15">
        <v>0</v>
      </c>
      <c r="AA53" s="15">
        <v>0</v>
      </c>
      <c r="AB53" s="15">
        <v>0</v>
      </c>
      <c r="AC53" s="15">
        <v>1423.7117106864648</v>
      </c>
      <c r="AD53" s="15">
        <v>-2729.5115114653822</v>
      </c>
      <c r="AE53" s="15">
        <v>-67.963695090263201</v>
      </c>
      <c r="AF53" s="15">
        <v>0</v>
      </c>
      <c r="AG53" s="15">
        <v>0</v>
      </c>
      <c r="AH53" s="15">
        <v>-2784.5481746045607</v>
      </c>
      <c r="AI53" s="15">
        <v>123.00035822944254</v>
      </c>
      <c r="AJ53" s="15">
        <v>0</v>
      </c>
      <c r="AK53" s="15">
        <v>0</v>
      </c>
      <c r="AL53" s="15">
        <v>0</v>
      </c>
      <c r="AM53" s="15">
        <v>0</v>
      </c>
      <c r="AN53" s="15">
        <v>-1.9171799255267106</v>
      </c>
      <c r="AO53" s="15">
        <v>4153.223222151847</v>
      </c>
      <c r="AP53" s="15">
        <v>-2852.5118696948239</v>
      </c>
      <c r="AQ53" s="15">
        <v>-67.963695090263201</v>
      </c>
      <c r="AR53" s="15">
        <v>0</v>
      </c>
      <c r="AS53" s="15">
        <v>0</v>
      </c>
      <c r="AT53" s="15">
        <v>-2784.5481746045607</v>
      </c>
      <c r="AU53" s="15">
        <v>2496.8692385180912</v>
      </c>
      <c r="AV53" s="15">
        <v>174.47385567193638</v>
      </c>
      <c r="AW53" s="15">
        <v>174.47385567193638</v>
      </c>
      <c r="AX53" s="15">
        <v>0</v>
      </c>
      <c r="AY53" s="15">
        <v>0</v>
      </c>
      <c r="AZ53" s="15">
        <v>1640.087392532819</v>
      </c>
      <c r="BA53" s="15">
        <v>82.718698010625459</v>
      </c>
      <c r="BB53" s="15">
        <v>648.90362271758067</v>
      </c>
      <c r="BC53" s="15">
        <v>908.46507180461288</v>
      </c>
      <c r="BD53" s="15">
        <v>0</v>
      </c>
      <c r="BE53" s="15">
        <v>682.30799031333549</v>
      </c>
      <c r="BF53" s="15">
        <v>238.85082713580897</v>
      </c>
      <c r="BG53" s="15">
        <v>1.5831329762799129</v>
      </c>
      <c r="BH53" s="15">
        <v>441.87403020124657</v>
      </c>
      <c r="BI53" s="15">
        <v>0</v>
      </c>
      <c r="BJ53" s="15">
        <v>-355.64263117673272</v>
      </c>
      <c r="BK53" s="15">
        <v>-3085.1541426421149</v>
      </c>
      <c r="BL53" s="15">
        <v>-3.0265016582963926</v>
      </c>
      <c r="BM53" s="15">
        <v>-1.0374751422814428</v>
      </c>
    </row>
    <row r="54" spans="1:65" s="60" customFormat="1" x14ac:dyDescent="0.35">
      <c r="A54" s="59" t="s">
        <v>10616</v>
      </c>
      <c r="B54" s="59" t="s">
        <v>10457</v>
      </c>
      <c r="C54" s="59" t="s">
        <v>10641</v>
      </c>
      <c r="D54" s="59" t="s">
        <v>10322</v>
      </c>
      <c r="E54" s="59" t="s">
        <v>10660</v>
      </c>
      <c r="F54" s="59">
        <v>18919</v>
      </c>
      <c r="G54" s="59">
        <v>0.89712986944341666</v>
      </c>
      <c r="H54" s="59">
        <v>200</v>
      </c>
      <c r="I54" s="59">
        <v>69.773412614829468</v>
      </c>
      <c r="J54" s="88">
        <v>8.0109624915714548</v>
      </c>
      <c r="K54" s="59">
        <v>30</v>
      </c>
      <c r="L54" s="59">
        <v>39.528246974342871</v>
      </c>
      <c r="M54" s="59">
        <v>8.6683235982771087</v>
      </c>
      <c r="N54" s="59">
        <v>6.6363886077370218</v>
      </c>
      <c r="O54" s="59">
        <v>1.2369863363448381</v>
      </c>
      <c r="P54" s="59">
        <v>2.5695516005154566</v>
      </c>
      <c r="Q54" s="59">
        <v>2.8298506708767253</v>
      </c>
      <c r="R54" s="59">
        <v>0.52925199146702739</v>
      </c>
      <c r="S54" s="59">
        <v>1.109035104890516</v>
      </c>
      <c r="T54" s="59">
        <v>1.1915635745191826</v>
      </c>
      <c r="U54" s="59">
        <v>0</v>
      </c>
      <c r="V54" s="59">
        <v>0</v>
      </c>
      <c r="W54" s="59">
        <v>201.47345810342748</v>
      </c>
      <c r="X54" s="59">
        <v>0</v>
      </c>
      <c r="Y54" s="59">
        <v>288.89808559445322</v>
      </c>
      <c r="Z54" s="59">
        <v>0</v>
      </c>
      <c r="AA54" s="59">
        <v>0</v>
      </c>
      <c r="AB54" s="59">
        <v>0</v>
      </c>
      <c r="AC54" s="59">
        <v>288.89808559445322</v>
      </c>
      <c r="AD54" s="59">
        <v>219.12467297962377</v>
      </c>
      <c r="AE54" s="59">
        <v>-0.62490944247001956</v>
      </c>
      <c r="AF54" s="59">
        <v>91.383214144028386</v>
      </c>
      <c r="AG54" s="59">
        <v>197.29195325637224</v>
      </c>
      <c r="AH54" s="59">
        <v>0</v>
      </c>
      <c r="AI54" s="59">
        <v>101.46076874999999</v>
      </c>
      <c r="AJ54" s="59">
        <v>0</v>
      </c>
      <c r="AK54" s="59">
        <v>-189.74381877830683</v>
      </c>
      <c r="AL54" s="59">
        <v>0</v>
      </c>
      <c r="AM54" s="59">
        <v>19.357465050000009</v>
      </c>
      <c r="AN54" s="59">
        <v>0.75848433723172759</v>
      </c>
      <c r="AO54" s="59">
        <v>69.773412614829468</v>
      </c>
      <c r="AP54" s="59">
        <v>0</v>
      </c>
      <c r="AQ54" s="59">
        <v>0</v>
      </c>
      <c r="AR54" s="59">
        <v>0</v>
      </c>
      <c r="AS54" s="59">
        <v>0</v>
      </c>
      <c r="AT54" s="59">
        <v>0</v>
      </c>
      <c r="AU54" s="59">
        <v>428.72560398116696</v>
      </c>
      <c r="AV54" s="59">
        <v>125.8448511889483</v>
      </c>
      <c r="AW54" s="59">
        <v>125.8448511889483</v>
      </c>
      <c r="AX54" s="59">
        <v>0</v>
      </c>
      <c r="AY54" s="59">
        <v>0</v>
      </c>
      <c r="AZ54" s="59">
        <v>232.76638106271054</v>
      </c>
      <c r="BA54" s="59">
        <v>76.930878417473096</v>
      </c>
      <c r="BB54" s="59">
        <v>64.931459435515606</v>
      </c>
      <c r="BC54" s="59">
        <v>90.904043209721834</v>
      </c>
      <c r="BD54" s="59">
        <v>0</v>
      </c>
      <c r="BE54" s="59">
        <v>70.114371729508093</v>
      </c>
      <c r="BF54" s="59">
        <v>24.084915936871148</v>
      </c>
      <c r="BG54" s="59">
        <v>1.4723613094253223</v>
      </c>
      <c r="BH54" s="59">
        <v>44.557094483211621</v>
      </c>
      <c r="BI54" s="59">
        <v>0</v>
      </c>
      <c r="BJ54" s="59">
        <v>428.72560398116696</v>
      </c>
      <c r="BK54" s="59">
        <v>647.85027696079078</v>
      </c>
      <c r="BL54" s="59">
        <v>1.9347729155636511</v>
      </c>
      <c r="BM54" s="59">
        <v>8.0109624915714548</v>
      </c>
    </row>
    <row r="55" spans="1:65" s="60" customFormat="1" x14ac:dyDescent="0.35">
      <c r="A55" s="15" t="s">
        <v>10616</v>
      </c>
      <c r="B55" s="15" t="s">
        <v>10457</v>
      </c>
      <c r="C55" s="15" t="s">
        <v>10584</v>
      </c>
      <c r="D55" s="15" t="s">
        <v>10321</v>
      </c>
      <c r="E55" s="15" t="s">
        <v>10661</v>
      </c>
      <c r="F55" s="15">
        <v>102208</v>
      </c>
      <c r="G55" s="15">
        <v>0.89712946363472601</v>
      </c>
      <c r="H55" s="15">
        <v>200</v>
      </c>
      <c r="I55" s="78">
        <v>139.2124870748579</v>
      </c>
      <c r="J55" s="79">
        <v>3.428302827908063</v>
      </c>
      <c r="K55" s="15">
        <v>30</v>
      </c>
      <c r="L55" s="15">
        <v>98.208040486307397</v>
      </c>
      <c r="M55" s="15">
        <v>17.449561214908613</v>
      </c>
      <c r="N55" s="15">
        <v>35.852407632551881</v>
      </c>
      <c r="O55" s="15">
        <v>6.6826915944656911</v>
      </c>
      <c r="P55" s="15">
        <v>13.881738526757307</v>
      </c>
      <c r="Q55" s="15">
        <v>15.287977511328885</v>
      </c>
      <c r="R55" s="15">
        <v>2.859229508696012</v>
      </c>
      <c r="S55" s="15">
        <v>5.9914482122081827</v>
      </c>
      <c r="T55" s="15">
        <v>6.4372997904246914</v>
      </c>
      <c r="U55" s="15">
        <v>0</v>
      </c>
      <c r="V55" s="15">
        <v>4353.7586323035193</v>
      </c>
      <c r="W55" s="15">
        <v>0</v>
      </c>
      <c r="X55" s="15">
        <v>0</v>
      </c>
      <c r="Y55" s="15">
        <v>300.20101355741713</v>
      </c>
      <c r="Z55" s="15">
        <v>0</v>
      </c>
      <c r="AA55" s="15">
        <v>0</v>
      </c>
      <c r="AB55" s="15">
        <v>0</v>
      </c>
      <c r="AC55" s="15">
        <v>300.20101355741713</v>
      </c>
      <c r="AD55" s="15">
        <v>160.98852648255922</v>
      </c>
      <c r="AE55" s="15">
        <v>10.497023283962299</v>
      </c>
      <c r="AF55" s="15">
        <v>0</v>
      </c>
      <c r="AG55" s="15">
        <v>0</v>
      </c>
      <c r="AH55" s="15">
        <v>29.673269398596982</v>
      </c>
      <c r="AI55" s="15">
        <v>101.46076874999997</v>
      </c>
      <c r="AJ55" s="15">
        <v>0</v>
      </c>
      <c r="AK55" s="15">
        <v>0</v>
      </c>
      <c r="AL55" s="15">
        <v>0</v>
      </c>
      <c r="AM55" s="15">
        <v>19.357465049999998</v>
      </c>
      <c r="AN55" s="15">
        <v>0.53626909707874182</v>
      </c>
      <c r="AO55" s="15">
        <v>139.2124870748579</v>
      </c>
      <c r="AP55" s="15">
        <v>40.170292682559278</v>
      </c>
      <c r="AQ55" s="15">
        <v>10.497023283962299</v>
      </c>
      <c r="AR55" s="15">
        <v>0</v>
      </c>
      <c r="AS55" s="15">
        <v>0</v>
      </c>
      <c r="AT55" s="15">
        <v>29.673269398596982</v>
      </c>
      <c r="AU55" s="15">
        <v>376.30475751114869</v>
      </c>
      <c r="AV55" s="15">
        <v>100.21210397526849</v>
      </c>
      <c r="AW55" s="15">
        <v>100.21210397526849</v>
      </c>
      <c r="AX55" s="15">
        <v>0</v>
      </c>
      <c r="AY55" s="15">
        <v>0</v>
      </c>
      <c r="AZ55" s="15">
        <v>227.47966352954032</v>
      </c>
      <c r="BA55" s="15">
        <v>76.930878417473068</v>
      </c>
      <c r="BB55" s="15">
        <v>62.728660463361365</v>
      </c>
      <c r="BC55" s="15">
        <v>87.8201246487059</v>
      </c>
      <c r="BD55" s="15">
        <v>0</v>
      </c>
      <c r="BE55" s="15">
        <v>48.612990006339871</v>
      </c>
      <c r="BF55" s="15">
        <v>16.540571472601595</v>
      </c>
      <c r="BG55" s="15">
        <v>1.4723613094253218</v>
      </c>
      <c r="BH55" s="15">
        <v>30.600057224312952</v>
      </c>
      <c r="BI55" s="15">
        <v>0</v>
      </c>
      <c r="BJ55" s="15">
        <v>416.47505019370794</v>
      </c>
      <c r="BK55" s="59">
        <v>577.46357667626717</v>
      </c>
      <c r="BL55" s="59">
        <v>1.5898099658733089</v>
      </c>
      <c r="BM55" s="59">
        <v>3.428302827908063</v>
      </c>
    </row>
    <row r="56" spans="1:65" s="56" customFormat="1" x14ac:dyDescent="0.35">
      <c r="A56" s="15" t="s">
        <v>10616</v>
      </c>
      <c r="B56" s="15" t="s">
        <v>10457</v>
      </c>
      <c r="C56" s="15" t="s">
        <v>10584</v>
      </c>
      <c r="D56" s="15" t="s">
        <v>10322</v>
      </c>
      <c r="E56" s="15" t="s">
        <v>10662</v>
      </c>
      <c r="F56" s="15">
        <v>102208</v>
      </c>
      <c r="G56" s="15">
        <v>0.89712946363472601</v>
      </c>
      <c r="H56" s="15">
        <v>200</v>
      </c>
      <c r="I56" s="78">
        <v>100.12346154425742</v>
      </c>
      <c r="J56" s="79">
        <v>4.7540390191895385</v>
      </c>
      <c r="K56" s="15">
        <v>30</v>
      </c>
      <c r="L56" s="15">
        <v>98.208040486307397</v>
      </c>
      <c r="M56" s="15">
        <v>17.449561214908613</v>
      </c>
      <c r="N56" s="15">
        <v>35.852407632551881</v>
      </c>
      <c r="O56" s="15">
        <v>6.6826915944656911</v>
      </c>
      <c r="P56" s="15">
        <v>13.881738526757307</v>
      </c>
      <c r="Q56" s="15">
        <v>15.287977511328885</v>
      </c>
      <c r="R56" s="15">
        <v>2.859229508696012</v>
      </c>
      <c r="S56" s="15">
        <v>5.9914482122081827</v>
      </c>
      <c r="T56" s="15">
        <v>6.4372997904246914</v>
      </c>
      <c r="U56" s="15">
        <v>0</v>
      </c>
      <c r="V56" s="15">
        <v>0</v>
      </c>
      <c r="W56" s="15">
        <v>1088.4396580758798</v>
      </c>
      <c r="X56" s="15">
        <v>0</v>
      </c>
      <c r="Y56" s="15">
        <v>300.20101355741713</v>
      </c>
      <c r="Z56" s="15">
        <v>0</v>
      </c>
      <c r="AA56" s="15">
        <v>0</v>
      </c>
      <c r="AB56" s="15">
        <v>0</v>
      </c>
      <c r="AC56" s="15">
        <v>300.20101355741713</v>
      </c>
      <c r="AD56" s="15">
        <v>200.0775520131597</v>
      </c>
      <c r="AE56" s="15">
        <v>-11.927837405433957</v>
      </c>
      <c r="AF56" s="15">
        <v>16.915308101461996</v>
      </c>
      <c r="AG56" s="15">
        <v>36.519334612273028</v>
      </c>
      <c r="AH56" s="15">
        <v>0</v>
      </c>
      <c r="AI56" s="15">
        <v>101.46076874999997</v>
      </c>
      <c r="AJ56" s="15">
        <v>0</v>
      </c>
      <c r="AK56" s="15">
        <v>37.752512904858598</v>
      </c>
      <c r="AL56" s="15">
        <v>0</v>
      </c>
      <c r="AM56" s="15">
        <v>19.357465049999998</v>
      </c>
      <c r="AN56" s="15">
        <v>0.66647860259436609</v>
      </c>
      <c r="AO56" s="15">
        <v>100.12346154425742</v>
      </c>
      <c r="AP56" s="15">
        <v>0</v>
      </c>
      <c r="AQ56" s="15">
        <v>0</v>
      </c>
      <c r="AR56" s="15">
        <v>0</v>
      </c>
      <c r="AS56" s="15">
        <v>0</v>
      </c>
      <c r="AT56" s="15">
        <v>0</v>
      </c>
      <c r="AU56" s="15">
        <v>376.11430446198045</v>
      </c>
      <c r="AV56" s="15">
        <v>100.21210397526849</v>
      </c>
      <c r="AW56" s="15">
        <v>100.21210397526849</v>
      </c>
      <c r="AX56" s="15">
        <v>0</v>
      </c>
      <c r="AY56" s="15">
        <v>0</v>
      </c>
      <c r="AZ56" s="15">
        <v>227.47966352954032</v>
      </c>
      <c r="BA56" s="15">
        <v>76.930878417473068</v>
      </c>
      <c r="BB56" s="15">
        <v>62.728660463361365</v>
      </c>
      <c r="BC56" s="15">
        <v>87.8201246487059</v>
      </c>
      <c r="BD56" s="15">
        <v>0</v>
      </c>
      <c r="BE56" s="15">
        <v>48.422536957171651</v>
      </c>
      <c r="BF56" s="15">
        <v>16.473745841314503</v>
      </c>
      <c r="BG56" s="15">
        <v>1.4723613094253218</v>
      </c>
      <c r="BH56" s="15">
        <v>30.476429806431828</v>
      </c>
      <c r="BI56" s="15">
        <v>0</v>
      </c>
      <c r="BJ56" s="15">
        <v>376.11430446198045</v>
      </c>
      <c r="BK56" s="55">
        <v>576.19185647514018</v>
      </c>
      <c r="BL56" s="55">
        <v>1.5855737370010043</v>
      </c>
      <c r="BM56" s="55">
        <v>4.7540390191895385</v>
      </c>
    </row>
    <row r="57" spans="1:65" x14ac:dyDescent="0.35">
      <c r="A57" s="15" t="s">
        <v>10616</v>
      </c>
      <c r="B57" s="15" t="s">
        <v>10457</v>
      </c>
      <c r="C57" s="15" t="s">
        <v>10584</v>
      </c>
      <c r="D57" s="15" t="s">
        <v>10323</v>
      </c>
      <c r="E57" s="15" t="s">
        <v>10663</v>
      </c>
      <c r="F57" s="15">
        <v>102208</v>
      </c>
      <c r="G57" s="15">
        <v>0.89712946363472601</v>
      </c>
      <c r="H57" s="15">
        <v>200</v>
      </c>
      <c r="I57" s="78">
        <v>113.50426766766793</v>
      </c>
      <c r="J57" s="79">
        <v>4.1427911306190017</v>
      </c>
      <c r="K57" s="15">
        <v>30</v>
      </c>
      <c r="L57" s="15">
        <v>98.208040486307397</v>
      </c>
      <c r="M57" s="15">
        <v>17.449561214908613</v>
      </c>
      <c r="N57" s="15">
        <v>35.852407632551881</v>
      </c>
      <c r="O57" s="15">
        <v>6.6826915944656911</v>
      </c>
      <c r="P57" s="15">
        <v>13.881738526757307</v>
      </c>
      <c r="Q57" s="15">
        <v>15.287977511328885</v>
      </c>
      <c r="R57" s="15">
        <v>2.859229508696012</v>
      </c>
      <c r="S57" s="15">
        <v>5.9914482122081827</v>
      </c>
      <c r="T57" s="15">
        <v>6.4372997904246914</v>
      </c>
      <c r="U57" s="15">
        <v>0</v>
      </c>
      <c r="V57" s="15">
        <v>0</v>
      </c>
      <c r="W57" s="15">
        <v>0</v>
      </c>
      <c r="X57" s="15">
        <v>1088439.6580758798</v>
      </c>
      <c r="Y57" s="15">
        <v>300.20101355741713</v>
      </c>
      <c r="Z57" s="15">
        <v>0</v>
      </c>
      <c r="AA57" s="15">
        <v>0</v>
      </c>
      <c r="AB57" s="15">
        <v>0</v>
      </c>
      <c r="AC57" s="15">
        <v>300.20101355741713</v>
      </c>
      <c r="AD57" s="15">
        <v>186.6967458897492</v>
      </c>
      <c r="AE57" s="15">
        <v>-11.927837405433957</v>
      </c>
      <c r="AF57" s="15">
        <v>0</v>
      </c>
      <c r="AG57" s="15">
        <v>0</v>
      </c>
      <c r="AH57" s="15">
        <v>0</v>
      </c>
      <c r="AI57" s="15">
        <v>101.46076874999997</v>
      </c>
      <c r="AJ57" s="15">
        <v>0</v>
      </c>
      <c r="AK57" s="15">
        <v>77.806349495183156</v>
      </c>
      <c r="AL57" s="15">
        <v>0</v>
      </c>
      <c r="AM57" s="15">
        <v>19.357465049999998</v>
      </c>
      <c r="AN57" s="15">
        <v>0.62190578132089203</v>
      </c>
      <c r="AO57" s="15">
        <v>113.50426766766793</v>
      </c>
      <c r="AP57" s="15">
        <v>0</v>
      </c>
      <c r="AQ57" s="15">
        <v>0</v>
      </c>
      <c r="AR57" s="15">
        <v>0</v>
      </c>
      <c r="AS57" s="15">
        <v>0</v>
      </c>
      <c r="AT57" s="15">
        <v>0</v>
      </c>
      <c r="AU57" s="15">
        <v>383.72874104868771</v>
      </c>
      <c r="AV57" s="15">
        <v>100.21210397526849</v>
      </c>
      <c r="AW57" s="15">
        <v>100.21210397526849</v>
      </c>
      <c r="AX57" s="15">
        <v>0</v>
      </c>
      <c r="AY57" s="15">
        <v>0</v>
      </c>
      <c r="AZ57" s="15">
        <v>227.47966352954032</v>
      </c>
      <c r="BA57" s="15">
        <v>76.930878417473068</v>
      </c>
      <c r="BB57" s="15">
        <v>62.728660463361365</v>
      </c>
      <c r="BC57" s="15">
        <v>87.8201246487059</v>
      </c>
      <c r="BD57" s="15">
        <v>0</v>
      </c>
      <c r="BE57" s="15">
        <v>56.036973543878908</v>
      </c>
      <c r="BF57" s="15">
        <v>19.14547797700126</v>
      </c>
      <c r="BG57" s="15">
        <v>1.4723613094253218</v>
      </c>
      <c r="BH57" s="15">
        <v>35.419134257452328</v>
      </c>
      <c r="BI57" s="15">
        <v>0</v>
      </c>
      <c r="BJ57" s="15">
        <v>383.72874104868771</v>
      </c>
      <c r="BK57" s="15">
        <v>570.42548693843696</v>
      </c>
      <c r="BL57" s="15">
        <v>1.5663653756821299</v>
      </c>
      <c r="BM57" s="15">
        <v>4.1427911306190017</v>
      </c>
    </row>
    <row r="58" spans="1:65" x14ac:dyDescent="0.35">
      <c r="A58" s="15" t="s">
        <v>10616</v>
      </c>
      <c r="B58" s="15" t="s">
        <v>10457</v>
      </c>
      <c r="C58" s="15" t="s">
        <v>10584</v>
      </c>
      <c r="D58" s="15" t="s">
        <v>10324</v>
      </c>
      <c r="E58" s="15" t="s">
        <v>10664</v>
      </c>
      <c r="F58" s="15">
        <v>102208</v>
      </c>
      <c r="G58" s="15">
        <v>0.89712946363472601</v>
      </c>
      <c r="H58" s="15">
        <v>200</v>
      </c>
      <c r="I58" s="78">
        <v>159.78163446045332</v>
      </c>
      <c r="J58" s="79">
        <v>2.6097431582879738</v>
      </c>
      <c r="K58" s="15">
        <v>30</v>
      </c>
      <c r="L58" s="15">
        <v>99.332477802162103</v>
      </c>
      <c r="M58" s="15">
        <v>17.561268648522091</v>
      </c>
      <c r="N58" s="15">
        <v>35.852407632551881</v>
      </c>
      <c r="O58" s="15">
        <v>5.0379803205261906</v>
      </c>
      <c r="P58" s="15">
        <v>14.469135410307127</v>
      </c>
      <c r="Q58" s="15">
        <v>16.345291901718568</v>
      </c>
      <c r="R58" s="15">
        <v>2.859229508696012</v>
      </c>
      <c r="S58" s="15">
        <v>7.0487626025978622</v>
      </c>
      <c r="T58" s="15">
        <v>6.4372997904246914</v>
      </c>
      <c r="U58" s="15">
        <v>0</v>
      </c>
      <c r="V58" s="15">
        <v>0</v>
      </c>
      <c r="W58" s="15">
        <v>0</v>
      </c>
      <c r="X58" s="15">
        <v>0</v>
      </c>
      <c r="Y58" s="15">
        <v>267.60417534542665</v>
      </c>
      <c r="Z58" s="15">
        <v>0</v>
      </c>
      <c r="AA58" s="15">
        <v>0</v>
      </c>
      <c r="AB58" s="15">
        <v>0</v>
      </c>
      <c r="AC58" s="15">
        <v>267.60417534542665</v>
      </c>
      <c r="AD58" s="15">
        <v>107.82254088497334</v>
      </c>
      <c r="AE58" s="15">
        <v>-12.995692915026602</v>
      </c>
      <c r="AF58" s="15">
        <v>0</v>
      </c>
      <c r="AG58" s="15">
        <v>0</v>
      </c>
      <c r="AH58" s="15">
        <v>0</v>
      </c>
      <c r="AI58" s="15">
        <v>101.46076874999997</v>
      </c>
      <c r="AJ58" s="15">
        <v>0</v>
      </c>
      <c r="AK58" s="15">
        <v>0</v>
      </c>
      <c r="AL58" s="15">
        <v>0</v>
      </c>
      <c r="AM58" s="15">
        <v>19.357465049999998</v>
      </c>
      <c r="AN58" s="15">
        <v>0.40291800658862931</v>
      </c>
      <c r="AO58" s="15">
        <v>159.78163446045332</v>
      </c>
      <c r="AP58" s="15">
        <v>0</v>
      </c>
      <c r="AQ58" s="15">
        <v>0</v>
      </c>
      <c r="AR58" s="15">
        <v>0</v>
      </c>
      <c r="AS58" s="15">
        <v>0</v>
      </c>
      <c r="AT58" s="15">
        <v>0</v>
      </c>
      <c r="AU58" s="15">
        <v>376.77066181369128</v>
      </c>
      <c r="AV58" s="15">
        <v>96.729205860894595</v>
      </c>
      <c r="AW58" s="15">
        <v>96.729205860894595</v>
      </c>
      <c r="AX58" s="15">
        <v>0</v>
      </c>
      <c r="AY58" s="15">
        <v>0</v>
      </c>
      <c r="AZ58" s="15">
        <v>228.58103166861807</v>
      </c>
      <c r="BA58" s="15">
        <v>76.930878417473068</v>
      </c>
      <c r="BB58" s="15">
        <v>63.187563854643749</v>
      </c>
      <c r="BC58" s="15">
        <v>88.462589396501244</v>
      </c>
      <c r="BD58" s="15">
        <v>0</v>
      </c>
      <c r="BE58" s="15">
        <v>51.4604242841786</v>
      </c>
      <c r="BF58" s="15">
        <v>17.539671219211677</v>
      </c>
      <c r="BG58" s="15">
        <v>1.4723613094253218</v>
      </c>
      <c r="BH58" s="15">
        <v>32.4483917555416</v>
      </c>
      <c r="BI58" s="15">
        <v>0</v>
      </c>
      <c r="BJ58" s="15">
        <v>376.77066181369128</v>
      </c>
      <c r="BK58" s="15">
        <v>484.59320269866464</v>
      </c>
      <c r="BL58" s="15">
        <v>1.5582306472422696</v>
      </c>
      <c r="BM58" s="15">
        <v>2.6097431582879738</v>
      </c>
    </row>
    <row r="59" spans="1:65" x14ac:dyDescent="0.35">
      <c r="A59" s="15" t="s">
        <v>10616</v>
      </c>
      <c r="B59" s="15" t="s">
        <v>10457</v>
      </c>
      <c r="C59" s="15" t="s">
        <v>10584</v>
      </c>
      <c r="D59" s="15" t="s">
        <v>10325</v>
      </c>
      <c r="E59" s="15" t="s">
        <v>10665</v>
      </c>
      <c r="F59" s="15">
        <v>102208</v>
      </c>
      <c r="G59" s="15">
        <v>0.89712946363472601</v>
      </c>
      <c r="H59" s="15">
        <v>200</v>
      </c>
      <c r="I59" s="78">
        <v>204.45845438205831</v>
      </c>
      <c r="J59" s="79">
        <v>1.8772131876676892</v>
      </c>
      <c r="K59" s="15">
        <v>30</v>
      </c>
      <c r="L59" s="15">
        <v>91.787654745061644</v>
      </c>
      <c r="M59" s="15">
        <v>16.703914262320232</v>
      </c>
      <c r="N59" s="15">
        <v>35.852407632551881</v>
      </c>
      <c r="O59" s="15">
        <v>8.034434919435796</v>
      </c>
      <c r="P59" s="15">
        <v>12.541889238019301</v>
      </c>
      <c r="Q59" s="15">
        <v>15.276083475096788</v>
      </c>
      <c r="R59" s="15">
        <v>2.859229508696012</v>
      </c>
      <c r="S59" s="15">
        <v>0</v>
      </c>
      <c r="T59" s="15">
        <v>12.416853966400774</v>
      </c>
      <c r="U59" s="15">
        <v>0</v>
      </c>
      <c r="V59" s="15">
        <v>0</v>
      </c>
      <c r="W59" s="15">
        <v>0</v>
      </c>
      <c r="X59" s="15">
        <v>0</v>
      </c>
      <c r="Y59" s="15">
        <v>331.05565178408585</v>
      </c>
      <c r="Z59" s="15">
        <v>0</v>
      </c>
      <c r="AA59" s="15">
        <v>0</v>
      </c>
      <c r="AB59" s="15">
        <v>0</v>
      </c>
      <c r="AC59" s="15">
        <v>331.05565178408585</v>
      </c>
      <c r="AD59" s="15">
        <v>126.59719740202755</v>
      </c>
      <c r="AE59" s="15">
        <v>-12.202024505472432</v>
      </c>
      <c r="AF59" s="15">
        <v>0</v>
      </c>
      <c r="AG59" s="15">
        <v>0</v>
      </c>
      <c r="AH59" s="15">
        <v>0</v>
      </c>
      <c r="AI59" s="15">
        <v>101.46076874999997</v>
      </c>
      <c r="AJ59" s="15">
        <v>0</v>
      </c>
      <c r="AK59" s="15">
        <v>0</v>
      </c>
      <c r="AL59" s="15">
        <v>0</v>
      </c>
      <c r="AM59" s="15">
        <v>37.338453157499998</v>
      </c>
      <c r="AN59" s="15">
        <v>0.38240457977317394</v>
      </c>
      <c r="AO59" s="15">
        <v>204.45845438205831</v>
      </c>
      <c r="AP59" s="15">
        <v>0</v>
      </c>
      <c r="AQ59" s="15">
        <v>0</v>
      </c>
      <c r="AR59" s="15">
        <v>0</v>
      </c>
      <c r="AS59" s="15">
        <v>0</v>
      </c>
      <c r="AT59" s="15">
        <v>0</v>
      </c>
      <c r="AU59" s="15">
        <v>388.27056127821083</v>
      </c>
      <c r="AV59" s="15">
        <v>108.45270949318981</v>
      </c>
      <c r="AW59" s="15">
        <v>108.45270949318981</v>
      </c>
      <c r="AX59" s="15">
        <v>0</v>
      </c>
      <c r="AY59" s="15">
        <v>0</v>
      </c>
      <c r="AZ59" s="15">
        <v>219.14166953742475</v>
      </c>
      <c r="BA59" s="15">
        <v>76.930878417473068</v>
      </c>
      <c r="BB59" s="15">
        <v>59.25449629997987</v>
      </c>
      <c r="BC59" s="15">
        <v>82.956294819971816</v>
      </c>
      <c r="BD59" s="15">
        <v>0</v>
      </c>
      <c r="BE59" s="15">
        <v>60.676182247596287</v>
      </c>
      <c r="BF59" s="15">
        <v>20.773270504621394</v>
      </c>
      <c r="BG59" s="15">
        <v>1.4723613094253218</v>
      </c>
      <c r="BH59" s="15">
        <v>38.430550433549577</v>
      </c>
      <c r="BI59" s="15">
        <v>0</v>
      </c>
      <c r="BJ59" s="15">
        <v>388.27056127821083</v>
      </c>
      <c r="BK59" s="15">
        <v>514.86775868023835</v>
      </c>
      <c r="BL59" s="15">
        <v>1.1593582674929663</v>
      </c>
      <c r="BM59" s="15">
        <v>1.8772131876676892</v>
      </c>
    </row>
    <row r="60" spans="1:65" x14ac:dyDescent="0.35">
      <c r="A60" s="15" t="s">
        <v>10616</v>
      </c>
      <c r="B60" s="15" t="s">
        <v>10457</v>
      </c>
      <c r="C60" s="15" t="s">
        <v>10584</v>
      </c>
      <c r="D60" s="15" t="s">
        <v>10326</v>
      </c>
      <c r="E60" s="15" t="s">
        <v>10666</v>
      </c>
      <c r="F60" s="15">
        <v>102208</v>
      </c>
      <c r="G60" s="15">
        <v>0.89712946363472601</v>
      </c>
      <c r="H60" s="15">
        <v>200</v>
      </c>
      <c r="I60" s="78">
        <v>187.39198033882158</v>
      </c>
      <c r="J60" s="79">
        <v>4.0143865455536938</v>
      </c>
      <c r="K60" s="15">
        <v>30</v>
      </c>
      <c r="L60" s="15">
        <v>89.137533026341487</v>
      </c>
      <c r="M60" s="15">
        <v>16.282717530121023</v>
      </c>
      <c r="N60" s="15">
        <v>35.852407632551881</v>
      </c>
      <c r="O60" s="15">
        <v>26.200930669059137</v>
      </c>
      <c r="P60" s="15">
        <v>6.598635624771175</v>
      </c>
      <c r="Q60" s="15">
        <v>3.0528413387215751</v>
      </c>
      <c r="R60" s="15">
        <v>3.0528413387215751</v>
      </c>
      <c r="S60" s="15">
        <v>0</v>
      </c>
      <c r="T60" s="15">
        <v>0</v>
      </c>
      <c r="U60" s="15">
        <v>22732.897166773269</v>
      </c>
      <c r="V60" s="15">
        <v>0</v>
      </c>
      <c r="W60" s="15">
        <v>0</v>
      </c>
      <c r="X60" s="15">
        <v>0</v>
      </c>
      <c r="Y60" s="15">
        <v>617.64727093119143</v>
      </c>
      <c r="Z60" s="15">
        <v>0</v>
      </c>
      <c r="AA60" s="15">
        <v>0</v>
      </c>
      <c r="AB60" s="15">
        <v>0</v>
      </c>
      <c r="AC60" s="15">
        <v>617.64727093119143</v>
      </c>
      <c r="AD60" s="15">
        <v>430.25529059236987</v>
      </c>
      <c r="AE60" s="15">
        <v>10.398272162536887</v>
      </c>
      <c r="AF60" s="15">
        <v>0</v>
      </c>
      <c r="AG60" s="15">
        <v>0</v>
      </c>
      <c r="AH60" s="15">
        <v>296.85666020039048</v>
      </c>
      <c r="AI60" s="15">
        <v>123.00035822944253</v>
      </c>
      <c r="AJ60" s="15">
        <v>0</v>
      </c>
      <c r="AK60" s="15">
        <v>0</v>
      </c>
      <c r="AL60" s="15">
        <v>0</v>
      </c>
      <c r="AM60" s="15">
        <v>0</v>
      </c>
      <c r="AN60" s="15">
        <v>0.69660356459391237</v>
      </c>
      <c r="AO60" s="15">
        <v>187.39198033882158</v>
      </c>
      <c r="AP60" s="15">
        <v>307.25493236292738</v>
      </c>
      <c r="AQ60" s="15">
        <v>10.398272162536887</v>
      </c>
      <c r="AR60" s="15">
        <v>0</v>
      </c>
      <c r="AS60" s="15">
        <v>0</v>
      </c>
      <c r="AT60" s="15">
        <v>296.85666020039048</v>
      </c>
      <c r="AU60" s="15">
        <v>432.40089259272179</v>
      </c>
      <c r="AV60" s="15">
        <v>151.63425756146447</v>
      </c>
      <c r="AW60" s="15">
        <v>151.63425756146447</v>
      </c>
      <c r="AX60" s="15">
        <v>0</v>
      </c>
      <c r="AY60" s="15">
        <v>0</v>
      </c>
      <c r="AZ60" s="15">
        <v>223.48114862462157</v>
      </c>
      <c r="BA60" s="15">
        <v>82.718698010625417</v>
      </c>
      <c r="BB60" s="15">
        <v>58.65102108916507</v>
      </c>
      <c r="BC60" s="15">
        <v>82.111429524831095</v>
      </c>
      <c r="BD60" s="15">
        <v>0</v>
      </c>
      <c r="BE60" s="15">
        <v>57.285486406635741</v>
      </c>
      <c r="BF60" s="15">
        <v>19.54468541415994</v>
      </c>
      <c r="BG60" s="15">
        <v>1.5831329762799125</v>
      </c>
      <c r="BH60" s="15">
        <v>36.157668016195885</v>
      </c>
      <c r="BI60" s="15">
        <v>0</v>
      </c>
      <c r="BJ60" s="15">
        <v>739.65582495564922</v>
      </c>
      <c r="BK60" s="15">
        <v>1169.9111155480191</v>
      </c>
      <c r="BL60" s="15">
        <v>1.2179505682631488</v>
      </c>
      <c r="BM60" s="15">
        <v>4.0143865455536938</v>
      </c>
    </row>
    <row r="61" spans="1:65" x14ac:dyDescent="0.35">
      <c r="A61" s="15" t="s">
        <v>10616</v>
      </c>
      <c r="B61" s="15" t="s">
        <v>10457</v>
      </c>
      <c r="C61" s="15" t="s">
        <v>10584</v>
      </c>
      <c r="D61" s="15" t="s">
        <v>10327</v>
      </c>
      <c r="E61" s="15" t="s">
        <v>10667</v>
      </c>
      <c r="F61" s="15">
        <v>102208</v>
      </c>
      <c r="G61" s="15">
        <v>0.89712946363472601</v>
      </c>
      <c r="H61" s="15">
        <v>200</v>
      </c>
      <c r="I61" s="80">
        <v>1145.0700788222314</v>
      </c>
      <c r="J61" s="81">
        <v>2.8660287166460852E-2</v>
      </c>
      <c r="K61" s="15">
        <v>30</v>
      </c>
      <c r="L61" s="15">
        <v>108.87239167328235</v>
      </c>
      <c r="M61" s="15">
        <v>25.458572509114063</v>
      </c>
      <c r="N61" s="15">
        <v>35.852407632551881</v>
      </c>
      <c r="O61" s="15">
        <v>26.200930669059137</v>
      </c>
      <c r="P61" s="15">
        <v>6.598635624771175</v>
      </c>
      <c r="Q61" s="15">
        <v>3.0528413387215751</v>
      </c>
      <c r="R61" s="15">
        <v>3.0528413387215751</v>
      </c>
      <c r="S61" s="15">
        <v>0</v>
      </c>
      <c r="T61" s="15">
        <v>0</v>
      </c>
      <c r="U61" s="15">
        <v>22732.897166773269</v>
      </c>
      <c r="V61" s="15">
        <v>0</v>
      </c>
      <c r="W61" s="15">
        <v>0</v>
      </c>
      <c r="X61" s="15">
        <v>0</v>
      </c>
      <c r="Y61" s="15">
        <v>1518.0599492909914</v>
      </c>
      <c r="Z61" s="15">
        <v>0</v>
      </c>
      <c r="AA61" s="15">
        <v>0</v>
      </c>
      <c r="AB61" s="15">
        <v>0</v>
      </c>
      <c r="AC61" s="15">
        <v>1518.0599492909914</v>
      </c>
      <c r="AD61" s="15">
        <v>372.98987046876005</v>
      </c>
      <c r="AE61" s="15">
        <v>26.384543514263495</v>
      </c>
      <c r="AF61" s="15">
        <v>0</v>
      </c>
      <c r="AG61" s="15">
        <v>0</v>
      </c>
      <c r="AH61" s="15">
        <v>223.60496872505396</v>
      </c>
      <c r="AI61" s="15">
        <v>123.00035822944253</v>
      </c>
      <c r="AJ61" s="15">
        <v>0</v>
      </c>
      <c r="AK61" s="15">
        <v>0</v>
      </c>
      <c r="AL61" s="15">
        <v>0</v>
      </c>
      <c r="AM61" s="15">
        <v>0</v>
      </c>
      <c r="AN61" s="15">
        <v>0.2457016737994864</v>
      </c>
      <c r="AO61" s="15">
        <v>1145.0700788222314</v>
      </c>
      <c r="AP61" s="15">
        <v>249.98951223931746</v>
      </c>
      <c r="AQ61" s="15">
        <v>26.384543514263495</v>
      </c>
      <c r="AR61" s="15">
        <v>0</v>
      </c>
      <c r="AS61" s="15">
        <v>0</v>
      </c>
      <c r="AT61" s="15">
        <v>223.60496872505396</v>
      </c>
      <c r="AU61" s="15">
        <v>727.898603867681</v>
      </c>
      <c r="AV61" s="15">
        <v>151.63425756146447</v>
      </c>
      <c r="AW61" s="15">
        <v>151.63425756146447</v>
      </c>
      <c r="AX61" s="15">
        <v>0</v>
      </c>
      <c r="AY61" s="15">
        <v>0</v>
      </c>
      <c r="AZ61" s="15">
        <v>382.50973086569496</v>
      </c>
      <c r="BA61" s="15">
        <v>82.718698010625417</v>
      </c>
      <c r="BB61" s="15">
        <v>124.91293035627898</v>
      </c>
      <c r="BC61" s="15">
        <v>174.87810249879055</v>
      </c>
      <c r="BD61" s="15">
        <v>0</v>
      </c>
      <c r="BE61" s="15">
        <v>193.7546154405216</v>
      </c>
      <c r="BF61" s="15">
        <v>67.428590338330423</v>
      </c>
      <c r="BG61" s="15">
        <v>1.5831329762799125</v>
      </c>
      <c r="BH61" s="15">
        <v>124.74289212591128</v>
      </c>
      <c r="BI61" s="15">
        <v>0</v>
      </c>
      <c r="BJ61" s="15">
        <v>977.8881161069985</v>
      </c>
      <c r="BK61" s="15">
        <v>1350.8779865757585</v>
      </c>
      <c r="BL61" s="15">
        <v>2.1618406638087482E-2</v>
      </c>
      <c r="BM61" s="15">
        <v>2.8660287166460852E-2</v>
      </c>
    </row>
    <row r="62" spans="1:65" s="60" customFormat="1" x14ac:dyDescent="0.35">
      <c r="A62" s="59" t="s">
        <v>10616</v>
      </c>
      <c r="B62" s="59" t="s">
        <v>10457</v>
      </c>
      <c r="C62" s="59" t="s">
        <v>10650</v>
      </c>
      <c r="D62" s="59" t="s">
        <v>10322</v>
      </c>
      <c r="E62" s="59" t="s">
        <v>10668</v>
      </c>
      <c r="F62" s="59">
        <v>102208</v>
      </c>
      <c r="G62" s="59">
        <v>0.89712946363472601</v>
      </c>
      <c r="H62" s="59">
        <v>200</v>
      </c>
      <c r="I62" s="59">
        <v>100.12346154425742</v>
      </c>
      <c r="J62" s="88">
        <v>4.7540390191895385</v>
      </c>
      <c r="K62" s="59">
        <v>30</v>
      </c>
      <c r="L62" s="59">
        <v>98.208040486307397</v>
      </c>
      <c r="M62" s="59">
        <v>17.449561214908613</v>
      </c>
      <c r="N62" s="59">
        <v>35.852407632551881</v>
      </c>
      <c r="O62" s="59">
        <v>6.6826915944656911</v>
      </c>
      <c r="P62" s="59">
        <v>13.881738526757307</v>
      </c>
      <c r="Q62" s="59">
        <v>15.287977511328885</v>
      </c>
      <c r="R62" s="59">
        <v>2.859229508696012</v>
      </c>
      <c r="S62" s="59">
        <v>5.9914482122081827</v>
      </c>
      <c r="T62" s="59">
        <v>6.4372997904246914</v>
      </c>
      <c r="U62" s="59">
        <v>0</v>
      </c>
      <c r="V62" s="59">
        <v>0</v>
      </c>
      <c r="W62" s="59">
        <v>1088.4396580758798</v>
      </c>
      <c r="X62" s="59">
        <v>0</v>
      </c>
      <c r="Y62" s="59">
        <v>300.20101355741713</v>
      </c>
      <c r="Z62" s="59">
        <v>0</v>
      </c>
      <c r="AA62" s="59">
        <v>0</v>
      </c>
      <c r="AB62" s="59">
        <v>0</v>
      </c>
      <c r="AC62" s="59">
        <v>300.20101355741713</v>
      </c>
      <c r="AD62" s="59">
        <v>200.0775520131597</v>
      </c>
      <c r="AE62" s="59">
        <v>-11.927837405433957</v>
      </c>
      <c r="AF62" s="59">
        <v>16.915308101461996</v>
      </c>
      <c r="AG62" s="59">
        <v>36.519334612273028</v>
      </c>
      <c r="AH62" s="59">
        <v>0</v>
      </c>
      <c r="AI62" s="59">
        <v>101.46076874999997</v>
      </c>
      <c r="AJ62" s="59">
        <v>0</v>
      </c>
      <c r="AK62" s="59">
        <v>37.752512904858598</v>
      </c>
      <c r="AL62" s="59">
        <v>0</v>
      </c>
      <c r="AM62" s="59">
        <v>19.357465049999998</v>
      </c>
      <c r="AN62" s="59">
        <v>0.66647860259436609</v>
      </c>
      <c r="AO62" s="59">
        <v>100.12346154425742</v>
      </c>
      <c r="AP62" s="59">
        <v>0</v>
      </c>
      <c r="AQ62" s="59">
        <v>0</v>
      </c>
      <c r="AR62" s="59">
        <v>0</v>
      </c>
      <c r="AS62" s="59">
        <v>0</v>
      </c>
      <c r="AT62" s="59">
        <v>0</v>
      </c>
      <c r="AU62" s="59">
        <v>376.11430446198045</v>
      </c>
      <c r="AV62" s="59">
        <v>100.21210397526849</v>
      </c>
      <c r="AW62" s="59">
        <v>100.21210397526849</v>
      </c>
      <c r="AX62" s="59">
        <v>0</v>
      </c>
      <c r="AY62" s="59">
        <v>0</v>
      </c>
      <c r="AZ62" s="59">
        <v>227.47966352954032</v>
      </c>
      <c r="BA62" s="59">
        <v>76.930878417473068</v>
      </c>
      <c r="BB62" s="59">
        <v>62.728660463361365</v>
      </c>
      <c r="BC62" s="59">
        <v>87.8201246487059</v>
      </c>
      <c r="BD62" s="59">
        <v>0</v>
      </c>
      <c r="BE62" s="59">
        <v>48.422536957171651</v>
      </c>
      <c r="BF62" s="59">
        <v>16.473745841314503</v>
      </c>
      <c r="BG62" s="59">
        <v>1.4723613094253218</v>
      </c>
      <c r="BH62" s="59">
        <v>30.476429806431828</v>
      </c>
      <c r="BI62" s="59">
        <v>0</v>
      </c>
      <c r="BJ62" s="59">
        <v>376.11430446198045</v>
      </c>
      <c r="BK62" s="59">
        <v>576.19185647514018</v>
      </c>
      <c r="BL62" s="59">
        <v>1.5855737370010043</v>
      </c>
      <c r="BM62" s="59">
        <v>4.7540390191895385</v>
      </c>
    </row>
    <row r="63" spans="1:65" s="56" customFormat="1" x14ac:dyDescent="0.35">
      <c r="A63" s="55" t="s">
        <v>10616</v>
      </c>
      <c r="B63" s="55" t="s">
        <v>10652</v>
      </c>
      <c r="C63" s="55" t="s">
        <v>9780</v>
      </c>
      <c r="D63" s="55" t="s">
        <v>9780</v>
      </c>
      <c r="E63" s="55" t="s">
        <v>10014</v>
      </c>
      <c r="F63" s="55">
        <f>F54</f>
        <v>18919</v>
      </c>
      <c r="G63" s="55">
        <f>G54</f>
        <v>0.89712986944341666</v>
      </c>
      <c r="H63" s="55">
        <f>(H54*N54+H62*N62)/(N54+N62)</f>
        <v>199.99999999999997</v>
      </c>
      <c r="I63" s="55">
        <f>(I54*N54+I62*N62)/(N54+N62)</f>
        <v>95.383042027064064</v>
      </c>
      <c r="J63" s="89">
        <f>(J54*N54+J62*N62)/(N54+N62)</f>
        <v>5.2627427656113186</v>
      </c>
      <c r="K63" s="55">
        <f>K54</f>
        <v>30</v>
      </c>
      <c r="L63" s="55">
        <f t="shared" ref="L63:W63" si="4">L54+L62</f>
        <v>137.73628746065026</v>
      </c>
      <c r="M63" s="55">
        <f t="shared" si="4"/>
        <v>26.117884813185722</v>
      </c>
      <c r="N63" s="55">
        <f t="shared" si="4"/>
        <v>42.488796240288906</v>
      </c>
      <c r="O63" s="55">
        <f t="shared" si="4"/>
        <v>7.9196779308105292</v>
      </c>
      <c r="P63" s="55">
        <f t="shared" si="4"/>
        <v>16.451290127272763</v>
      </c>
      <c r="Q63" s="55">
        <f t="shared" si="4"/>
        <v>18.11782818220561</v>
      </c>
      <c r="R63" s="55">
        <f t="shared" si="4"/>
        <v>3.3884815001630395</v>
      </c>
      <c r="S63" s="55">
        <f t="shared" si="4"/>
        <v>7.100483317098699</v>
      </c>
      <c r="T63" s="55">
        <f t="shared" si="4"/>
        <v>7.6288633649438742</v>
      </c>
      <c r="U63" s="55">
        <f t="shared" si="4"/>
        <v>0</v>
      </c>
      <c r="V63" s="55">
        <f t="shared" si="4"/>
        <v>0</v>
      </c>
      <c r="W63" s="55">
        <f t="shared" si="4"/>
        <v>1289.9131161793073</v>
      </c>
      <c r="X63" s="55">
        <f>(X54*N54+X62*N62)/(N54+N62)</f>
        <v>0</v>
      </c>
      <c r="Y63" s="55">
        <f>(Y54*N54+Y62*N62)/(N54+N62)</f>
        <v>298.43559234041493</v>
      </c>
      <c r="Z63" s="55">
        <f>(Z54*N54+Z62*N62)/(N54+N62)</f>
        <v>0</v>
      </c>
      <c r="AA63" s="55">
        <f>(AA54*N54+AA62*N62)/(N54+N62)</f>
        <v>0</v>
      </c>
      <c r="AB63" s="55">
        <f>(AB54*N54+AB62*N62)/(N54+N62)</f>
        <v>0</v>
      </c>
      <c r="AC63" s="55">
        <f>(AC54*N54+AC62*N62)/(N54+N62)</f>
        <v>298.43559234041493</v>
      </c>
      <c r="AD63" s="55">
        <f>(AD54*N54+AD62*N62)/(N54+N62)</f>
        <v>203.05255031335093</v>
      </c>
      <c r="AE63" s="55">
        <f>(AE54*N54+AE62*N62)/(N54+N62)</f>
        <v>-10.162416188431834</v>
      </c>
      <c r="AF63" s="55">
        <f>(AF54*N54+AF62*N62)/(N54+N62)</f>
        <v>28.546561679653699</v>
      </c>
      <c r="AG63" s="55">
        <f>(AG54*N54+AG62*N62)/(N54+N62)</f>
        <v>61.630650281744529</v>
      </c>
      <c r="AH63" s="55">
        <f>(AH54*N54+AH62*N62)/(N54+N62)</f>
        <v>0</v>
      </c>
      <c r="AI63" s="55">
        <f>(AI54*N54+AI62*N62)/(N54+N62)</f>
        <v>101.46076874999997</v>
      </c>
      <c r="AJ63" s="55">
        <f>(AJ54*N54+AJ62*N62)/(N54+N62)</f>
        <v>0</v>
      </c>
      <c r="AK63" s="55">
        <f>(AK54*N54+AK62*N62)/(N54+N62)</f>
        <v>2.2195207403845059</v>
      </c>
      <c r="AL63" s="55">
        <f>(AL54*N54+AL62*N62)/(N54+N62)</f>
        <v>0</v>
      </c>
      <c r="AM63" s="55">
        <f>(AM54*N54+AM62*N62)/(N54+N62)</f>
        <v>19.357465049999998</v>
      </c>
      <c r="AN63" s="55">
        <f>(AN54*N54+AN62*N62)/(N54+N62)</f>
        <v>0.68084911584074714</v>
      </c>
      <c r="AO63" s="55">
        <f>(AO54*N54+AO62*N62)/(N54+N62)</f>
        <v>95.383042027064064</v>
      </c>
      <c r="AP63" s="55">
        <f>(AP54*N54+AP62*N62)/(N54+N62)</f>
        <v>0</v>
      </c>
      <c r="AQ63" s="55">
        <f>(AQ54*N54+AQ62*N62)/(N54+N62)</f>
        <v>0</v>
      </c>
      <c r="AR63" s="55">
        <f>(AR54*N54+AR62*N62)/(N54+N62)</f>
        <v>0</v>
      </c>
      <c r="AS63" s="55">
        <f>(AS54*N54+AS62*N62)/(N54+N62)</f>
        <v>0</v>
      </c>
      <c r="AT63" s="55">
        <f>(AT54*N54+AT62*N62)/(N54+N62)</f>
        <v>0</v>
      </c>
      <c r="AU63" s="55">
        <f>(AU54*N54+AU62*N62)/(N54+N62)</f>
        <v>384.33174199051882</v>
      </c>
      <c r="AV63" s="55">
        <f>(AV54*N54+AV62*N62)/(N54+N62)</f>
        <v>104.21572108486704</v>
      </c>
      <c r="AW63" s="55">
        <f>(AW54*N54+AW62*N62)/(N54+N62)</f>
        <v>104.21572108486704</v>
      </c>
      <c r="AX63" s="55">
        <f>(AX54*N54+AX62*N62)/(N54+N62)</f>
        <v>0</v>
      </c>
      <c r="AY63" s="55">
        <f>(AY54*N54+AY62*N62)/(N54+N62)</f>
        <v>0</v>
      </c>
      <c r="AZ63" s="55">
        <f>(AZ54*N54+AZ62*N62)/(N54+N62)</f>
        <v>228.30540384496459</v>
      </c>
      <c r="BA63" s="55">
        <f>(BA54*N54+BA62*N62)/(N54+N62)</f>
        <v>76.930878417473068</v>
      </c>
      <c r="BB63" s="55">
        <f>(BB54*N54+BB62*N62)/(N54+N62)</f>
        <v>63.072718928121482</v>
      </c>
      <c r="BC63" s="55">
        <f>(BC54*N54+BC62*N62)/(N54+N62)</f>
        <v>88.301806499370059</v>
      </c>
      <c r="BD63" s="55">
        <f>(BD54*N54+BD62*N62)/(N54+N62)</f>
        <v>0</v>
      </c>
      <c r="BE63" s="55">
        <f>(BE54*N54+BE62*N62)/(N54+N62)</f>
        <v>51.81061706068715</v>
      </c>
      <c r="BF63" s="55">
        <f>(BF54*N54+BF62*N62)/(N54+N62)</f>
        <v>17.662545877635733</v>
      </c>
      <c r="BG63" s="55">
        <f>(BG54*N54+BG62*N62)/(N54+N62)</f>
        <v>1.4723613094253218</v>
      </c>
      <c r="BH63" s="55">
        <f>(BH54*N54+BH62*N62)/(N54+N62)</f>
        <v>32.675709873626097</v>
      </c>
      <c r="BI63" s="55">
        <f>(BI54*N54+BI62*N62)/(N54+N62)</f>
        <v>0</v>
      </c>
      <c r="BJ63" s="55">
        <f>(BJ54*N54+BJ62*N62)/(N54+N62)</f>
        <v>384.33174199051882</v>
      </c>
      <c r="BK63" s="55">
        <f>(BK54*N54+BK62*N62)/(N54+N62)</f>
        <v>587.38429230386964</v>
      </c>
      <c r="BL63" s="55">
        <f>(BL54*N54+BL62*N62)/(N54+N62)</f>
        <v>1.6401156787716875</v>
      </c>
      <c r="BM63" s="55">
        <f>(BM54*N54+BM62*N62)/(N54+N62)</f>
        <v>5.2627427656113186</v>
      </c>
    </row>
    <row r="64" spans="1:65" s="60" customFormat="1" x14ac:dyDescent="0.35">
      <c r="A64" s="15" t="s">
        <v>10625</v>
      </c>
      <c r="B64" s="15" t="s">
        <v>10457</v>
      </c>
      <c r="C64" s="15" t="s">
        <v>10582</v>
      </c>
      <c r="D64" s="15" t="s">
        <v>10321</v>
      </c>
      <c r="E64" s="15" t="s">
        <v>10669</v>
      </c>
      <c r="F64" s="15">
        <v>18919</v>
      </c>
      <c r="G64" s="15">
        <v>0.89712986944341666</v>
      </c>
      <c r="H64" s="15">
        <v>200</v>
      </c>
      <c r="I64" s="78">
        <v>146.63798289729402</v>
      </c>
      <c r="J64" s="79">
        <v>2.1237811237866091</v>
      </c>
      <c r="K64" s="15">
        <v>30</v>
      </c>
      <c r="L64" s="15">
        <v>11.002081056609324</v>
      </c>
      <c r="M64" s="15">
        <v>5.7984775494067149</v>
      </c>
      <c r="N64" s="15">
        <v>6.6363886077370218</v>
      </c>
      <c r="O64" s="15">
        <v>1.2369863363448381</v>
      </c>
      <c r="P64" s="15">
        <v>2.5695516005154566</v>
      </c>
      <c r="Q64" s="15">
        <v>2.8298506708767253</v>
      </c>
      <c r="R64" s="15">
        <v>0.52925199146702739</v>
      </c>
      <c r="S64" s="15">
        <v>1.109035104890516</v>
      </c>
      <c r="T64" s="15">
        <v>1.1915635745191826</v>
      </c>
      <c r="U64" s="15">
        <v>0</v>
      </c>
      <c r="V64" s="15">
        <v>805.8938324137099</v>
      </c>
      <c r="W64" s="15">
        <v>0</v>
      </c>
      <c r="X64" s="15">
        <v>0</v>
      </c>
      <c r="Y64" s="15">
        <v>288.89808559445322</v>
      </c>
      <c r="Z64" s="15">
        <v>0</v>
      </c>
      <c r="AA64" s="15">
        <v>0</v>
      </c>
      <c r="AB64" s="15">
        <v>0</v>
      </c>
      <c r="AC64" s="15">
        <v>288.89808559445322</v>
      </c>
      <c r="AD64" s="15">
        <v>142.2601026971592</v>
      </c>
      <c r="AE64" s="15">
        <v>0.54994788619329271</v>
      </c>
      <c r="AF64" s="15">
        <v>0</v>
      </c>
      <c r="AG64" s="15">
        <v>0</v>
      </c>
      <c r="AH64" s="15">
        <v>40.249386060965911</v>
      </c>
      <c r="AI64" s="15">
        <v>101.46076874999999</v>
      </c>
      <c r="AJ64" s="15">
        <v>-1.468144660174908E-15</v>
      </c>
      <c r="AK64" s="15">
        <v>0</v>
      </c>
      <c r="AL64" s="15">
        <v>0</v>
      </c>
      <c r="AM64" s="15">
        <v>0</v>
      </c>
      <c r="AN64" s="15">
        <v>0.49242314086102951</v>
      </c>
      <c r="AO64" s="15">
        <v>146.63798289729402</v>
      </c>
      <c r="AP64" s="15">
        <v>40.799333947159205</v>
      </c>
      <c r="AQ64" s="15">
        <v>0.54994788619329271</v>
      </c>
      <c r="AR64" s="15">
        <v>0</v>
      </c>
      <c r="AS64" s="15">
        <v>0</v>
      </c>
      <c r="AT64" s="15">
        <v>40.249386060965911</v>
      </c>
      <c r="AU64" s="15">
        <v>217.26562905755148</v>
      </c>
      <c r="AV64" s="15">
        <v>61.280874999999995</v>
      </c>
      <c r="AW64" s="15">
        <v>61.280874999999995</v>
      </c>
      <c r="AX64" s="15">
        <v>0</v>
      </c>
      <c r="AY64" s="15">
        <v>0</v>
      </c>
      <c r="AZ64" s="15">
        <v>119.15832063838675</v>
      </c>
      <c r="BA64" s="15">
        <v>76.930878417473096</v>
      </c>
      <c r="BB64" s="15">
        <v>17.594767592047358</v>
      </c>
      <c r="BC64" s="15">
        <v>24.632674628866297</v>
      </c>
      <c r="BD64" s="15">
        <v>0</v>
      </c>
      <c r="BE64" s="15">
        <v>36.826433419164722</v>
      </c>
      <c r="BF64" s="15">
        <v>12.404937582364703</v>
      </c>
      <c r="BG64" s="15">
        <v>1.4723613094253223</v>
      </c>
      <c r="BH64" s="15">
        <v>22.949134527374696</v>
      </c>
      <c r="BI64" s="15">
        <v>0</v>
      </c>
      <c r="BJ64" s="15">
        <v>258.06496300471071</v>
      </c>
      <c r="BK64" s="59">
        <v>400.3250657018699</v>
      </c>
      <c r="BL64" s="59">
        <v>1.0779821523102402</v>
      </c>
      <c r="BM64" s="59">
        <v>2.1237811237866091</v>
      </c>
    </row>
    <row r="65" spans="1:65" x14ac:dyDescent="0.35">
      <c r="A65" s="15" t="s">
        <v>10625</v>
      </c>
      <c r="B65" s="15" t="s">
        <v>10457</v>
      </c>
      <c r="C65" s="15" t="s">
        <v>10582</v>
      </c>
      <c r="D65" s="15" t="s">
        <v>10322</v>
      </c>
      <c r="E65" s="15" t="s">
        <v>10670</v>
      </c>
      <c r="F65" s="15">
        <v>18919</v>
      </c>
      <c r="G65" s="15">
        <v>0.89712986944341666</v>
      </c>
      <c r="H65" s="15">
        <v>200</v>
      </c>
      <c r="I65" s="80">
        <v>1207.4994439616598</v>
      </c>
      <c r="J65" s="81">
        <v>-0.53622778113543146</v>
      </c>
      <c r="K65" s="15">
        <v>30</v>
      </c>
      <c r="L65" s="15">
        <v>11.002081056609324</v>
      </c>
      <c r="M65" s="15">
        <v>5.7984775494067149</v>
      </c>
      <c r="N65" s="15">
        <v>6.6363886077370218</v>
      </c>
      <c r="O65" s="15">
        <v>1.2369863363448381</v>
      </c>
      <c r="P65" s="15">
        <v>2.5695516005154566</v>
      </c>
      <c r="Q65" s="15">
        <v>2.8298506708767253</v>
      </c>
      <c r="R65" s="15">
        <v>0.52925199146702739</v>
      </c>
      <c r="S65" s="15">
        <v>1.109035104890516</v>
      </c>
      <c r="T65" s="15">
        <v>1.1915635745191826</v>
      </c>
      <c r="U65" s="15">
        <v>0</v>
      </c>
      <c r="V65" s="15">
        <v>0</v>
      </c>
      <c r="W65" s="15">
        <v>201.47345810342748</v>
      </c>
      <c r="X65" s="15">
        <v>0</v>
      </c>
      <c r="Y65" s="15">
        <v>288.89808559445322</v>
      </c>
      <c r="Z65" s="15">
        <v>0</v>
      </c>
      <c r="AA65" s="15">
        <v>0</v>
      </c>
      <c r="AB65" s="15">
        <v>0</v>
      </c>
      <c r="AC65" s="15">
        <v>288.89808559445322</v>
      </c>
      <c r="AD65" s="15">
        <v>-918.60135836720656</v>
      </c>
      <c r="AE65" s="15">
        <v>-0.62490944247001956</v>
      </c>
      <c r="AF65" s="15">
        <v>91.383214144028386</v>
      </c>
      <c r="AG65" s="15">
        <v>-1051.6366363423308</v>
      </c>
      <c r="AH65" s="15">
        <v>0</v>
      </c>
      <c r="AI65" s="15">
        <v>101.46076874999999</v>
      </c>
      <c r="AJ65" s="15">
        <v>0</v>
      </c>
      <c r="AK65" s="15">
        <v>-59.183795476434078</v>
      </c>
      <c r="AL65" s="15">
        <v>0</v>
      </c>
      <c r="AM65" s="15">
        <v>0</v>
      </c>
      <c r="AN65" s="15">
        <v>-3.1796727087237007</v>
      </c>
      <c r="AO65" s="15">
        <v>1207.4994439616598</v>
      </c>
      <c r="AP65" s="15">
        <v>0</v>
      </c>
      <c r="AQ65" s="15">
        <v>0</v>
      </c>
      <c r="AR65" s="15">
        <v>0</v>
      </c>
      <c r="AS65" s="15">
        <v>0</v>
      </c>
      <c r="AT65" s="15">
        <v>0</v>
      </c>
      <c r="AU65" s="15">
        <v>360.00469640383176</v>
      </c>
      <c r="AV65" s="15">
        <v>61.280874999999995</v>
      </c>
      <c r="AW65" s="15">
        <v>61.280874999999995</v>
      </c>
      <c r="AX65" s="15">
        <v>0</v>
      </c>
      <c r="AY65" s="15">
        <v>0</v>
      </c>
      <c r="AZ65" s="15">
        <v>119.15832063838675</v>
      </c>
      <c r="BA65" s="15">
        <v>76.930878417473096</v>
      </c>
      <c r="BB65" s="15">
        <v>17.594767592047358</v>
      </c>
      <c r="BC65" s="15">
        <v>24.632674628866297</v>
      </c>
      <c r="BD65" s="15">
        <v>0</v>
      </c>
      <c r="BE65" s="15">
        <v>179.56550076544499</v>
      </c>
      <c r="BF65" s="15">
        <v>62.488820861761297</v>
      </c>
      <c r="BG65" s="15">
        <v>1.4723613094253223</v>
      </c>
      <c r="BH65" s="15">
        <v>115.60431859425839</v>
      </c>
      <c r="BI65" s="15">
        <v>0</v>
      </c>
      <c r="BJ65" s="15">
        <v>360.00469640383176</v>
      </c>
      <c r="BK65" s="15">
        <v>-558.5966619633748</v>
      </c>
      <c r="BL65" s="15">
        <v>-2.2412566224712283</v>
      </c>
      <c r="BM65" s="15">
        <v>-0.53622778113543146</v>
      </c>
    </row>
    <row r="66" spans="1:65" x14ac:dyDescent="0.35">
      <c r="A66" s="15" t="s">
        <v>10625</v>
      </c>
      <c r="B66" s="15" t="s">
        <v>10457</v>
      </c>
      <c r="C66" s="15" t="s">
        <v>10582</v>
      </c>
      <c r="D66" s="15" t="s">
        <v>10323</v>
      </c>
      <c r="E66" s="15" t="s">
        <v>10671</v>
      </c>
      <c r="F66" s="15">
        <v>18919</v>
      </c>
      <c r="G66" s="15">
        <v>0.89712986944341666</v>
      </c>
      <c r="H66" s="15">
        <v>200</v>
      </c>
      <c r="I66" s="78">
        <v>209.90854308619936</v>
      </c>
      <c r="J66" s="79">
        <v>1.0159664657707552</v>
      </c>
      <c r="K66" s="15">
        <v>30</v>
      </c>
      <c r="L66" s="15">
        <v>11.002081056609324</v>
      </c>
      <c r="M66" s="15">
        <v>5.7984775494067149</v>
      </c>
      <c r="N66" s="15">
        <v>6.6363886077370218</v>
      </c>
      <c r="O66" s="15">
        <v>1.2369863363448381</v>
      </c>
      <c r="P66" s="15">
        <v>2.5695516005154566</v>
      </c>
      <c r="Q66" s="15">
        <v>2.8298506708767253</v>
      </c>
      <c r="R66" s="15">
        <v>0.52925199146702739</v>
      </c>
      <c r="S66" s="15">
        <v>1.109035104890516</v>
      </c>
      <c r="T66" s="15">
        <v>1.1915635745191826</v>
      </c>
      <c r="U66" s="15">
        <v>0</v>
      </c>
      <c r="V66" s="15">
        <v>0</v>
      </c>
      <c r="W66" s="15">
        <v>0</v>
      </c>
      <c r="X66" s="15">
        <v>201473.45810342749</v>
      </c>
      <c r="Y66" s="15">
        <v>288.89808559445322</v>
      </c>
      <c r="Z66" s="15">
        <v>0</v>
      </c>
      <c r="AA66" s="15">
        <v>0</v>
      </c>
      <c r="AB66" s="15">
        <v>0</v>
      </c>
      <c r="AC66" s="15">
        <v>288.89808559445322</v>
      </c>
      <c r="AD66" s="15">
        <v>78.989542508253862</v>
      </c>
      <c r="AE66" s="15">
        <v>-0.62490944247001956</v>
      </c>
      <c r="AF66" s="15">
        <v>0</v>
      </c>
      <c r="AG66" s="15">
        <v>0</v>
      </c>
      <c r="AH66" s="15">
        <v>0</v>
      </c>
      <c r="AI66" s="15">
        <v>101.46076874999999</v>
      </c>
      <c r="AJ66" s="15">
        <v>0</v>
      </c>
      <c r="AK66" s="15">
        <v>-21.846316799276114</v>
      </c>
      <c r="AL66" s="15">
        <v>0</v>
      </c>
      <c r="AM66" s="15">
        <v>0</v>
      </c>
      <c r="AN66" s="15">
        <v>0.27341663530140903</v>
      </c>
      <c r="AO66" s="15">
        <v>209.90854308619936</v>
      </c>
      <c r="AP66" s="15">
        <v>0</v>
      </c>
      <c r="AQ66" s="15">
        <v>0</v>
      </c>
      <c r="AR66" s="15">
        <v>0</v>
      </c>
      <c r="AS66" s="15">
        <v>0</v>
      </c>
      <c r="AT66" s="15">
        <v>0</v>
      </c>
      <c r="AU66" s="15">
        <v>223.16858374057364</v>
      </c>
      <c r="AV66" s="15">
        <v>61.280874999999995</v>
      </c>
      <c r="AW66" s="15">
        <v>61.280874999999995</v>
      </c>
      <c r="AX66" s="15">
        <v>0</v>
      </c>
      <c r="AY66" s="15">
        <v>0</v>
      </c>
      <c r="AZ66" s="15">
        <v>119.15832063838675</v>
      </c>
      <c r="BA66" s="15">
        <v>76.930878417473096</v>
      </c>
      <c r="BB66" s="15">
        <v>17.594767592047358</v>
      </c>
      <c r="BC66" s="15">
        <v>24.632674628866297</v>
      </c>
      <c r="BD66" s="15">
        <v>0</v>
      </c>
      <c r="BE66" s="15">
        <v>42.729388102186888</v>
      </c>
      <c r="BF66" s="15">
        <v>14.476149751846163</v>
      </c>
      <c r="BG66" s="15">
        <v>1.4723613094253223</v>
      </c>
      <c r="BH66" s="15">
        <v>26.780877040915399</v>
      </c>
      <c r="BI66" s="15">
        <v>0</v>
      </c>
      <c r="BJ66" s="15">
        <v>223.16858374057364</v>
      </c>
      <c r="BK66" s="15">
        <v>302.1581262488275</v>
      </c>
      <c r="BL66" s="15">
        <v>0.73818433312065124</v>
      </c>
      <c r="BM66" s="15">
        <v>1.0159664657707552</v>
      </c>
    </row>
    <row r="67" spans="1:65" x14ac:dyDescent="0.35">
      <c r="A67" s="15" t="s">
        <v>10625</v>
      </c>
      <c r="B67" s="15" t="s">
        <v>10457</v>
      </c>
      <c r="C67" s="15" t="s">
        <v>10582</v>
      </c>
      <c r="D67" s="15" t="s">
        <v>10324</v>
      </c>
      <c r="E67" s="15" t="s">
        <v>10672</v>
      </c>
      <c r="F67" s="15">
        <v>18919</v>
      </c>
      <c r="G67" s="15">
        <v>0.89712986944341666</v>
      </c>
      <c r="H67" s="15">
        <v>200</v>
      </c>
      <c r="I67" s="78">
        <v>154.73505049950842</v>
      </c>
      <c r="J67" s="79">
        <v>1.725767866666378</v>
      </c>
      <c r="K67" s="15">
        <v>30</v>
      </c>
      <c r="L67" s="15">
        <v>11.149538362876143</v>
      </c>
      <c r="M67" s="15">
        <v>5.8427508493885778</v>
      </c>
      <c r="N67" s="15">
        <v>6.6363886077370218</v>
      </c>
      <c r="O67" s="15">
        <v>0.93254532715920602</v>
      </c>
      <c r="P67" s="15">
        <v>2.6782805323674688</v>
      </c>
      <c r="Q67" s="15">
        <v>3.0255627482103469</v>
      </c>
      <c r="R67" s="15">
        <v>0.52925199146702739</v>
      </c>
      <c r="S67" s="15">
        <v>1.3047471822241368</v>
      </c>
      <c r="T67" s="15">
        <v>1.1915635745191826</v>
      </c>
      <c r="U67" s="15">
        <v>0</v>
      </c>
      <c r="V67" s="15">
        <v>0</v>
      </c>
      <c r="W67" s="15">
        <v>0</v>
      </c>
      <c r="X67" s="15">
        <v>0</v>
      </c>
      <c r="Y67" s="15">
        <v>255.40215083995423</v>
      </c>
      <c r="Z67" s="15">
        <v>0</v>
      </c>
      <c r="AA67" s="15">
        <v>0</v>
      </c>
      <c r="AB67" s="15">
        <v>0</v>
      </c>
      <c r="AC67" s="15">
        <v>255.40215083995423</v>
      </c>
      <c r="AD67" s="15">
        <v>100.66710034044581</v>
      </c>
      <c r="AE67" s="15">
        <v>-0.79366840955416917</v>
      </c>
      <c r="AF67" s="15">
        <v>0</v>
      </c>
      <c r="AG67" s="15">
        <v>0</v>
      </c>
      <c r="AH67" s="15">
        <v>0</v>
      </c>
      <c r="AI67" s="15">
        <v>101.46076874999999</v>
      </c>
      <c r="AJ67" s="15">
        <v>0</v>
      </c>
      <c r="AK67" s="15">
        <v>0</v>
      </c>
      <c r="AL67" s="15">
        <v>0</v>
      </c>
      <c r="AM67" s="15">
        <v>0</v>
      </c>
      <c r="AN67" s="15">
        <v>0.39415134136254032</v>
      </c>
      <c r="AO67" s="15">
        <v>154.73505049950842</v>
      </c>
      <c r="AP67" s="15">
        <v>0</v>
      </c>
      <c r="AQ67" s="15">
        <v>0</v>
      </c>
      <c r="AR67" s="15">
        <v>0</v>
      </c>
      <c r="AS67" s="15">
        <v>0</v>
      </c>
      <c r="AT67" s="15">
        <v>0</v>
      </c>
      <c r="AU67" s="15">
        <v>221.77182849855933</v>
      </c>
      <c r="AV67" s="15">
        <v>59.642499999999991</v>
      </c>
      <c r="AW67" s="15">
        <v>59.642499999999991</v>
      </c>
      <c r="AX67" s="15">
        <v>0</v>
      </c>
      <c r="AY67" s="15">
        <v>0</v>
      </c>
      <c r="AZ67" s="15">
        <v>124.14906294607907</v>
      </c>
      <c r="BA67" s="15">
        <v>76.930878417473096</v>
      </c>
      <c r="BB67" s="15">
        <v>19.674243553585821</v>
      </c>
      <c r="BC67" s="15">
        <v>27.543940975020146</v>
      </c>
      <c r="BD67" s="15">
        <v>0</v>
      </c>
      <c r="BE67" s="15">
        <v>37.980265552480269</v>
      </c>
      <c r="BF67" s="15">
        <v>12.809790962475422</v>
      </c>
      <c r="BG67" s="15">
        <v>1.4723613094253223</v>
      </c>
      <c r="BH67" s="15">
        <v>23.698113280579527</v>
      </c>
      <c r="BI67" s="15">
        <v>0</v>
      </c>
      <c r="BJ67" s="15">
        <v>221.77182849855933</v>
      </c>
      <c r="BK67" s="15">
        <v>322.43892883900514</v>
      </c>
      <c r="BL67" s="15">
        <v>1.0455541471394554</v>
      </c>
      <c r="BM67" s="15">
        <v>1.725767866666378</v>
      </c>
    </row>
    <row r="68" spans="1:65" x14ac:dyDescent="0.35">
      <c r="A68" s="15" t="s">
        <v>10625</v>
      </c>
      <c r="B68" s="15" t="s">
        <v>10457</v>
      </c>
      <c r="C68" s="15" t="s">
        <v>10582</v>
      </c>
      <c r="D68" s="15" t="s">
        <v>10325</v>
      </c>
      <c r="E68" s="15" t="s">
        <v>10673</v>
      </c>
      <c r="F68" s="15">
        <v>18919</v>
      </c>
      <c r="G68" s="15">
        <v>0.89712986944341666</v>
      </c>
      <c r="H68" s="15">
        <v>200</v>
      </c>
      <c r="I68" s="78">
        <v>217.39285852861343</v>
      </c>
      <c r="J68" s="79">
        <v>0.78873346735499616</v>
      </c>
      <c r="K68" s="15">
        <v>30</v>
      </c>
      <c r="L68" s="15">
        <v>10</v>
      </c>
      <c r="M68" s="15">
        <v>5.2167160087039983</v>
      </c>
      <c r="N68" s="15">
        <v>6.6363886077370218</v>
      </c>
      <c r="O68" s="15">
        <v>1.4871980960223472</v>
      </c>
      <c r="P68" s="15">
        <v>2.3215414627585647</v>
      </c>
      <c r="Q68" s="15">
        <v>2.8276490489561095</v>
      </c>
      <c r="R68" s="15">
        <v>0.52925199146702739</v>
      </c>
      <c r="S68" s="15">
        <v>0</v>
      </c>
      <c r="T68" s="15">
        <v>2.2983970574890824</v>
      </c>
      <c r="U68" s="15">
        <v>0</v>
      </c>
      <c r="V68" s="15">
        <v>0</v>
      </c>
      <c r="W68" s="15">
        <v>0</v>
      </c>
      <c r="X68" s="15">
        <v>0</v>
      </c>
      <c r="Y68" s="15">
        <v>318.85362727861343</v>
      </c>
      <c r="Z68" s="15">
        <v>0</v>
      </c>
      <c r="AA68" s="15">
        <v>0</v>
      </c>
      <c r="AB68" s="15">
        <v>0</v>
      </c>
      <c r="AC68" s="15">
        <v>318.85362727861343</v>
      </c>
      <c r="AD68" s="15">
        <v>101.46076875</v>
      </c>
      <c r="AE68" s="15">
        <v>0</v>
      </c>
      <c r="AF68" s="15">
        <v>0</v>
      </c>
      <c r="AG68" s="15">
        <v>0</v>
      </c>
      <c r="AH68" s="15">
        <v>0</v>
      </c>
      <c r="AI68" s="15">
        <v>101.46076874999999</v>
      </c>
      <c r="AJ68" s="15">
        <v>0</v>
      </c>
      <c r="AK68" s="15">
        <v>0</v>
      </c>
      <c r="AL68" s="15">
        <v>0</v>
      </c>
      <c r="AM68" s="15">
        <v>0</v>
      </c>
      <c r="AN68" s="15">
        <v>0.31820484407205396</v>
      </c>
      <c r="AO68" s="15">
        <v>217.39285852861343</v>
      </c>
      <c r="AP68" s="15">
        <v>0</v>
      </c>
      <c r="AQ68" s="15">
        <v>0</v>
      </c>
      <c r="AR68" s="15">
        <v>0</v>
      </c>
      <c r="AS68" s="15">
        <v>0</v>
      </c>
      <c r="AT68" s="15">
        <v>0</v>
      </c>
      <c r="AU68" s="15">
        <v>188.85788161410085</v>
      </c>
      <c r="AV68" s="15">
        <v>65.018000000000001</v>
      </c>
      <c r="AW68" s="15">
        <v>65.018000000000001</v>
      </c>
      <c r="AX68" s="15">
        <v>0</v>
      </c>
      <c r="AY68" s="15">
        <v>0</v>
      </c>
      <c r="AZ68" s="15">
        <v>76.930878417473096</v>
      </c>
      <c r="BA68" s="15">
        <v>76.930878417473096</v>
      </c>
      <c r="BB68" s="15">
        <v>0</v>
      </c>
      <c r="BC68" s="15">
        <v>0</v>
      </c>
      <c r="BD68" s="15">
        <v>0</v>
      </c>
      <c r="BE68" s="15">
        <v>46.909003196627737</v>
      </c>
      <c r="BF68" s="15">
        <v>15.942681363930673</v>
      </c>
      <c r="BG68" s="15">
        <v>1.4723613094253223</v>
      </c>
      <c r="BH68" s="15">
        <v>29.493960523271742</v>
      </c>
      <c r="BI68" s="15">
        <v>0</v>
      </c>
      <c r="BJ68" s="15">
        <v>188.85788161410085</v>
      </c>
      <c r="BK68" s="15">
        <v>290.31865036410085</v>
      </c>
      <c r="BL68" s="15">
        <v>0.53775465736088912</v>
      </c>
      <c r="BM68" s="15">
        <v>0.78873346735499616</v>
      </c>
    </row>
    <row r="69" spans="1:65" x14ac:dyDescent="0.35">
      <c r="A69" s="15" t="s">
        <v>10625</v>
      </c>
      <c r="B69" s="15" t="s">
        <v>10457</v>
      </c>
      <c r="C69" s="15" t="s">
        <v>10582</v>
      </c>
      <c r="D69" s="15" t="s">
        <v>10326</v>
      </c>
      <c r="E69" s="15" t="s">
        <v>10674</v>
      </c>
      <c r="F69" s="15">
        <v>18919</v>
      </c>
      <c r="G69" s="15">
        <v>0.89712986944341666</v>
      </c>
      <c r="H69" s="15">
        <v>200</v>
      </c>
      <c r="I69" s="78">
        <v>-710.02677014853259</v>
      </c>
      <c r="J69" s="81">
        <v>-3.0795286037839134</v>
      </c>
      <c r="K69" s="15">
        <v>30</v>
      </c>
      <c r="L69" s="15">
        <v>10</v>
      </c>
      <c r="M69" s="15">
        <v>5.1140203001600044</v>
      </c>
      <c r="N69" s="15">
        <v>6.6363886077370218</v>
      </c>
      <c r="O69" s="15">
        <v>4.8498711602949411</v>
      </c>
      <c r="P69" s="15">
        <v>1.2214273232539989</v>
      </c>
      <c r="Q69" s="15">
        <v>0.56509012418808247</v>
      </c>
      <c r="R69" s="15">
        <v>0.56509012418808247</v>
      </c>
      <c r="S69" s="15">
        <v>0</v>
      </c>
      <c r="T69" s="15">
        <v>0</v>
      </c>
      <c r="U69" s="15">
        <v>4207.927716448683</v>
      </c>
      <c r="V69" s="15">
        <v>0</v>
      </c>
      <c r="W69" s="15">
        <v>0</v>
      </c>
      <c r="X69" s="15">
        <v>0</v>
      </c>
      <c r="Y69" s="15">
        <v>607.24899876865459</v>
      </c>
      <c r="Z69" s="15">
        <v>0</v>
      </c>
      <c r="AA69" s="15">
        <v>0</v>
      </c>
      <c r="AB69" s="15">
        <v>0</v>
      </c>
      <c r="AC69" s="15">
        <v>607.24899876865459</v>
      </c>
      <c r="AD69" s="15">
        <v>1317.2757689171872</v>
      </c>
      <c r="AE69" s="15">
        <v>0</v>
      </c>
      <c r="AF69" s="15">
        <v>0</v>
      </c>
      <c r="AG69" s="15">
        <v>0</v>
      </c>
      <c r="AH69" s="15">
        <v>1194.2754106877446</v>
      </c>
      <c r="AI69" s="15">
        <v>123.00035822944254</v>
      </c>
      <c r="AJ69" s="15">
        <v>0</v>
      </c>
      <c r="AK69" s="15">
        <v>0</v>
      </c>
      <c r="AL69" s="15">
        <v>0</v>
      </c>
      <c r="AM69" s="15">
        <v>0</v>
      </c>
      <c r="AN69" s="15">
        <v>2.1692514464219537</v>
      </c>
      <c r="AO69" s="15">
        <v>-710.02677014853259</v>
      </c>
      <c r="AP69" s="15">
        <v>1194.2754106877446</v>
      </c>
      <c r="AQ69" s="15">
        <v>0</v>
      </c>
      <c r="AR69" s="15">
        <v>0</v>
      </c>
      <c r="AS69" s="15">
        <v>0</v>
      </c>
      <c r="AT69" s="15">
        <v>1194.2754106877446</v>
      </c>
      <c r="AU69" s="15">
        <v>82.245567288435026</v>
      </c>
      <c r="AV69" s="15">
        <v>81.594999999999985</v>
      </c>
      <c r="AW69" s="15">
        <v>81.594999999999985</v>
      </c>
      <c r="AX69" s="15">
        <v>0</v>
      </c>
      <c r="AY69" s="15">
        <v>0</v>
      </c>
      <c r="AZ69" s="15">
        <v>82.718698010625459</v>
      </c>
      <c r="BA69" s="15">
        <v>82.718698010625459</v>
      </c>
      <c r="BB69" s="15">
        <v>0</v>
      </c>
      <c r="BC69" s="15">
        <v>0</v>
      </c>
      <c r="BD69" s="15">
        <v>0</v>
      </c>
      <c r="BE69" s="15">
        <v>-82.068130722190418</v>
      </c>
      <c r="BF69" s="15">
        <v>-29.351320595954505</v>
      </c>
      <c r="BG69" s="15">
        <v>1.5831329762799129</v>
      </c>
      <c r="BH69" s="15">
        <v>-54.299943102515826</v>
      </c>
      <c r="BI69" s="15">
        <v>0</v>
      </c>
      <c r="BJ69" s="15">
        <v>1276.5209779761797</v>
      </c>
      <c r="BK69" s="15">
        <v>2593.7967468933666</v>
      </c>
      <c r="BL69" s="15">
        <v>3.6007432742721206</v>
      </c>
      <c r="BM69" s="15">
        <v>-3.0795286037839134</v>
      </c>
    </row>
    <row r="70" spans="1:65" x14ac:dyDescent="0.35">
      <c r="A70" s="15" t="s">
        <v>10625</v>
      </c>
      <c r="B70" s="15" t="s">
        <v>10457</v>
      </c>
      <c r="C70" s="15" t="s">
        <v>10582</v>
      </c>
      <c r="D70" s="15" t="s">
        <v>10327</v>
      </c>
      <c r="E70" s="15" t="s">
        <v>10675</v>
      </c>
      <c r="F70" s="15">
        <v>18919</v>
      </c>
      <c r="G70" s="15">
        <v>0.89712986944341666</v>
      </c>
      <c r="H70" s="15">
        <v>200</v>
      </c>
      <c r="I70" s="80">
        <v>3320.3380981938185</v>
      </c>
      <c r="J70" s="81">
        <v>-0.90899623502392435</v>
      </c>
      <c r="K70" s="15">
        <v>30</v>
      </c>
      <c r="L70" s="15">
        <v>32.981910523628173</v>
      </c>
      <c r="M70" s="15">
        <v>18.818197580598131</v>
      </c>
      <c r="N70" s="15">
        <v>6.6363886077370218</v>
      </c>
      <c r="O70" s="15">
        <v>4.8498711602949411</v>
      </c>
      <c r="P70" s="15">
        <v>1.2214273232539989</v>
      </c>
      <c r="Q70" s="15">
        <v>0.56509012418808247</v>
      </c>
      <c r="R70" s="15">
        <v>0.56509012418808247</v>
      </c>
      <c r="S70" s="15">
        <v>0</v>
      </c>
      <c r="T70" s="15">
        <v>0</v>
      </c>
      <c r="U70" s="15">
        <v>4207.927716448683</v>
      </c>
      <c r="V70" s="15">
        <v>0</v>
      </c>
      <c r="W70" s="15">
        <v>0</v>
      </c>
      <c r="X70" s="15">
        <v>0</v>
      </c>
      <c r="Y70" s="15">
        <v>1443.3936743029858</v>
      </c>
      <c r="Z70" s="15">
        <v>0</v>
      </c>
      <c r="AA70" s="15">
        <v>0</v>
      </c>
      <c r="AB70" s="15">
        <v>0</v>
      </c>
      <c r="AC70" s="15">
        <v>1443.3936743029858</v>
      </c>
      <c r="AD70" s="15">
        <v>-1876.9444238908327</v>
      </c>
      <c r="AE70" s="15">
        <v>-48.281731473742155</v>
      </c>
      <c r="AF70" s="15">
        <v>0</v>
      </c>
      <c r="AG70" s="15">
        <v>0</v>
      </c>
      <c r="AH70" s="15">
        <v>-1951.6630506465331</v>
      </c>
      <c r="AI70" s="15">
        <v>123.00035822944254</v>
      </c>
      <c r="AJ70" s="15">
        <v>0</v>
      </c>
      <c r="AK70" s="15">
        <v>0</v>
      </c>
      <c r="AL70" s="15">
        <v>0</v>
      </c>
      <c r="AM70" s="15">
        <v>0</v>
      </c>
      <c r="AN70" s="15">
        <v>-1.3003690242699784</v>
      </c>
      <c r="AO70" s="15">
        <v>3320.3380981938185</v>
      </c>
      <c r="AP70" s="15">
        <v>-1999.9447821202752</v>
      </c>
      <c r="AQ70" s="15">
        <v>-48.281731473742155</v>
      </c>
      <c r="AR70" s="15">
        <v>0</v>
      </c>
      <c r="AS70" s="15">
        <v>0</v>
      </c>
      <c r="AT70" s="15">
        <v>-1951.6630506465331</v>
      </c>
      <c r="AU70" s="15">
        <v>2102.1080500494154</v>
      </c>
      <c r="AV70" s="15">
        <v>81.594999999999985</v>
      </c>
      <c r="AW70" s="15">
        <v>81.594999999999985</v>
      </c>
      <c r="AX70" s="15">
        <v>0</v>
      </c>
      <c r="AY70" s="15">
        <v>0</v>
      </c>
      <c r="AZ70" s="15">
        <v>1528.2541870328207</v>
      </c>
      <c r="BA70" s="15">
        <v>82.718698010625459</v>
      </c>
      <c r="BB70" s="15">
        <v>602.30645375924803</v>
      </c>
      <c r="BC70" s="15">
        <v>843.22903526294726</v>
      </c>
      <c r="BD70" s="15">
        <v>0</v>
      </c>
      <c r="BE70" s="15">
        <v>492.25886301659466</v>
      </c>
      <c r="BF70" s="15">
        <v>172.16692282116307</v>
      </c>
      <c r="BG70" s="15">
        <v>1.5831329762799129</v>
      </c>
      <c r="BH70" s="15">
        <v>318.50880721915166</v>
      </c>
      <c r="BI70" s="15">
        <v>0</v>
      </c>
      <c r="BJ70" s="15">
        <v>102.16326792914015</v>
      </c>
      <c r="BK70" s="15">
        <v>-1774.7811559616925</v>
      </c>
      <c r="BL70" s="15">
        <v>-2.0910267822270687</v>
      </c>
      <c r="BM70" s="15">
        <v>-0.90899623502392435</v>
      </c>
    </row>
    <row r="71" spans="1:65" s="60" customFormat="1" x14ac:dyDescent="0.35">
      <c r="A71" s="59" t="s">
        <v>10625</v>
      </c>
      <c r="B71" s="59" t="s">
        <v>10457</v>
      </c>
      <c r="C71" s="59" t="s">
        <v>10641</v>
      </c>
      <c r="D71" s="59" t="s">
        <v>10326</v>
      </c>
      <c r="E71" s="59" t="s">
        <v>10676</v>
      </c>
      <c r="F71" s="59">
        <v>18919</v>
      </c>
      <c r="G71" s="59">
        <v>0.89712986944341666</v>
      </c>
      <c r="H71" s="59">
        <v>200</v>
      </c>
      <c r="I71" s="59">
        <v>-710.02677014853259</v>
      </c>
      <c r="J71" s="88">
        <v>-3.0795286037839134</v>
      </c>
      <c r="K71" s="59">
        <v>30</v>
      </c>
      <c r="L71" s="59">
        <v>10</v>
      </c>
      <c r="M71" s="59">
        <v>5.1140203001600044</v>
      </c>
      <c r="N71" s="59">
        <v>6.6363886077370218</v>
      </c>
      <c r="O71" s="59">
        <v>4.8498711602949411</v>
      </c>
      <c r="P71" s="59">
        <v>1.2214273232539989</v>
      </c>
      <c r="Q71" s="59">
        <v>0.56509012418808247</v>
      </c>
      <c r="R71" s="59">
        <v>0.56509012418808247</v>
      </c>
      <c r="S71" s="59">
        <v>0</v>
      </c>
      <c r="T71" s="59">
        <v>0</v>
      </c>
      <c r="U71" s="59">
        <v>4207.927716448683</v>
      </c>
      <c r="V71" s="59">
        <v>0</v>
      </c>
      <c r="W71" s="59">
        <v>0</v>
      </c>
      <c r="X71" s="59">
        <v>0</v>
      </c>
      <c r="Y71" s="59">
        <v>607.24899876865459</v>
      </c>
      <c r="Z71" s="59">
        <v>0</v>
      </c>
      <c r="AA71" s="59">
        <v>0</v>
      </c>
      <c r="AB71" s="59">
        <v>0</v>
      </c>
      <c r="AC71" s="59">
        <v>607.24899876865459</v>
      </c>
      <c r="AD71" s="59">
        <v>1317.2757689171872</v>
      </c>
      <c r="AE71" s="59">
        <v>0</v>
      </c>
      <c r="AF71" s="59">
        <v>0</v>
      </c>
      <c r="AG71" s="59">
        <v>0</v>
      </c>
      <c r="AH71" s="59">
        <v>1194.2754106877446</v>
      </c>
      <c r="AI71" s="59">
        <v>123.00035822944254</v>
      </c>
      <c r="AJ71" s="59">
        <v>0</v>
      </c>
      <c r="AK71" s="59">
        <v>0</v>
      </c>
      <c r="AL71" s="59">
        <v>0</v>
      </c>
      <c r="AM71" s="59">
        <v>0</v>
      </c>
      <c r="AN71" s="59">
        <v>2.1692514464219537</v>
      </c>
      <c r="AO71" s="59">
        <v>-710.02677014853259</v>
      </c>
      <c r="AP71" s="59">
        <v>1194.2754106877446</v>
      </c>
      <c r="AQ71" s="59">
        <v>0</v>
      </c>
      <c r="AR71" s="59">
        <v>0</v>
      </c>
      <c r="AS71" s="59">
        <v>0</v>
      </c>
      <c r="AT71" s="59">
        <v>1194.2754106877446</v>
      </c>
      <c r="AU71" s="59">
        <v>82.245567288435026</v>
      </c>
      <c r="AV71" s="59">
        <v>81.594999999999985</v>
      </c>
      <c r="AW71" s="59">
        <v>81.594999999999985</v>
      </c>
      <c r="AX71" s="59">
        <v>0</v>
      </c>
      <c r="AY71" s="59">
        <v>0</v>
      </c>
      <c r="AZ71" s="59">
        <v>82.718698010625459</v>
      </c>
      <c r="BA71" s="59">
        <v>82.718698010625459</v>
      </c>
      <c r="BB71" s="59">
        <v>0</v>
      </c>
      <c r="BC71" s="59">
        <v>0</v>
      </c>
      <c r="BD71" s="59">
        <v>0</v>
      </c>
      <c r="BE71" s="59">
        <v>-82.068130722190418</v>
      </c>
      <c r="BF71" s="59">
        <v>-29.351320595954505</v>
      </c>
      <c r="BG71" s="59">
        <v>1.5831329762799129</v>
      </c>
      <c r="BH71" s="59">
        <v>-54.299943102515826</v>
      </c>
      <c r="BI71" s="59">
        <v>0</v>
      </c>
      <c r="BJ71" s="59">
        <v>1276.5209779761797</v>
      </c>
      <c r="BK71" s="59">
        <v>2593.7967468933666</v>
      </c>
      <c r="BL71" s="59">
        <v>3.6007432742721206</v>
      </c>
      <c r="BM71" s="59">
        <v>-3.0795286037839134</v>
      </c>
    </row>
    <row r="72" spans="1:65" s="60" customFormat="1" x14ac:dyDescent="0.35">
      <c r="A72" s="15" t="s">
        <v>10625</v>
      </c>
      <c r="B72" s="15" t="s">
        <v>10457</v>
      </c>
      <c r="C72" s="15" t="s">
        <v>10584</v>
      </c>
      <c r="D72" s="15" t="s">
        <v>10321</v>
      </c>
      <c r="E72" s="15" t="s">
        <v>10677</v>
      </c>
      <c r="F72" s="15">
        <v>102208</v>
      </c>
      <c r="G72" s="15">
        <v>0.89712946363472601</v>
      </c>
      <c r="H72" s="15">
        <v>200</v>
      </c>
      <c r="I72" s="78">
        <v>158.56995212485791</v>
      </c>
      <c r="J72" s="79">
        <v>2.4285919040745978</v>
      </c>
      <c r="K72" s="15">
        <v>30</v>
      </c>
      <c r="L72" s="15">
        <v>64.637722962350949</v>
      </c>
      <c r="M72" s="15">
        <v>14.834016822678159</v>
      </c>
      <c r="N72" s="15">
        <v>35.852407632551881</v>
      </c>
      <c r="O72" s="15">
        <v>6.6826915944656911</v>
      </c>
      <c r="P72" s="15">
        <v>13.881738526757307</v>
      </c>
      <c r="Q72" s="15">
        <v>15.287977511328885</v>
      </c>
      <c r="R72" s="15">
        <v>2.859229508696012</v>
      </c>
      <c r="S72" s="15">
        <v>5.9914482122081827</v>
      </c>
      <c r="T72" s="15">
        <v>6.4372997904246914</v>
      </c>
      <c r="U72" s="15">
        <v>0</v>
      </c>
      <c r="V72" s="15">
        <v>4353.7586323035193</v>
      </c>
      <c r="W72" s="15">
        <v>0</v>
      </c>
      <c r="X72" s="15">
        <v>0</v>
      </c>
      <c r="Y72" s="15">
        <v>300.20101355741713</v>
      </c>
      <c r="Z72" s="15">
        <v>0</v>
      </c>
      <c r="AA72" s="15">
        <v>0</v>
      </c>
      <c r="AB72" s="15">
        <v>0</v>
      </c>
      <c r="AC72" s="15">
        <v>300.20101355741713</v>
      </c>
      <c r="AD72" s="15">
        <v>141.63106143255922</v>
      </c>
      <c r="AE72" s="15">
        <v>10.497023283962299</v>
      </c>
      <c r="AF72" s="15">
        <v>0</v>
      </c>
      <c r="AG72" s="15">
        <v>0</v>
      </c>
      <c r="AH72" s="15">
        <v>29.673269398596982</v>
      </c>
      <c r="AI72" s="15">
        <v>101.46076874999997</v>
      </c>
      <c r="AJ72" s="15">
        <v>0</v>
      </c>
      <c r="AK72" s="15">
        <v>0</v>
      </c>
      <c r="AL72" s="15">
        <v>0</v>
      </c>
      <c r="AM72" s="15">
        <v>0</v>
      </c>
      <c r="AN72" s="15">
        <v>0.47178741921692596</v>
      </c>
      <c r="AO72" s="15">
        <v>158.56995212485791</v>
      </c>
      <c r="AP72" s="15">
        <v>40.170292682559278</v>
      </c>
      <c r="AQ72" s="15">
        <v>10.497023283962299</v>
      </c>
      <c r="AR72" s="15">
        <v>0</v>
      </c>
      <c r="AS72" s="15">
        <v>0</v>
      </c>
      <c r="AT72" s="15">
        <v>29.673269398596982</v>
      </c>
      <c r="AU72" s="15">
        <v>303.50136140222503</v>
      </c>
      <c r="AV72" s="15">
        <v>61.280874999999995</v>
      </c>
      <c r="AW72" s="15">
        <v>61.280874999999995</v>
      </c>
      <c r="AX72" s="15">
        <v>0</v>
      </c>
      <c r="AY72" s="15">
        <v>0</v>
      </c>
      <c r="AZ72" s="15">
        <v>203.69374736813245</v>
      </c>
      <c r="BA72" s="15">
        <v>76.930878417473068</v>
      </c>
      <c r="BB72" s="15">
        <v>52.817862062774743</v>
      </c>
      <c r="BC72" s="15">
        <v>73.945006887884631</v>
      </c>
      <c r="BD72" s="15">
        <v>0</v>
      </c>
      <c r="BE72" s="15">
        <v>38.526739034092572</v>
      </c>
      <c r="BF72" s="15">
        <v>13.001536043742895</v>
      </c>
      <c r="BG72" s="15">
        <v>1.4723613094253218</v>
      </c>
      <c r="BH72" s="15">
        <v>24.052841680924352</v>
      </c>
      <c r="BI72" s="15">
        <v>0</v>
      </c>
      <c r="BJ72" s="15">
        <v>343.67165408478434</v>
      </c>
      <c r="BK72" s="59">
        <v>485.30271551734359</v>
      </c>
      <c r="BL72" s="59">
        <v>1.2828127973201231</v>
      </c>
      <c r="BM72" s="59">
        <v>2.4285919040745978</v>
      </c>
    </row>
    <row r="73" spans="1:65" s="56" customFormat="1" x14ac:dyDescent="0.35">
      <c r="A73" s="15" t="s">
        <v>10625</v>
      </c>
      <c r="B73" s="15" t="s">
        <v>10457</v>
      </c>
      <c r="C73" s="15" t="s">
        <v>10584</v>
      </c>
      <c r="D73" s="15" t="s">
        <v>10322</v>
      </c>
      <c r="E73" s="15" t="s">
        <v>10678</v>
      </c>
      <c r="F73" s="15">
        <v>102208</v>
      </c>
      <c r="G73" s="15">
        <v>0.89712946363472601</v>
      </c>
      <c r="H73" s="15">
        <v>200</v>
      </c>
      <c r="I73" s="80">
        <v>366.00804738919533</v>
      </c>
      <c r="J73" s="79">
        <v>0.46514298044883151</v>
      </c>
      <c r="K73" s="15">
        <v>30</v>
      </c>
      <c r="L73" s="15">
        <v>64.637722962350949</v>
      </c>
      <c r="M73" s="15">
        <v>14.834016822678159</v>
      </c>
      <c r="N73" s="15">
        <v>35.852407632551881</v>
      </c>
      <c r="O73" s="15">
        <v>6.6826915944656911</v>
      </c>
      <c r="P73" s="15">
        <v>13.881738526757307</v>
      </c>
      <c r="Q73" s="15">
        <v>15.287977511328885</v>
      </c>
      <c r="R73" s="15">
        <v>2.859229508696012</v>
      </c>
      <c r="S73" s="15">
        <v>5.9914482122081827</v>
      </c>
      <c r="T73" s="15">
        <v>6.4372997904246914</v>
      </c>
      <c r="U73" s="15">
        <v>0</v>
      </c>
      <c r="V73" s="15">
        <v>0</v>
      </c>
      <c r="W73" s="15">
        <v>1088.4396580758798</v>
      </c>
      <c r="X73" s="15">
        <v>0</v>
      </c>
      <c r="Y73" s="15">
        <v>300.20101355741713</v>
      </c>
      <c r="Z73" s="15">
        <v>0</v>
      </c>
      <c r="AA73" s="15">
        <v>0</v>
      </c>
      <c r="AB73" s="15">
        <v>0</v>
      </c>
      <c r="AC73" s="15">
        <v>300.20101355741713</v>
      </c>
      <c r="AD73" s="15">
        <v>-65.807033831778199</v>
      </c>
      <c r="AE73" s="15">
        <v>-11.927837405433957</v>
      </c>
      <c r="AF73" s="15">
        <v>16.915308101461996</v>
      </c>
      <c r="AG73" s="15">
        <v>-194.661107963208</v>
      </c>
      <c r="AH73" s="15">
        <v>0</v>
      </c>
      <c r="AI73" s="15">
        <v>101.46076874999997</v>
      </c>
      <c r="AJ73" s="15">
        <v>0</v>
      </c>
      <c r="AK73" s="15">
        <v>22.405834685401754</v>
      </c>
      <c r="AL73" s="15">
        <v>0</v>
      </c>
      <c r="AM73" s="15">
        <v>0</v>
      </c>
      <c r="AN73" s="15">
        <v>-0.21920989890059714</v>
      </c>
      <c r="AO73" s="15">
        <v>366.00804738919533</v>
      </c>
      <c r="AP73" s="15">
        <v>0</v>
      </c>
      <c r="AQ73" s="15">
        <v>0</v>
      </c>
      <c r="AR73" s="15">
        <v>0</v>
      </c>
      <c r="AS73" s="15">
        <v>0</v>
      </c>
      <c r="AT73" s="15">
        <v>0</v>
      </c>
      <c r="AU73" s="15">
        <v>336.2541214200628</v>
      </c>
      <c r="AV73" s="15">
        <v>61.280874999999995</v>
      </c>
      <c r="AW73" s="15">
        <v>61.280874999999995</v>
      </c>
      <c r="AX73" s="15">
        <v>0</v>
      </c>
      <c r="AY73" s="15">
        <v>0</v>
      </c>
      <c r="AZ73" s="15">
        <v>203.69374736813245</v>
      </c>
      <c r="BA73" s="15">
        <v>76.930878417473068</v>
      </c>
      <c r="BB73" s="15">
        <v>52.817862062774743</v>
      </c>
      <c r="BC73" s="15">
        <v>73.945006887884631</v>
      </c>
      <c r="BD73" s="15">
        <v>0</v>
      </c>
      <c r="BE73" s="15">
        <v>71.279499051930401</v>
      </c>
      <c r="BF73" s="15">
        <v>24.493732541229853</v>
      </c>
      <c r="BG73" s="15">
        <v>1.4723613094253218</v>
      </c>
      <c r="BH73" s="15">
        <v>45.313405201275224</v>
      </c>
      <c r="BI73" s="15">
        <v>0</v>
      </c>
      <c r="BJ73" s="15">
        <v>336.2541214200628</v>
      </c>
      <c r="BK73" s="55">
        <v>270.4470875882846</v>
      </c>
      <c r="BL73" s="55">
        <v>0.56710692616734226</v>
      </c>
      <c r="BM73" s="55">
        <v>0.46514298044883151</v>
      </c>
    </row>
    <row r="74" spans="1:65" x14ac:dyDescent="0.35">
      <c r="A74" s="15" t="s">
        <v>10625</v>
      </c>
      <c r="B74" s="15" t="s">
        <v>10457</v>
      </c>
      <c r="C74" s="15" t="s">
        <v>10584</v>
      </c>
      <c r="D74" s="15" t="s">
        <v>10323</v>
      </c>
      <c r="E74" s="15" t="s">
        <v>10679</v>
      </c>
      <c r="F74" s="15">
        <v>102208</v>
      </c>
      <c r="G74" s="15">
        <v>0.89712946363472601</v>
      </c>
      <c r="H74" s="15">
        <v>200</v>
      </c>
      <c r="I74" s="78">
        <v>181.35096779766795</v>
      </c>
      <c r="J74" s="79">
        <v>1.8173290230786083</v>
      </c>
      <c r="K74" s="15">
        <v>30</v>
      </c>
      <c r="L74" s="15">
        <v>64.637722962350949</v>
      </c>
      <c r="M74" s="15">
        <v>14.834016822678159</v>
      </c>
      <c r="N74" s="15">
        <v>35.852407632551881</v>
      </c>
      <c r="O74" s="15">
        <v>6.6826915944656911</v>
      </c>
      <c r="P74" s="15">
        <v>13.881738526757307</v>
      </c>
      <c r="Q74" s="15">
        <v>15.287977511328885</v>
      </c>
      <c r="R74" s="15">
        <v>2.859229508696012</v>
      </c>
      <c r="S74" s="15">
        <v>5.9914482122081827</v>
      </c>
      <c r="T74" s="15">
        <v>6.4372997904246914</v>
      </c>
      <c r="U74" s="15">
        <v>0</v>
      </c>
      <c r="V74" s="15">
        <v>0</v>
      </c>
      <c r="W74" s="15">
        <v>0</v>
      </c>
      <c r="X74" s="15">
        <v>1088439.6580758798</v>
      </c>
      <c r="Y74" s="15">
        <v>300.20101355741713</v>
      </c>
      <c r="Z74" s="15">
        <v>0</v>
      </c>
      <c r="AA74" s="15">
        <v>0</v>
      </c>
      <c r="AB74" s="15">
        <v>0</v>
      </c>
      <c r="AC74" s="15">
        <v>300.20101355741713</v>
      </c>
      <c r="AD74" s="15">
        <v>118.85004575974918</v>
      </c>
      <c r="AE74" s="15">
        <v>-11.927837405433957</v>
      </c>
      <c r="AF74" s="15">
        <v>0</v>
      </c>
      <c r="AG74" s="15">
        <v>0</v>
      </c>
      <c r="AH74" s="15">
        <v>0</v>
      </c>
      <c r="AI74" s="15">
        <v>101.46076874999997</v>
      </c>
      <c r="AJ74" s="15">
        <v>0</v>
      </c>
      <c r="AK74" s="15">
        <v>29.317114415183131</v>
      </c>
      <c r="AL74" s="15">
        <v>0</v>
      </c>
      <c r="AM74" s="15">
        <v>0</v>
      </c>
      <c r="AN74" s="15">
        <v>0.39590154727115084</v>
      </c>
      <c r="AO74" s="15">
        <v>181.35096779766795</v>
      </c>
      <c r="AP74" s="15">
        <v>0</v>
      </c>
      <c r="AQ74" s="15">
        <v>0</v>
      </c>
      <c r="AR74" s="15">
        <v>0</v>
      </c>
      <c r="AS74" s="15">
        <v>0</v>
      </c>
      <c r="AT74" s="15">
        <v>0</v>
      </c>
      <c r="AU74" s="15">
        <v>310.92534493976405</v>
      </c>
      <c r="AV74" s="15">
        <v>61.280874999999995</v>
      </c>
      <c r="AW74" s="15">
        <v>61.280874999999995</v>
      </c>
      <c r="AX74" s="15">
        <v>0</v>
      </c>
      <c r="AY74" s="15">
        <v>0</v>
      </c>
      <c r="AZ74" s="15">
        <v>203.69374736813245</v>
      </c>
      <c r="BA74" s="15">
        <v>76.930878417473068</v>
      </c>
      <c r="BB74" s="15">
        <v>52.817862062774743</v>
      </c>
      <c r="BC74" s="15">
        <v>73.945006887884631</v>
      </c>
      <c r="BD74" s="15">
        <v>0</v>
      </c>
      <c r="BE74" s="15">
        <v>45.950722571631601</v>
      </c>
      <c r="BF74" s="15">
        <v>15.606442548142553</v>
      </c>
      <c r="BG74" s="15">
        <v>1.4723613094253218</v>
      </c>
      <c r="BH74" s="15">
        <v>28.871918714063725</v>
      </c>
      <c r="BI74" s="15">
        <v>0</v>
      </c>
      <c r="BJ74" s="15">
        <v>310.92534493976405</v>
      </c>
      <c r="BK74" s="15">
        <v>429.7753906995132</v>
      </c>
      <c r="BL74" s="15">
        <v>1.0978456509410184</v>
      </c>
      <c r="BM74" s="15">
        <v>1.8173290230786083</v>
      </c>
    </row>
    <row r="75" spans="1:65" x14ac:dyDescent="0.35">
      <c r="A75" s="15" t="s">
        <v>10625</v>
      </c>
      <c r="B75" s="15" t="s">
        <v>10457</v>
      </c>
      <c r="C75" s="15" t="s">
        <v>10584</v>
      </c>
      <c r="D75" s="15" t="s">
        <v>10324</v>
      </c>
      <c r="E75" s="15" t="s">
        <v>10680</v>
      </c>
      <c r="F75" s="15">
        <v>102208</v>
      </c>
      <c r="G75" s="15">
        <v>0.89712946363472601</v>
      </c>
      <c r="H75" s="15">
        <v>200</v>
      </c>
      <c r="I75" s="78">
        <v>179.13909951045329</v>
      </c>
      <c r="J75" s="79">
        <v>1.8232379966732901</v>
      </c>
      <c r="K75" s="15">
        <v>30</v>
      </c>
      <c r="L75" s="15">
        <v>65.500237543639216</v>
      </c>
      <c r="M75" s="15">
        <v>14.958929130076507</v>
      </c>
      <c r="N75" s="15">
        <v>35.852407632551881</v>
      </c>
      <c r="O75" s="15">
        <v>5.0379803205261906</v>
      </c>
      <c r="P75" s="15">
        <v>14.469135410307127</v>
      </c>
      <c r="Q75" s="15">
        <v>16.345291901718568</v>
      </c>
      <c r="R75" s="15">
        <v>2.859229508696012</v>
      </c>
      <c r="S75" s="15">
        <v>7.0487626025978622</v>
      </c>
      <c r="T75" s="15">
        <v>6.4372997904246914</v>
      </c>
      <c r="U75" s="15">
        <v>0</v>
      </c>
      <c r="V75" s="15">
        <v>0</v>
      </c>
      <c r="W75" s="15">
        <v>0</v>
      </c>
      <c r="X75" s="15">
        <v>0</v>
      </c>
      <c r="Y75" s="15">
        <v>267.60417534542665</v>
      </c>
      <c r="Z75" s="15">
        <v>0</v>
      </c>
      <c r="AA75" s="15">
        <v>0</v>
      </c>
      <c r="AB75" s="15">
        <v>0</v>
      </c>
      <c r="AC75" s="15">
        <v>267.60417534542665</v>
      </c>
      <c r="AD75" s="15">
        <v>88.465075834973362</v>
      </c>
      <c r="AE75" s="15">
        <v>-12.995692915026602</v>
      </c>
      <c r="AF75" s="15">
        <v>0</v>
      </c>
      <c r="AG75" s="15">
        <v>0</v>
      </c>
      <c r="AH75" s="15">
        <v>0</v>
      </c>
      <c r="AI75" s="15">
        <v>101.46076874999997</v>
      </c>
      <c r="AJ75" s="15">
        <v>0</v>
      </c>
      <c r="AK75" s="15">
        <v>0</v>
      </c>
      <c r="AL75" s="15">
        <v>0</v>
      </c>
      <c r="AM75" s="15">
        <v>0</v>
      </c>
      <c r="AN75" s="15">
        <v>0.3305818219046156</v>
      </c>
      <c r="AO75" s="15">
        <v>179.13909951045329</v>
      </c>
      <c r="AP75" s="15">
        <v>0</v>
      </c>
      <c r="AQ75" s="15">
        <v>0</v>
      </c>
      <c r="AR75" s="15">
        <v>0</v>
      </c>
      <c r="AS75" s="15">
        <v>0</v>
      </c>
      <c r="AT75" s="15">
        <v>0</v>
      </c>
      <c r="AU75" s="15">
        <v>305.7523124277493</v>
      </c>
      <c r="AV75" s="15">
        <v>59.642499999999998</v>
      </c>
      <c r="AW75" s="15">
        <v>59.642499999999998</v>
      </c>
      <c r="AX75" s="15">
        <v>0</v>
      </c>
      <c r="AY75" s="15">
        <v>0</v>
      </c>
      <c r="AZ75" s="15">
        <v>204.65196989120938</v>
      </c>
      <c r="BA75" s="15">
        <v>76.930878417473068</v>
      </c>
      <c r="BB75" s="15">
        <v>53.217121447390134</v>
      </c>
      <c r="BC75" s="15">
        <v>74.503970026346181</v>
      </c>
      <c r="BD75" s="15">
        <v>0</v>
      </c>
      <c r="BE75" s="15">
        <v>41.457842536539914</v>
      </c>
      <c r="BF75" s="15">
        <v>14.029993413022664</v>
      </c>
      <c r="BG75" s="15">
        <v>1.4723613094253218</v>
      </c>
      <c r="BH75" s="15">
        <v>25.955487814091928</v>
      </c>
      <c r="BI75" s="15">
        <v>0</v>
      </c>
      <c r="BJ75" s="15">
        <v>305.7523124277493</v>
      </c>
      <c r="BK75" s="15">
        <v>394.21738826272269</v>
      </c>
      <c r="BL75" s="15">
        <v>1.2205086579673123</v>
      </c>
      <c r="BM75" s="15">
        <v>1.8232379966732901</v>
      </c>
    </row>
    <row r="76" spans="1:65" x14ac:dyDescent="0.35">
      <c r="A76" s="15" t="s">
        <v>10625</v>
      </c>
      <c r="B76" s="15" t="s">
        <v>10457</v>
      </c>
      <c r="C76" s="15" t="s">
        <v>10584</v>
      </c>
      <c r="D76" s="15" t="s">
        <v>10325</v>
      </c>
      <c r="E76" s="15" t="s">
        <v>10681</v>
      </c>
      <c r="F76" s="15">
        <v>102208</v>
      </c>
      <c r="G76" s="15">
        <v>0.89712946363472601</v>
      </c>
      <c r="H76" s="15">
        <v>200</v>
      </c>
      <c r="I76" s="78">
        <v>241.7969075395583</v>
      </c>
      <c r="J76" s="79">
        <v>1.1137029963522576</v>
      </c>
      <c r="K76" s="15">
        <v>30</v>
      </c>
      <c r="L76" s="15">
        <v>58.814781639761897</v>
      </c>
      <c r="M76" s="15">
        <v>14.058249620486814</v>
      </c>
      <c r="N76" s="15">
        <v>35.852407632551881</v>
      </c>
      <c r="O76" s="15">
        <v>8.034434919435796</v>
      </c>
      <c r="P76" s="15">
        <v>12.541889238019301</v>
      </c>
      <c r="Q76" s="15">
        <v>15.276083475096788</v>
      </c>
      <c r="R76" s="15">
        <v>2.859229508696012</v>
      </c>
      <c r="S76" s="15">
        <v>0</v>
      </c>
      <c r="T76" s="15">
        <v>12.416853966400774</v>
      </c>
      <c r="U76" s="15">
        <v>0</v>
      </c>
      <c r="V76" s="15">
        <v>0</v>
      </c>
      <c r="W76" s="15">
        <v>0</v>
      </c>
      <c r="X76" s="15">
        <v>0</v>
      </c>
      <c r="Y76" s="15">
        <v>331.05565178408585</v>
      </c>
      <c r="Z76" s="15">
        <v>0</v>
      </c>
      <c r="AA76" s="15">
        <v>0</v>
      </c>
      <c r="AB76" s="15">
        <v>0</v>
      </c>
      <c r="AC76" s="15">
        <v>331.05565178408585</v>
      </c>
      <c r="AD76" s="15">
        <v>89.258744244527549</v>
      </c>
      <c r="AE76" s="15">
        <v>-12.202024505472432</v>
      </c>
      <c r="AF76" s="15">
        <v>0</v>
      </c>
      <c r="AG76" s="15">
        <v>0</v>
      </c>
      <c r="AH76" s="15">
        <v>0</v>
      </c>
      <c r="AI76" s="15">
        <v>101.46076874999997</v>
      </c>
      <c r="AJ76" s="15">
        <v>0</v>
      </c>
      <c r="AK76" s="15">
        <v>0</v>
      </c>
      <c r="AL76" s="15">
        <v>0</v>
      </c>
      <c r="AM76" s="15">
        <v>0</v>
      </c>
      <c r="AN76" s="15">
        <v>0.26961854831205845</v>
      </c>
      <c r="AO76" s="15">
        <v>241.7969075395583</v>
      </c>
      <c r="AP76" s="15">
        <v>0</v>
      </c>
      <c r="AQ76" s="15">
        <v>0</v>
      </c>
      <c r="AR76" s="15">
        <v>0</v>
      </c>
      <c r="AS76" s="15">
        <v>0</v>
      </c>
      <c r="AT76" s="15">
        <v>0</v>
      </c>
      <c r="AU76" s="15">
        <v>311.08684797507419</v>
      </c>
      <c r="AV76" s="15">
        <v>65.018000000000001</v>
      </c>
      <c r="AW76" s="15">
        <v>65.018000000000001</v>
      </c>
      <c r="AX76" s="15">
        <v>0</v>
      </c>
      <c r="AY76" s="15">
        <v>0</v>
      </c>
      <c r="AZ76" s="15">
        <v>195.68226779438683</v>
      </c>
      <c r="BA76" s="15">
        <v>76.930878417473068</v>
      </c>
      <c r="BB76" s="15">
        <v>49.479745573714069</v>
      </c>
      <c r="BC76" s="15">
        <v>69.271643803199694</v>
      </c>
      <c r="BD76" s="15">
        <v>0</v>
      </c>
      <c r="BE76" s="15">
        <v>50.386580180687375</v>
      </c>
      <c r="BF76" s="15">
        <v>17.162883814477915</v>
      </c>
      <c r="BG76" s="15">
        <v>1.4723613094253218</v>
      </c>
      <c r="BH76" s="15">
        <v>31.751335056784139</v>
      </c>
      <c r="BI76" s="15">
        <v>0</v>
      </c>
      <c r="BJ76" s="15">
        <v>311.08684797507419</v>
      </c>
      <c r="BK76" s="15">
        <v>400.34559221960171</v>
      </c>
      <c r="BL76" s="15">
        <v>0.8134280112249721</v>
      </c>
      <c r="BM76" s="15">
        <v>1.1137029963522576</v>
      </c>
    </row>
    <row r="77" spans="1:65" x14ac:dyDescent="0.35">
      <c r="A77" s="15" t="s">
        <v>10625</v>
      </c>
      <c r="B77" s="15" t="s">
        <v>10457</v>
      </c>
      <c r="C77" s="15" t="s">
        <v>10584</v>
      </c>
      <c r="D77" s="15" t="s">
        <v>10326</v>
      </c>
      <c r="E77" s="15" t="s">
        <v>10682</v>
      </c>
      <c r="F77" s="15">
        <v>102208</v>
      </c>
      <c r="G77" s="15">
        <v>0.89712946363472601</v>
      </c>
      <c r="H77" s="15">
        <v>200</v>
      </c>
      <c r="I77" s="78">
        <v>159.15982761642326</v>
      </c>
      <c r="J77" s="79">
        <v>4.4121186396033734</v>
      </c>
      <c r="K77" s="15">
        <v>30</v>
      </c>
      <c r="L77" s="15">
        <v>58.814781639761897</v>
      </c>
      <c r="M77" s="15">
        <v>13.503446606006813</v>
      </c>
      <c r="N77" s="15">
        <v>35.852407632551881</v>
      </c>
      <c r="O77" s="15">
        <v>26.200930669059137</v>
      </c>
      <c r="P77" s="15">
        <v>6.598635624771175</v>
      </c>
      <c r="Q77" s="15">
        <v>3.0528413387215751</v>
      </c>
      <c r="R77" s="15">
        <v>3.0528413387215751</v>
      </c>
      <c r="S77" s="15">
        <v>0</v>
      </c>
      <c r="T77" s="15">
        <v>0</v>
      </c>
      <c r="U77" s="15">
        <v>22732.897166773269</v>
      </c>
      <c r="V77" s="15">
        <v>0</v>
      </c>
      <c r="W77" s="15">
        <v>0</v>
      </c>
      <c r="X77" s="15">
        <v>0</v>
      </c>
      <c r="Y77" s="15">
        <v>618.69600871791499</v>
      </c>
      <c r="Z77" s="15">
        <v>0</v>
      </c>
      <c r="AA77" s="15">
        <v>0</v>
      </c>
      <c r="AB77" s="15">
        <v>0</v>
      </c>
      <c r="AC77" s="15">
        <v>618.69600871791499</v>
      </c>
      <c r="AD77" s="15">
        <v>459.53618110149171</v>
      </c>
      <c r="AE77" s="15">
        <v>11.447009949260364</v>
      </c>
      <c r="AF77" s="15">
        <v>0</v>
      </c>
      <c r="AG77" s="15">
        <v>0</v>
      </c>
      <c r="AH77" s="15">
        <v>325.0888129227888</v>
      </c>
      <c r="AI77" s="15">
        <v>123.00035822944253</v>
      </c>
      <c r="AJ77" s="15">
        <v>0</v>
      </c>
      <c r="AK77" s="15">
        <v>0</v>
      </c>
      <c r="AL77" s="15">
        <v>0</v>
      </c>
      <c r="AM77" s="15">
        <v>0</v>
      </c>
      <c r="AN77" s="15">
        <v>0.74274954844748353</v>
      </c>
      <c r="AO77" s="15">
        <v>159.15982761642326</v>
      </c>
      <c r="AP77" s="15">
        <v>336.53582287204915</v>
      </c>
      <c r="AQ77" s="15">
        <v>11.447009949260364</v>
      </c>
      <c r="AR77" s="15">
        <v>0</v>
      </c>
      <c r="AS77" s="15">
        <v>0</v>
      </c>
      <c r="AT77" s="15">
        <v>325.0888129227888</v>
      </c>
      <c r="AU77" s="15">
        <v>324.85604684685495</v>
      </c>
      <c r="AV77" s="15">
        <v>81.594999999999999</v>
      </c>
      <c r="AW77" s="15">
        <v>81.594999999999999</v>
      </c>
      <c r="AX77" s="15">
        <v>0</v>
      </c>
      <c r="AY77" s="15">
        <v>0</v>
      </c>
      <c r="AZ77" s="15">
        <v>201.47008738753919</v>
      </c>
      <c r="BA77" s="15">
        <v>82.718698010625417</v>
      </c>
      <c r="BB77" s="15">
        <v>49.479745573714069</v>
      </c>
      <c r="BC77" s="15">
        <v>69.271643803199694</v>
      </c>
      <c r="BD77" s="15">
        <v>0</v>
      </c>
      <c r="BE77" s="15">
        <v>41.790959459315786</v>
      </c>
      <c r="BF77" s="15">
        <v>14.108009292293289</v>
      </c>
      <c r="BG77" s="15">
        <v>1.5831329762799125</v>
      </c>
      <c r="BH77" s="15">
        <v>26.099817190742584</v>
      </c>
      <c r="BI77" s="15">
        <v>0</v>
      </c>
      <c r="BJ77" s="15">
        <v>661.3918697189041</v>
      </c>
      <c r="BK77" s="15">
        <v>1120.9280508203958</v>
      </c>
      <c r="BL77" s="15">
        <v>1.1350195123412423</v>
      </c>
      <c r="BM77" s="15">
        <v>4.4121186396033734</v>
      </c>
    </row>
    <row r="78" spans="1:65" x14ac:dyDescent="0.35">
      <c r="A78" s="15" t="s">
        <v>10625</v>
      </c>
      <c r="B78" s="15" t="s">
        <v>10457</v>
      </c>
      <c r="C78" s="15" t="s">
        <v>10584</v>
      </c>
      <c r="D78" s="15" t="s">
        <v>10327</v>
      </c>
      <c r="E78" s="15" t="s">
        <v>10683</v>
      </c>
      <c r="F78" s="15">
        <v>102208</v>
      </c>
      <c r="G78" s="15">
        <v>0.89712946363472601</v>
      </c>
      <c r="H78" s="15">
        <v>200</v>
      </c>
      <c r="I78" s="80">
        <v>1116.8379260998331</v>
      </c>
      <c r="J78" s="81">
        <v>-1.3124788842353121E-2</v>
      </c>
      <c r="K78" s="15">
        <v>30</v>
      </c>
      <c r="L78" s="15">
        <v>78.549640286702754</v>
      </c>
      <c r="M78" s="15">
        <v>22.679301584999834</v>
      </c>
      <c r="N78" s="15">
        <v>35.852407632551881</v>
      </c>
      <c r="O78" s="15">
        <v>26.200930669059137</v>
      </c>
      <c r="P78" s="15">
        <v>6.598635624771175</v>
      </c>
      <c r="Q78" s="15">
        <v>3.0528413387215751</v>
      </c>
      <c r="R78" s="15">
        <v>3.0528413387215751</v>
      </c>
      <c r="S78" s="15">
        <v>0</v>
      </c>
      <c r="T78" s="15">
        <v>0</v>
      </c>
      <c r="U78" s="15">
        <v>22732.897166773269</v>
      </c>
      <c r="V78" s="15">
        <v>0</v>
      </c>
      <c r="W78" s="15">
        <v>0</v>
      </c>
      <c r="X78" s="15">
        <v>0</v>
      </c>
      <c r="Y78" s="15">
        <v>1521.6641903561026</v>
      </c>
      <c r="Z78" s="15">
        <v>0</v>
      </c>
      <c r="AA78" s="15">
        <v>0</v>
      </c>
      <c r="AB78" s="15">
        <v>0</v>
      </c>
      <c r="AC78" s="15">
        <v>1521.6641903561026</v>
      </c>
      <c r="AD78" s="15">
        <v>404.8262642562695</v>
      </c>
      <c r="AE78" s="15">
        <v>29.988784579374617</v>
      </c>
      <c r="AF78" s="15">
        <v>0</v>
      </c>
      <c r="AG78" s="15">
        <v>0</v>
      </c>
      <c r="AH78" s="15">
        <v>251.8371214474524</v>
      </c>
      <c r="AI78" s="15">
        <v>123.00035822944253</v>
      </c>
      <c r="AJ78" s="15">
        <v>0</v>
      </c>
      <c r="AK78" s="15">
        <v>0</v>
      </c>
      <c r="AL78" s="15">
        <v>0</v>
      </c>
      <c r="AM78" s="15">
        <v>0</v>
      </c>
      <c r="AN78" s="15">
        <v>0.26604178952356849</v>
      </c>
      <c r="AO78" s="15">
        <v>1116.8379260998331</v>
      </c>
      <c r="AP78" s="15">
        <v>281.825906026827</v>
      </c>
      <c r="AQ78" s="15">
        <v>29.988784579374617</v>
      </c>
      <c r="AR78" s="15">
        <v>0</v>
      </c>
      <c r="AS78" s="15">
        <v>0</v>
      </c>
      <c r="AT78" s="15">
        <v>251.8371214474524</v>
      </c>
      <c r="AU78" s="15">
        <v>620.35375812181428</v>
      </c>
      <c r="AV78" s="15">
        <v>81.594999999999999</v>
      </c>
      <c r="AW78" s="15">
        <v>81.594999999999999</v>
      </c>
      <c r="AX78" s="15">
        <v>0</v>
      </c>
      <c r="AY78" s="15">
        <v>0</v>
      </c>
      <c r="AZ78" s="15">
        <v>360.49866962861256</v>
      </c>
      <c r="BA78" s="15">
        <v>82.718698010625417</v>
      </c>
      <c r="BB78" s="15">
        <v>115.74165484082798</v>
      </c>
      <c r="BC78" s="15">
        <v>162.03831677715914</v>
      </c>
      <c r="BD78" s="15">
        <v>0</v>
      </c>
      <c r="BE78" s="15">
        <v>178.26008849320169</v>
      </c>
      <c r="BF78" s="15">
        <v>61.991914216463783</v>
      </c>
      <c r="BG78" s="15">
        <v>1.5831329762799125</v>
      </c>
      <c r="BH78" s="15">
        <v>114.685041300458</v>
      </c>
      <c r="BI78" s="15">
        <v>0</v>
      </c>
      <c r="BJ78" s="15">
        <v>902.17966414864122</v>
      </c>
      <c r="BK78" s="15">
        <v>1307.0059284049107</v>
      </c>
      <c r="BL78" s="15">
        <v>-9.6330465316145312E-3</v>
      </c>
      <c r="BM78" s="15">
        <v>-1.3124788842353121E-2</v>
      </c>
    </row>
    <row r="79" spans="1:65" s="60" customFormat="1" x14ac:dyDescent="0.35">
      <c r="A79" s="59" t="s">
        <v>10625</v>
      </c>
      <c r="B79" s="59" t="s">
        <v>10457</v>
      </c>
      <c r="C79" s="59" t="s">
        <v>10650</v>
      </c>
      <c r="D79" s="59" t="s">
        <v>10321</v>
      </c>
      <c r="E79" s="59" t="s">
        <v>10684</v>
      </c>
      <c r="F79" s="59">
        <v>102208</v>
      </c>
      <c r="G79" s="59">
        <v>0.89712946363472601</v>
      </c>
      <c r="H79" s="59">
        <v>200</v>
      </c>
      <c r="I79" s="59">
        <v>158.56995212485791</v>
      </c>
      <c r="J79" s="88">
        <v>2.4285919040745978</v>
      </c>
      <c r="K79" s="59">
        <v>30</v>
      </c>
      <c r="L79" s="59">
        <v>64.637722962350949</v>
      </c>
      <c r="M79" s="59">
        <v>14.834016822678159</v>
      </c>
      <c r="N79" s="59">
        <v>35.852407632551881</v>
      </c>
      <c r="O79" s="59">
        <v>6.6826915944656911</v>
      </c>
      <c r="P79" s="59">
        <v>13.881738526757307</v>
      </c>
      <c r="Q79" s="59">
        <v>15.287977511328885</v>
      </c>
      <c r="R79" s="59">
        <v>2.859229508696012</v>
      </c>
      <c r="S79" s="59">
        <v>5.9914482122081827</v>
      </c>
      <c r="T79" s="59">
        <v>6.4372997904246914</v>
      </c>
      <c r="U79" s="59">
        <v>0</v>
      </c>
      <c r="V79" s="59">
        <v>4353.7586323035193</v>
      </c>
      <c r="W79" s="59">
        <v>0</v>
      </c>
      <c r="X79" s="59">
        <v>0</v>
      </c>
      <c r="Y79" s="59">
        <v>300.20101355741713</v>
      </c>
      <c r="Z79" s="59">
        <v>0</v>
      </c>
      <c r="AA79" s="59">
        <v>0</v>
      </c>
      <c r="AB79" s="59">
        <v>0</v>
      </c>
      <c r="AC79" s="59">
        <v>300.20101355741713</v>
      </c>
      <c r="AD79" s="59">
        <v>141.63106143255922</v>
      </c>
      <c r="AE79" s="59">
        <v>10.497023283962299</v>
      </c>
      <c r="AF79" s="59">
        <v>0</v>
      </c>
      <c r="AG79" s="59">
        <v>0</v>
      </c>
      <c r="AH79" s="59">
        <v>29.673269398596982</v>
      </c>
      <c r="AI79" s="59">
        <v>101.46076874999997</v>
      </c>
      <c r="AJ79" s="59">
        <v>0</v>
      </c>
      <c r="AK79" s="59">
        <v>0</v>
      </c>
      <c r="AL79" s="59">
        <v>0</v>
      </c>
      <c r="AM79" s="59">
        <v>0</v>
      </c>
      <c r="AN79" s="59">
        <v>0.47178741921692596</v>
      </c>
      <c r="AO79" s="59">
        <v>158.56995212485791</v>
      </c>
      <c r="AP79" s="59">
        <v>40.170292682559278</v>
      </c>
      <c r="AQ79" s="59">
        <v>10.497023283962299</v>
      </c>
      <c r="AR79" s="59">
        <v>0</v>
      </c>
      <c r="AS79" s="59">
        <v>0</v>
      </c>
      <c r="AT79" s="59">
        <v>29.673269398596982</v>
      </c>
      <c r="AU79" s="59">
        <v>303.50136140222503</v>
      </c>
      <c r="AV79" s="59">
        <v>61.280874999999995</v>
      </c>
      <c r="AW79" s="59">
        <v>61.280874999999995</v>
      </c>
      <c r="AX79" s="59">
        <v>0</v>
      </c>
      <c r="AY79" s="59">
        <v>0</v>
      </c>
      <c r="AZ79" s="59">
        <v>203.69374736813245</v>
      </c>
      <c r="BA79" s="59">
        <v>76.930878417473068</v>
      </c>
      <c r="BB79" s="59">
        <v>52.817862062774743</v>
      </c>
      <c r="BC79" s="59">
        <v>73.945006887884631</v>
      </c>
      <c r="BD79" s="59">
        <v>0</v>
      </c>
      <c r="BE79" s="59">
        <v>38.526739034092572</v>
      </c>
      <c r="BF79" s="59">
        <v>13.001536043742895</v>
      </c>
      <c r="BG79" s="59">
        <v>1.4723613094253218</v>
      </c>
      <c r="BH79" s="59">
        <v>24.052841680924352</v>
      </c>
      <c r="BI79" s="59">
        <v>0</v>
      </c>
      <c r="BJ79" s="59">
        <v>343.67165408478434</v>
      </c>
      <c r="BK79" s="59">
        <v>485.30271551734359</v>
      </c>
      <c r="BL79" s="59">
        <v>1.2828127973201231</v>
      </c>
      <c r="BM79" s="59">
        <v>2.4285919040745978</v>
      </c>
    </row>
    <row r="80" spans="1:65" s="56" customFormat="1" x14ac:dyDescent="0.35">
      <c r="A80" s="55" t="s">
        <v>10625</v>
      </c>
      <c r="B80" s="55" t="s">
        <v>10652</v>
      </c>
      <c r="C80" s="55" t="s">
        <v>9780</v>
      </c>
      <c r="D80" s="55" t="s">
        <v>9780</v>
      </c>
      <c r="E80" s="55" t="s">
        <v>10015</v>
      </c>
      <c r="F80" s="55">
        <f>F71</f>
        <v>18919</v>
      </c>
      <c r="G80" s="55">
        <f>G71</f>
        <v>0.89712986944341666</v>
      </c>
      <c r="H80" s="55">
        <f>(H71*N71+H79*N79)/(N71+N79)</f>
        <v>199.99999999999997</v>
      </c>
      <c r="I80" s="55">
        <f>(I71*N71+I79*N79)/(N71+N79)</f>
        <v>22.902531475577291</v>
      </c>
      <c r="J80" s="89">
        <f>(J71*N71+J79*N79)/(N71+N79)</f>
        <v>1.5682703270247524</v>
      </c>
      <c r="K80" s="55">
        <f>K71</f>
        <v>30</v>
      </c>
      <c r="L80" s="55">
        <f t="shared" ref="L80:W80" si="5">L71+L79</f>
        <v>74.637722962350949</v>
      </c>
      <c r="M80" s="55">
        <f t="shared" si="5"/>
        <v>19.948037122838162</v>
      </c>
      <c r="N80" s="55">
        <f t="shared" si="5"/>
        <v>42.488796240288906</v>
      </c>
      <c r="O80" s="55">
        <f t="shared" si="5"/>
        <v>11.532562754760633</v>
      </c>
      <c r="P80" s="55">
        <f t="shared" si="5"/>
        <v>15.103165850011305</v>
      </c>
      <c r="Q80" s="55">
        <f t="shared" si="5"/>
        <v>15.853067635516966</v>
      </c>
      <c r="R80" s="55">
        <f t="shared" si="5"/>
        <v>3.4243196328840946</v>
      </c>
      <c r="S80" s="55">
        <f t="shared" si="5"/>
        <v>5.9914482122081827</v>
      </c>
      <c r="T80" s="55">
        <f t="shared" si="5"/>
        <v>6.4372997904246914</v>
      </c>
      <c r="U80" s="55">
        <f t="shared" si="5"/>
        <v>4207.927716448683</v>
      </c>
      <c r="V80" s="55">
        <f t="shared" si="5"/>
        <v>4353.7586323035193</v>
      </c>
      <c r="W80" s="55">
        <f t="shared" si="5"/>
        <v>0</v>
      </c>
      <c r="X80" s="55">
        <f>(X71*N71+X79*N79)/(N71+N79)</f>
        <v>0</v>
      </c>
      <c r="Y80" s="55">
        <f>(Y71*N71+Y79*N79)/(N71+N79)</f>
        <v>348.15929742031165</v>
      </c>
      <c r="Z80" s="55">
        <f>(Z71*N71+Z79*N79)/(N71+N79)</f>
        <v>0</v>
      </c>
      <c r="AA80" s="55">
        <f>(AA71*N71+AA79*N79)/(N71+N79)</f>
        <v>0</v>
      </c>
      <c r="AB80" s="55">
        <f>(AB71*N71+AB79*N79)/(N71+N79)</f>
        <v>0</v>
      </c>
      <c r="AC80" s="55">
        <f>(AC71*N71+AC79*N79)/(N71+N79)</f>
        <v>348.15929742031165</v>
      </c>
      <c r="AD80" s="55">
        <f>(AD71*N71+AD79*N79)/(N71+N79)</f>
        <v>325.25676594473435</v>
      </c>
      <c r="AE80" s="55">
        <f>(AE71*N71+AE79*N79)/(N71+N79)</f>
        <v>8.8574775236429666</v>
      </c>
      <c r="AF80" s="55">
        <f>(AF71*N71+AF79*N79)/(N71+N79)</f>
        <v>0</v>
      </c>
      <c r="AG80" s="55">
        <f>(AG71*N71+AG79*N79)/(N71+N79)</f>
        <v>0</v>
      </c>
      <c r="AH80" s="55">
        <f>(AH71*N71+AH79*N79)/(N71+N79)</f>
        <v>211.57421898748768</v>
      </c>
      <c r="AI80" s="55">
        <f>(AI71*N71+AI79*N79)/(N71+N79)</f>
        <v>104.82506943360373</v>
      </c>
      <c r="AJ80" s="55">
        <f>(AJ71*N71+AJ79*N79)/(N71+N79)</f>
        <v>0</v>
      </c>
      <c r="AK80" s="55">
        <f>(AK71*N71+AK79*N79)/(N71+N79)</f>
        <v>0</v>
      </c>
      <c r="AL80" s="55">
        <f>(AL71*N71+AL79*N79)/(N71+N79)</f>
        <v>0</v>
      </c>
      <c r="AM80" s="55">
        <f>(AM71*N71+AM79*N79)/(N71+N79)</f>
        <v>0</v>
      </c>
      <c r="AN80" s="55">
        <f>(AN71*N71+AN79*N79)/(N71+N79)</f>
        <v>0.73691686342332774</v>
      </c>
      <c r="AO80" s="55">
        <f>(AO71*N71+AO79*N79)/(N71+N79)</f>
        <v>22.902531475577291</v>
      </c>
      <c r="AP80" s="55">
        <f>(AP71*N71+AP79*N79)/(N71+N79)</f>
        <v>220.43169651113064</v>
      </c>
      <c r="AQ80" s="55">
        <f>(AQ71*N71+AQ79*N79)/(N71+N79)</f>
        <v>8.8574775236429666</v>
      </c>
      <c r="AR80" s="55">
        <f>(AR71*N71+AR79*N79)/(N71+N79)</f>
        <v>0</v>
      </c>
      <c r="AS80" s="55">
        <f>(AS71*N71+AS79*N79)/(N71+N79)</f>
        <v>0</v>
      </c>
      <c r="AT80" s="55">
        <f>(AT71*N71+AT79*N79)/(N71+N79)</f>
        <v>211.57421898748768</v>
      </c>
      <c r="AU80" s="55">
        <f>(AU71*N71+AU79*N79)/(N71+N79)</f>
        <v>268.94308813064077</v>
      </c>
      <c r="AV80" s="55">
        <f>(AV71*N71+AV79*N79)/(N71+N79)</f>
        <v>64.453768554426318</v>
      </c>
      <c r="AW80" s="55">
        <f>(AW71*N71+AW79*N79)/(N71+N79)</f>
        <v>64.453768554426318</v>
      </c>
      <c r="AX80" s="55">
        <f>(AX71*N71+AX79*N79)/(N71+N79)</f>
        <v>0</v>
      </c>
      <c r="AY80" s="55">
        <f>(AY71*N71+AY79*N79)/(N71+N79)</f>
        <v>0</v>
      </c>
      <c r="AZ80" s="55">
        <f>(AZ71*N71+AZ79*N79)/(N71+N79)</f>
        <v>184.79847354497542</v>
      </c>
      <c r="BA80" s="55">
        <f>(BA71*N71+BA79*N79)/(N71+N79)</f>
        <v>77.834886612819687</v>
      </c>
      <c r="BB80" s="55">
        <f>(BB71*N71+BB79*N79)/(N71+N79)</f>
        <v>44.568161221731557</v>
      </c>
      <c r="BC80" s="55">
        <f>(BC71*N71+BC79*N79)/(N71+N79)</f>
        <v>62.395425710424171</v>
      </c>
      <c r="BD80" s="55">
        <f>(BD71*N71+BD79*N79)/(N71+N79)</f>
        <v>0</v>
      </c>
      <c r="BE80" s="55">
        <f>(BE71*N71+BE79*N79)/(N71+N79)</f>
        <v>19.690846031239058</v>
      </c>
      <c r="BF80" s="55">
        <f>(BF71*N71+BF79*N79)/(N71+N79)</f>
        <v>6.3863800454590516</v>
      </c>
      <c r="BG80" s="55">
        <f>(BG71*N71+BG79*N79)/(N71+N79)</f>
        <v>1.4896629016807592</v>
      </c>
      <c r="BH80" s="55">
        <f>(BH71*N71+BH79*N79)/(N71+N79)</f>
        <v>11.814803084099244</v>
      </c>
      <c r="BI80" s="55">
        <f>(BI71*N71+BI79*N79)/(N71+N79)</f>
        <v>0</v>
      </c>
      <c r="BJ80" s="55">
        <f>(BJ71*N71+BJ79*N79)/(N71+N79)</f>
        <v>489.37478464177144</v>
      </c>
      <c r="BK80" s="55">
        <f>(BK71*N71+BK79*N79)/(N71+N79)</f>
        <v>814.63155058650591</v>
      </c>
      <c r="BL80" s="55">
        <f>(BL71*N71+BL79*N79)/(N71+N79)</f>
        <v>1.6448538239422055</v>
      </c>
      <c r="BM80" s="55">
        <f>(BM71*N71+BM79*N79)/(N71+N79)</f>
        <v>1.5682703270247524</v>
      </c>
    </row>
    <row r="81" spans="1:65" s="60" customFormat="1" x14ac:dyDescent="0.35">
      <c r="A81" s="15" t="s">
        <v>10605</v>
      </c>
      <c r="B81" s="15" t="s">
        <v>10320</v>
      </c>
      <c r="C81" s="15" t="s">
        <v>10566</v>
      </c>
      <c r="D81" s="15" t="s">
        <v>10321</v>
      </c>
      <c r="E81" s="15" t="s">
        <v>10685</v>
      </c>
      <c r="F81" s="15">
        <v>92598</v>
      </c>
      <c r="G81" s="15">
        <v>0.8971289950639485</v>
      </c>
      <c r="H81" s="15">
        <v>200</v>
      </c>
      <c r="I81" s="78">
        <v>158.56995212485788</v>
      </c>
      <c r="J81" s="79">
        <v>3.0007749939260111</v>
      </c>
      <c r="K81" s="15">
        <v>30</v>
      </c>
      <c r="L81" s="15">
        <v>96.109122682819716</v>
      </c>
      <c r="M81" s="15">
        <v>17.200025506031015</v>
      </c>
      <c r="N81" s="15">
        <v>32.481405643347827</v>
      </c>
      <c r="O81" s="15">
        <v>6.0543553641889938</v>
      </c>
      <c r="P81" s="15">
        <v>12.576516052804898</v>
      </c>
      <c r="Q81" s="15">
        <v>13.850534226353929</v>
      </c>
      <c r="R81" s="15">
        <v>2.5903921000569889</v>
      </c>
      <c r="S81" s="15">
        <v>5.4281057430338375</v>
      </c>
      <c r="T81" s="15">
        <v>5.8320363832631026</v>
      </c>
      <c r="U81" s="15">
        <v>0</v>
      </c>
      <c r="V81" s="15">
        <v>3944.3989831433296</v>
      </c>
      <c r="W81" s="15">
        <v>0</v>
      </c>
      <c r="X81" s="15">
        <v>0</v>
      </c>
      <c r="Y81" s="15">
        <v>300.20101355741713</v>
      </c>
      <c r="Z81" s="15">
        <v>0</v>
      </c>
      <c r="AA81" s="15">
        <v>0</v>
      </c>
      <c r="AB81" s="15">
        <v>0</v>
      </c>
      <c r="AC81" s="15">
        <v>300.20101355741713</v>
      </c>
      <c r="AD81" s="15">
        <v>141.63106143255925</v>
      </c>
      <c r="AE81" s="15">
        <v>10.497023283962301</v>
      </c>
      <c r="AF81" s="15">
        <v>0</v>
      </c>
      <c r="AG81" s="15">
        <v>0</v>
      </c>
      <c r="AH81" s="15">
        <v>29.673269398596958</v>
      </c>
      <c r="AI81" s="15">
        <v>101.46076875</v>
      </c>
      <c r="AJ81" s="15">
        <v>0</v>
      </c>
      <c r="AK81" s="15">
        <v>0</v>
      </c>
      <c r="AL81" s="15">
        <v>0</v>
      </c>
      <c r="AM81" s="15">
        <v>0</v>
      </c>
      <c r="AN81" s="15">
        <v>0.47178741921692602</v>
      </c>
      <c r="AO81" s="15">
        <v>158.56995212485788</v>
      </c>
      <c r="AP81" s="15">
        <v>40.170292682559257</v>
      </c>
      <c r="AQ81" s="15">
        <v>10.497023283962301</v>
      </c>
      <c r="AR81" s="15">
        <v>0</v>
      </c>
      <c r="AS81" s="15">
        <v>0</v>
      </c>
      <c r="AT81" s="15">
        <v>29.673269398596958</v>
      </c>
      <c r="AU81" s="15">
        <v>394.23240656661699</v>
      </c>
      <c r="AV81" s="15">
        <v>102.16486565518753</v>
      </c>
      <c r="AW81" s="15">
        <v>102.16486565518753</v>
      </c>
      <c r="AX81" s="15">
        <v>0</v>
      </c>
      <c r="AY81" s="15">
        <v>0</v>
      </c>
      <c r="AZ81" s="15">
        <v>242.18937685342206</v>
      </c>
      <c r="BA81" s="15">
        <v>76.930878417473053</v>
      </c>
      <c r="BB81" s="15">
        <v>68.857707681645422</v>
      </c>
      <c r="BC81" s="15">
        <v>96.400790754303586</v>
      </c>
      <c r="BD81" s="15">
        <v>0</v>
      </c>
      <c r="BE81" s="15">
        <v>49.878164058007435</v>
      </c>
      <c r="BF81" s="15">
        <v>16.984492192484954</v>
      </c>
      <c r="BG81" s="15">
        <v>1.4723613094253216</v>
      </c>
      <c r="BH81" s="15">
        <v>31.421310556097161</v>
      </c>
      <c r="BI81" s="15">
        <v>0</v>
      </c>
      <c r="BJ81" s="15">
        <v>434.40269924917624</v>
      </c>
      <c r="BK81" s="59">
        <v>576.03376068173543</v>
      </c>
      <c r="BL81" s="59">
        <v>1.5850471038909715</v>
      </c>
      <c r="BM81" s="59">
        <v>3.0007749939260111</v>
      </c>
    </row>
    <row r="82" spans="1:65" x14ac:dyDescent="0.35">
      <c r="A82" s="15" t="s">
        <v>10605</v>
      </c>
      <c r="B82" s="15" t="s">
        <v>10320</v>
      </c>
      <c r="C82" s="15" t="s">
        <v>10566</v>
      </c>
      <c r="D82" s="15" t="s">
        <v>10322</v>
      </c>
      <c r="E82" s="15" t="s">
        <v>10686</v>
      </c>
      <c r="F82" s="15">
        <v>92598</v>
      </c>
      <c r="G82" s="15">
        <v>0.8971289950639485</v>
      </c>
      <c r="H82" s="15">
        <v>200</v>
      </c>
      <c r="I82" s="80">
        <v>386.37835504668516</v>
      </c>
      <c r="J82" s="79">
        <v>0.62952671261722137</v>
      </c>
      <c r="K82" s="15">
        <v>30</v>
      </c>
      <c r="L82" s="15">
        <v>96.109122682819716</v>
      </c>
      <c r="M82" s="15">
        <v>17.200025506031015</v>
      </c>
      <c r="N82" s="15">
        <v>32.481405643347827</v>
      </c>
      <c r="O82" s="15">
        <v>6.0543553641889938</v>
      </c>
      <c r="P82" s="15">
        <v>12.576516052804898</v>
      </c>
      <c r="Q82" s="15">
        <v>13.850534226353929</v>
      </c>
      <c r="R82" s="15">
        <v>2.5903921000569889</v>
      </c>
      <c r="S82" s="15">
        <v>5.4281057430338375</v>
      </c>
      <c r="T82" s="15">
        <v>5.8320363832631026</v>
      </c>
      <c r="U82" s="15">
        <v>0</v>
      </c>
      <c r="V82" s="15">
        <v>0</v>
      </c>
      <c r="W82" s="15">
        <v>986.0997457858324</v>
      </c>
      <c r="X82" s="15">
        <v>0</v>
      </c>
      <c r="Y82" s="15">
        <v>300.20101355741713</v>
      </c>
      <c r="Z82" s="15">
        <v>0</v>
      </c>
      <c r="AA82" s="15">
        <v>0</v>
      </c>
      <c r="AB82" s="15">
        <v>0</v>
      </c>
      <c r="AC82" s="15">
        <v>300.20101355741713</v>
      </c>
      <c r="AD82" s="15">
        <v>-86.177341489268031</v>
      </c>
      <c r="AE82" s="15">
        <v>-11.92783740543396</v>
      </c>
      <c r="AF82" s="15">
        <v>18.670821329064751</v>
      </c>
      <c r="AG82" s="15">
        <v>-214.86352744498404</v>
      </c>
      <c r="AH82" s="15">
        <v>0</v>
      </c>
      <c r="AI82" s="15">
        <v>101.46076875</v>
      </c>
      <c r="AJ82" s="15">
        <v>0</v>
      </c>
      <c r="AK82" s="15">
        <v>20.482433282085161</v>
      </c>
      <c r="AL82" s="15">
        <v>0</v>
      </c>
      <c r="AM82" s="15">
        <v>0</v>
      </c>
      <c r="AN82" s="15">
        <v>-0.28706545813438955</v>
      </c>
      <c r="AO82" s="15">
        <v>386.37835504668516</v>
      </c>
      <c r="AP82" s="15">
        <v>0</v>
      </c>
      <c r="AQ82" s="15">
        <v>0</v>
      </c>
      <c r="AR82" s="15">
        <v>0</v>
      </c>
      <c r="AS82" s="15">
        <v>0</v>
      </c>
      <c r="AT82" s="15">
        <v>0</v>
      </c>
      <c r="AU82" s="15">
        <v>429.61385072567452</v>
      </c>
      <c r="AV82" s="15">
        <v>102.16486565518753</v>
      </c>
      <c r="AW82" s="15">
        <v>102.16486565518753</v>
      </c>
      <c r="AX82" s="15">
        <v>0</v>
      </c>
      <c r="AY82" s="15">
        <v>0</v>
      </c>
      <c r="AZ82" s="15">
        <v>242.18937685342206</v>
      </c>
      <c r="BA82" s="15">
        <v>76.930878417473053</v>
      </c>
      <c r="BB82" s="15">
        <v>68.857707681645422</v>
      </c>
      <c r="BC82" s="15">
        <v>96.400790754303586</v>
      </c>
      <c r="BD82" s="15">
        <v>0</v>
      </c>
      <c r="BE82" s="15">
        <v>85.259608217064965</v>
      </c>
      <c r="BF82" s="15">
        <v>29.39903400268058</v>
      </c>
      <c r="BG82" s="15">
        <v>1.4723613094253216</v>
      </c>
      <c r="BH82" s="15">
        <v>54.388212904959069</v>
      </c>
      <c r="BI82" s="15">
        <v>0</v>
      </c>
      <c r="BJ82" s="15">
        <v>429.61385072567452</v>
      </c>
      <c r="BK82" s="15">
        <v>343.43650923640649</v>
      </c>
      <c r="BL82" s="15">
        <v>0.8102420867825203</v>
      </c>
      <c r="BM82" s="15">
        <v>0.62952671261722137</v>
      </c>
    </row>
    <row r="83" spans="1:65" x14ac:dyDescent="0.35">
      <c r="A83" s="15" t="s">
        <v>10605</v>
      </c>
      <c r="B83" s="15" t="s">
        <v>10320</v>
      </c>
      <c r="C83" s="15" t="s">
        <v>10566</v>
      </c>
      <c r="D83" s="15" t="s">
        <v>10323</v>
      </c>
      <c r="E83" s="15" t="s">
        <v>10687</v>
      </c>
      <c r="F83" s="15">
        <v>92598</v>
      </c>
      <c r="G83" s="15">
        <v>0.8971289950639485</v>
      </c>
      <c r="H83" s="15">
        <v>200</v>
      </c>
      <c r="I83" s="78">
        <v>182.55709920433304</v>
      </c>
      <c r="J83" s="79">
        <v>2.2957162045543478</v>
      </c>
      <c r="K83" s="15">
        <v>30</v>
      </c>
      <c r="L83" s="15">
        <v>96.109122682819716</v>
      </c>
      <c r="M83" s="15">
        <v>17.200025506031015</v>
      </c>
      <c r="N83" s="15">
        <v>32.481405643347827</v>
      </c>
      <c r="O83" s="15">
        <v>6.0543553641889938</v>
      </c>
      <c r="P83" s="15">
        <v>12.576516052804898</v>
      </c>
      <c r="Q83" s="15">
        <v>13.850534226353929</v>
      </c>
      <c r="R83" s="15">
        <v>2.5903921000569889</v>
      </c>
      <c r="S83" s="15">
        <v>5.4281057430338375</v>
      </c>
      <c r="T83" s="15">
        <v>5.8320363832631026</v>
      </c>
      <c r="U83" s="15">
        <v>0</v>
      </c>
      <c r="V83" s="15">
        <v>0</v>
      </c>
      <c r="W83" s="15">
        <v>0</v>
      </c>
      <c r="X83" s="15">
        <v>986099.74578583241</v>
      </c>
      <c r="Y83" s="15">
        <v>300.20101355741713</v>
      </c>
      <c r="Z83" s="15">
        <v>0</v>
      </c>
      <c r="AA83" s="15">
        <v>0</v>
      </c>
      <c r="AB83" s="15">
        <v>0</v>
      </c>
      <c r="AC83" s="15">
        <v>300.20101355741713</v>
      </c>
      <c r="AD83" s="15">
        <v>117.64391435308409</v>
      </c>
      <c r="AE83" s="15">
        <v>-11.92783740543396</v>
      </c>
      <c r="AF83" s="15">
        <v>0</v>
      </c>
      <c r="AG83" s="15">
        <v>0</v>
      </c>
      <c r="AH83" s="15">
        <v>0</v>
      </c>
      <c r="AI83" s="15">
        <v>101.46076875</v>
      </c>
      <c r="AJ83" s="15">
        <v>0</v>
      </c>
      <c r="AK83" s="15">
        <v>28.110983008517998</v>
      </c>
      <c r="AL83" s="15">
        <v>0</v>
      </c>
      <c r="AM83" s="15">
        <v>0</v>
      </c>
      <c r="AN83" s="15">
        <v>0.39188380132028849</v>
      </c>
      <c r="AO83" s="15">
        <v>182.55709920433304</v>
      </c>
      <c r="AP83" s="15">
        <v>0</v>
      </c>
      <c r="AQ83" s="15">
        <v>0</v>
      </c>
      <c r="AR83" s="15">
        <v>0</v>
      </c>
      <c r="AS83" s="15">
        <v>0</v>
      </c>
      <c r="AT83" s="15">
        <v>0</v>
      </c>
      <c r="AU83" s="15">
        <v>401.656390104156</v>
      </c>
      <c r="AV83" s="15">
        <v>102.16486565518753</v>
      </c>
      <c r="AW83" s="15">
        <v>102.16486565518753</v>
      </c>
      <c r="AX83" s="15">
        <v>0</v>
      </c>
      <c r="AY83" s="15">
        <v>0</v>
      </c>
      <c r="AZ83" s="15">
        <v>242.18937685342206</v>
      </c>
      <c r="BA83" s="15">
        <v>76.930878417473053</v>
      </c>
      <c r="BB83" s="15">
        <v>68.857707681645422</v>
      </c>
      <c r="BC83" s="15">
        <v>96.400790754303586</v>
      </c>
      <c r="BD83" s="15">
        <v>0</v>
      </c>
      <c r="BE83" s="15">
        <v>57.302147595546458</v>
      </c>
      <c r="BF83" s="15">
        <v>19.589398696884611</v>
      </c>
      <c r="BG83" s="15">
        <v>1.4723613094253216</v>
      </c>
      <c r="BH83" s="15">
        <v>36.240387589236526</v>
      </c>
      <c r="BI83" s="15">
        <v>0</v>
      </c>
      <c r="BJ83" s="15">
        <v>401.656390104156</v>
      </c>
      <c r="BK83" s="15">
        <v>519.30030445724014</v>
      </c>
      <c r="BL83" s="15">
        <v>1.3960622115610051</v>
      </c>
      <c r="BM83" s="15">
        <v>2.2957162045543478</v>
      </c>
    </row>
    <row r="84" spans="1:65" x14ac:dyDescent="0.35">
      <c r="A84" s="15" t="s">
        <v>10605</v>
      </c>
      <c r="B84" s="15" t="s">
        <v>10320</v>
      </c>
      <c r="C84" s="15" t="s">
        <v>10566</v>
      </c>
      <c r="D84" s="15" t="s">
        <v>10324</v>
      </c>
      <c r="E84" s="15" t="s">
        <v>10688</v>
      </c>
      <c r="F84" s="15">
        <v>92598</v>
      </c>
      <c r="G84" s="15">
        <v>0.8971289950639485</v>
      </c>
      <c r="H84" s="15">
        <v>200</v>
      </c>
      <c r="I84" s="78">
        <v>179.13909951045326</v>
      </c>
      <c r="J84" s="79">
        <v>2.3194720573010681</v>
      </c>
      <c r="K84" s="15">
        <v>30</v>
      </c>
      <c r="L84" s="15">
        <v>97.128584721095393</v>
      </c>
      <c r="M84" s="15">
        <v>17.30122971250341</v>
      </c>
      <c r="N84" s="15">
        <v>32.481405643347827</v>
      </c>
      <c r="O84" s="15">
        <v>4.5642871210032361</v>
      </c>
      <c r="P84" s="15">
        <v>13.108683282514098</v>
      </c>
      <c r="Q84" s="15">
        <v>14.808435239830491</v>
      </c>
      <c r="R84" s="15">
        <v>2.5903921000569889</v>
      </c>
      <c r="S84" s="15">
        <v>6.3860067565103975</v>
      </c>
      <c r="T84" s="15">
        <v>5.8320363832631026</v>
      </c>
      <c r="U84" s="15">
        <v>0</v>
      </c>
      <c r="V84" s="15">
        <v>0</v>
      </c>
      <c r="W84" s="15">
        <v>0</v>
      </c>
      <c r="X84" s="15">
        <v>0</v>
      </c>
      <c r="Y84" s="15">
        <v>267.60417534542665</v>
      </c>
      <c r="Z84" s="15">
        <v>0</v>
      </c>
      <c r="AA84" s="15">
        <v>0</v>
      </c>
      <c r="AB84" s="15">
        <v>0</v>
      </c>
      <c r="AC84" s="15">
        <v>267.60417534542665</v>
      </c>
      <c r="AD84" s="15">
        <v>88.465075834973391</v>
      </c>
      <c r="AE84" s="15">
        <v>-12.995692915026606</v>
      </c>
      <c r="AF84" s="15">
        <v>0</v>
      </c>
      <c r="AG84" s="15">
        <v>0</v>
      </c>
      <c r="AH84" s="15">
        <v>0</v>
      </c>
      <c r="AI84" s="15">
        <v>101.46076875</v>
      </c>
      <c r="AJ84" s="15">
        <v>0</v>
      </c>
      <c r="AK84" s="15">
        <v>0</v>
      </c>
      <c r="AL84" s="15">
        <v>0</v>
      </c>
      <c r="AM84" s="15">
        <v>0</v>
      </c>
      <c r="AN84" s="15">
        <v>0.33058182190461571</v>
      </c>
      <c r="AO84" s="15">
        <v>179.13909951045326</v>
      </c>
      <c r="AP84" s="15">
        <v>0</v>
      </c>
      <c r="AQ84" s="15">
        <v>0</v>
      </c>
      <c r="AR84" s="15">
        <v>0</v>
      </c>
      <c r="AS84" s="15">
        <v>0</v>
      </c>
      <c r="AT84" s="15">
        <v>0</v>
      </c>
      <c r="AU84" s="15">
        <v>394.64723519502508</v>
      </c>
      <c r="AV84" s="15">
        <v>98.638563568149934</v>
      </c>
      <c r="AW84" s="15">
        <v>98.638563568149934</v>
      </c>
      <c r="AX84" s="15">
        <v>0</v>
      </c>
      <c r="AY84" s="15">
        <v>0</v>
      </c>
      <c r="AZ84" s="15">
        <v>243.29074499249973</v>
      </c>
      <c r="BA84" s="15">
        <v>76.930878417473053</v>
      </c>
      <c r="BB84" s="15">
        <v>69.316611072927785</v>
      </c>
      <c r="BC84" s="15">
        <v>97.043255502098901</v>
      </c>
      <c r="BD84" s="15">
        <v>0</v>
      </c>
      <c r="BE84" s="15">
        <v>52.717926634375452</v>
      </c>
      <c r="BF84" s="15">
        <v>17.98090011401759</v>
      </c>
      <c r="BG84" s="15">
        <v>1.4723613094253216</v>
      </c>
      <c r="BH84" s="15">
        <v>33.264665210932542</v>
      </c>
      <c r="BI84" s="15">
        <v>0</v>
      </c>
      <c r="BJ84" s="15">
        <v>394.64723519502508</v>
      </c>
      <c r="BK84" s="15">
        <v>483.11231102999847</v>
      </c>
      <c r="BL84" s="15">
        <v>1.5526967587416336</v>
      </c>
      <c r="BM84" s="15">
        <v>2.3194720573010681</v>
      </c>
    </row>
    <row r="85" spans="1:65" x14ac:dyDescent="0.35">
      <c r="A85" s="15" t="s">
        <v>10605</v>
      </c>
      <c r="B85" s="15" t="s">
        <v>10320</v>
      </c>
      <c r="C85" s="15" t="s">
        <v>10566</v>
      </c>
      <c r="D85" s="15" t="s">
        <v>10325</v>
      </c>
      <c r="E85" s="15" t="s">
        <v>10689</v>
      </c>
      <c r="F85" s="15">
        <v>92598</v>
      </c>
      <c r="G85" s="15">
        <v>0.8971289950639485</v>
      </c>
      <c r="H85" s="15">
        <v>200</v>
      </c>
      <c r="I85" s="78">
        <v>241.79690753955828</v>
      </c>
      <c r="J85" s="79">
        <v>1.5063871138319955</v>
      </c>
      <c r="K85" s="15">
        <v>30</v>
      </c>
      <c r="L85" s="15">
        <v>90.274464193952824</v>
      </c>
      <c r="M85" s="15">
        <v>16.500644948059996</v>
      </c>
      <c r="N85" s="15">
        <v>32.481405643347827</v>
      </c>
      <c r="O85" s="15">
        <v>7.2790018011601409</v>
      </c>
      <c r="P85" s="15">
        <v>11.362645322155936</v>
      </c>
      <c r="Q85" s="15">
        <v>13.839758520031745</v>
      </c>
      <c r="R85" s="15">
        <v>2.5903921000569889</v>
      </c>
      <c r="S85" s="15">
        <v>0</v>
      </c>
      <c r="T85" s="15">
        <v>11.249366419974757</v>
      </c>
      <c r="U85" s="15">
        <v>0</v>
      </c>
      <c r="V85" s="15">
        <v>0</v>
      </c>
      <c r="W85" s="15">
        <v>0</v>
      </c>
      <c r="X85" s="15">
        <v>0</v>
      </c>
      <c r="Y85" s="15">
        <v>331.05565178408585</v>
      </c>
      <c r="Z85" s="15">
        <v>0</v>
      </c>
      <c r="AA85" s="15">
        <v>0</v>
      </c>
      <c r="AB85" s="15">
        <v>0</v>
      </c>
      <c r="AC85" s="15">
        <v>331.05565178408585</v>
      </c>
      <c r="AD85" s="15">
        <v>89.258744244527577</v>
      </c>
      <c r="AE85" s="15">
        <v>-12.202024505472439</v>
      </c>
      <c r="AF85" s="15">
        <v>0</v>
      </c>
      <c r="AG85" s="15">
        <v>0</v>
      </c>
      <c r="AH85" s="15">
        <v>0</v>
      </c>
      <c r="AI85" s="15">
        <v>101.46076875</v>
      </c>
      <c r="AJ85" s="15">
        <v>0</v>
      </c>
      <c r="AK85" s="15">
        <v>0</v>
      </c>
      <c r="AL85" s="15">
        <v>0</v>
      </c>
      <c r="AM85" s="15">
        <v>0</v>
      </c>
      <c r="AN85" s="15">
        <v>0.2696185483120585</v>
      </c>
      <c r="AO85" s="15">
        <v>241.79690753955828</v>
      </c>
      <c r="AP85" s="15">
        <v>0</v>
      </c>
      <c r="AQ85" s="15">
        <v>0</v>
      </c>
      <c r="AR85" s="15">
        <v>0</v>
      </c>
      <c r="AS85" s="15">
        <v>0</v>
      </c>
      <c r="AT85" s="15">
        <v>0</v>
      </c>
      <c r="AU85" s="15">
        <v>406.03665322157542</v>
      </c>
      <c r="AV85" s="15">
        <v>110.49395554047955</v>
      </c>
      <c r="AW85" s="15">
        <v>110.49395554047955</v>
      </c>
      <c r="AX85" s="15">
        <v>0</v>
      </c>
      <c r="AY85" s="15">
        <v>0</v>
      </c>
      <c r="AZ85" s="15">
        <v>233.5834629064079</v>
      </c>
      <c r="BA85" s="15">
        <v>76.930878417473053</v>
      </c>
      <c r="BB85" s="15">
        <v>65.271910203722854</v>
      </c>
      <c r="BC85" s="15">
        <v>91.380674285211995</v>
      </c>
      <c r="BD85" s="15">
        <v>0</v>
      </c>
      <c r="BE85" s="15">
        <v>61.959234774687985</v>
      </c>
      <c r="BF85" s="15">
        <v>21.223464373776373</v>
      </c>
      <c r="BG85" s="15">
        <v>1.4723613094253216</v>
      </c>
      <c r="BH85" s="15">
        <v>39.263409091486288</v>
      </c>
      <c r="BI85" s="15">
        <v>0</v>
      </c>
      <c r="BJ85" s="15">
        <v>406.03665322157542</v>
      </c>
      <c r="BK85" s="15">
        <v>495.295397466103</v>
      </c>
      <c r="BL85" s="15">
        <v>1.1002372070046214</v>
      </c>
      <c r="BM85" s="15">
        <v>1.5063871138319955</v>
      </c>
    </row>
    <row r="86" spans="1:65" x14ac:dyDescent="0.35">
      <c r="A86" s="15" t="s">
        <v>10605</v>
      </c>
      <c r="B86" s="15" t="s">
        <v>10320</v>
      </c>
      <c r="C86" s="15" t="s">
        <v>10566</v>
      </c>
      <c r="D86" s="15" t="s">
        <v>10326</v>
      </c>
      <c r="E86" s="15" t="s">
        <v>10690</v>
      </c>
      <c r="F86" s="15">
        <v>92598</v>
      </c>
      <c r="G86" s="15">
        <v>0.8971289950639485</v>
      </c>
      <c r="H86" s="15">
        <v>200</v>
      </c>
      <c r="I86" s="78">
        <v>171.14540821851335</v>
      </c>
      <c r="J86" s="79">
        <v>4.6734893169038827</v>
      </c>
      <c r="K86" s="15">
        <v>30</v>
      </c>
      <c r="L86" s="15">
        <v>87.873518644292162</v>
      </c>
      <c r="M86" s="15">
        <v>16.11905099614383</v>
      </c>
      <c r="N86" s="15">
        <v>32.481405643347827</v>
      </c>
      <c r="O86" s="15">
        <v>23.737403245472567</v>
      </c>
      <c r="P86" s="15">
        <v>5.9782027086581673</v>
      </c>
      <c r="Q86" s="15">
        <v>2.7657996892170917</v>
      </c>
      <c r="R86" s="15">
        <v>2.7657996892170917</v>
      </c>
      <c r="S86" s="15">
        <v>0</v>
      </c>
      <c r="T86" s="15">
        <v>0</v>
      </c>
      <c r="U86" s="15">
        <v>20595.449596864855</v>
      </c>
      <c r="V86" s="15">
        <v>0</v>
      </c>
      <c r="W86" s="15">
        <v>0</v>
      </c>
      <c r="X86" s="15">
        <v>0</v>
      </c>
      <c r="Y86" s="15">
        <v>617.15719969755605</v>
      </c>
      <c r="Z86" s="15">
        <v>0</v>
      </c>
      <c r="AA86" s="15">
        <v>0</v>
      </c>
      <c r="AB86" s="15">
        <v>0</v>
      </c>
      <c r="AC86" s="15">
        <v>617.15719969755605</v>
      </c>
      <c r="AD86" s="15">
        <v>446.0117914790427</v>
      </c>
      <c r="AE86" s="15">
        <v>9.9082009289014987</v>
      </c>
      <c r="AF86" s="15">
        <v>0</v>
      </c>
      <c r="AG86" s="15">
        <v>0</v>
      </c>
      <c r="AH86" s="15">
        <v>313.10323232069874</v>
      </c>
      <c r="AI86" s="15">
        <v>123.00035822944251</v>
      </c>
      <c r="AJ86" s="15">
        <v>0</v>
      </c>
      <c r="AK86" s="15">
        <v>0</v>
      </c>
      <c r="AL86" s="15">
        <v>0</v>
      </c>
      <c r="AM86" s="15">
        <v>0</v>
      </c>
      <c r="AN86" s="15">
        <v>0.72268749630987883</v>
      </c>
      <c r="AO86" s="15">
        <v>171.14540821851335</v>
      </c>
      <c r="AP86" s="15">
        <v>323.01143324960026</v>
      </c>
      <c r="AQ86" s="15">
        <v>9.9082009289014987</v>
      </c>
      <c r="AR86" s="15">
        <v>0</v>
      </c>
      <c r="AS86" s="15">
        <v>0</v>
      </c>
      <c r="AT86" s="15">
        <v>313.10323232069874</v>
      </c>
      <c r="AU86" s="15">
        <v>447.98021191528915</v>
      </c>
      <c r="AV86" s="15">
        <v>153.72109783127524</v>
      </c>
      <c r="AW86" s="15">
        <v>153.72109783127524</v>
      </c>
      <c r="AX86" s="15">
        <v>0</v>
      </c>
      <c r="AY86" s="15">
        <v>0</v>
      </c>
      <c r="AZ86" s="15">
        <v>237.92294199360472</v>
      </c>
      <c r="BA86" s="15">
        <v>82.718698010625403</v>
      </c>
      <c r="BB86" s="15">
        <v>64.668434992908047</v>
      </c>
      <c r="BC86" s="15">
        <v>90.535808990071274</v>
      </c>
      <c r="BD86" s="15">
        <v>0</v>
      </c>
      <c r="BE86" s="15">
        <v>56.336172090409164</v>
      </c>
      <c r="BF86" s="15">
        <v>19.211592671624299</v>
      </c>
      <c r="BG86" s="15">
        <v>1.583132976279912</v>
      </c>
      <c r="BH86" s="15">
        <v>35.541446442504949</v>
      </c>
      <c r="BI86" s="15">
        <v>0</v>
      </c>
      <c r="BJ86" s="15">
        <v>770.99164516488941</v>
      </c>
      <c r="BK86" s="15">
        <v>1217.0034366439322</v>
      </c>
      <c r="BL86" s="15">
        <v>1.2960170234396498</v>
      </c>
      <c r="BM86" s="15">
        <v>4.6734893169038827</v>
      </c>
    </row>
    <row r="87" spans="1:65" x14ac:dyDescent="0.35">
      <c r="A87" s="15" t="s">
        <v>10605</v>
      </c>
      <c r="B87" s="15" t="s">
        <v>10320</v>
      </c>
      <c r="C87" s="15" t="s">
        <v>10566</v>
      </c>
      <c r="D87" s="15" t="s">
        <v>10327</v>
      </c>
      <c r="E87" s="15" t="s">
        <v>10691</v>
      </c>
      <c r="F87" s="15">
        <v>92598</v>
      </c>
      <c r="G87" s="15">
        <v>0.8971289950639485</v>
      </c>
      <c r="H87" s="15">
        <v>200</v>
      </c>
      <c r="I87" s="80">
        <v>1140.9321894983559</v>
      </c>
      <c r="J87" s="81">
        <v>6.2578314416739125E-2</v>
      </c>
      <c r="K87" s="15">
        <v>30</v>
      </c>
      <c r="L87" s="15">
        <v>103.04297857849286</v>
      </c>
      <c r="M87" s="15">
        <v>25.019031738724884</v>
      </c>
      <c r="N87" s="15">
        <v>32.481405643347827</v>
      </c>
      <c r="O87" s="15">
        <v>23.737403245472567</v>
      </c>
      <c r="P87" s="15">
        <v>5.9782027086581673</v>
      </c>
      <c r="Q87" s="15">
        <v>2.7657996892170917</v>
      </c>
      <c r="R87" s="15">
        <v>2.7657996892170917</v>
      </c>
      <c r="S87" s="15">
        <v>0</v>
      </c>
      <c r="T87" s="15">
        <v>0</v>
      </c>
      <c r="U87" s="15">
        <v>20595.449596864855</v>
      </c>
      <c r="V87" s="15">
        <v>0</v>
      </c>
      <c r="W87" s="15">
        <v>0</v>
      </c>
      <c r="X87" s="15">
        <v>0</v>
      </c>
      <c r="Y87" s="15">
        <v>1515.8544825795286</v>
      </c>
      <c r="Z87" s="15">
        <v>0</v>
      </c>
      <c r="AA87" s="15">
        <v>0</v>
      </c>
      <c r="AB87" s="15">
        <v>0</v>
      </c>
      <c r="AC87" s="15">
        <v>1515.8544825795286</v>
      </c>
      <c r="AD87" s="15">
        <v>374.92229308117271</v>
      </c>
      <c r="AE87" s="15">
        <v>24.179076802800626</v>
      </c>
      <c r="AF87" s="15">
        <v>0</v>
      </c>
      <c r="AG87" s="15">
        <v>0</v>
      </c>
      <c r="AH87" s="15">
        <v>227.74285804892958</v>
      </c>
      <c r="AI87" s="15">
        <v>123.00035822944251</v>
      </c>
      <c r="AJ87" s="15">
        <v>0</v>
      </c>
      <c r="AK87" s="15">
        <v>0</v>
      </c>
      <c r="AL87" s="15">
        <v>0</v>
      </c>
      <c r="AM87" s="15">
        <v>0</v>
      </c>
      <c r="AN87" s="15">
        <v>0.24733396073953462</v>
      </c>
      <c r="AO87" s="15">
        <v>1140.9321894983559</v>
      </c>
      <c r="AP87" s="15">
        <v>251.92193485173021</v>
      </c>
      <c r="AQ87" s="15">
        <v>24.179076802800626</v>
      </c>
      <c r="AR87" s="15">
        <v>0</v>
      </c>
      <c r="AS87" s="15">
        <v>0</v>
      </c>
      <c r="AT87" s="15">
        <v>227.74285804892958</v>
      </c>
      <c r="AU87" s="15">
        <v>760.40786792923234</v>
      </c>
      <c r="AV87" s="15">
        <v>153.72109783127524</v>
      </c>
      <c r="AW87" s="15">
        <v>153.72109783127524</v>
      </c>
      <c r="AX87" s="15">
        <v>0</v>
      </c>
      <c r="AY87" s="15">
        <v>0</v>
      </c>
      <c r="AZ87" s="15">
        <v>412.15598167517032</v>
      </c>
      <c r="BA87" s="15">
        <v>82.718698010625403</v>
      </c>
      <c r="BB87" s="15">
        <v>137.26553486022706</v>
      </c>
      <c r="BC87" s="15">
        <v>192.17174880431787</v>
      </c>
      <c r="BD87" s="15">
        <v>0</v>
      </c>
      <c r="BE87" s="15">
        <v>194.53078842278674</v>
      </c>
      <c r="BF87" s="15">
        <v>67.700931735616436</v>
      </c>
      <c r="BG87" s="15">
        <v>1.583132976279912</v>
      </c>
      <c r="BH87" s="15">
        <v>125.24672371089039</v>
      </c>
      <c r="BI87" s="15">
        <v>0</v>
      </c>
      <c r="BJ87" s="15">
        <v>1012.3298027809626</v>
      </c>
      <c r="BK87" s="15">
        <v>1387.2520958621353</v>
      </c>
      <c r="BL87" s="15">
        <v>4.7100572055643115E-2</v>
      </c>
      <c r="BM87" s="15">
        <v>6.2578314416739125E-2</v>
      </c>
    </row>
    <row r="88" spans="1:65" s="60" customFormat="1" x14ac:dyDescent="0.35">
      <c r="A88" s="59" t="s">
        <v>10605</v>
      </c>
      <c r="B88" s="59" t="s">
        <v>10320</v>
      </c>
      <c r="C88" s="59" t="s">
        <v>10692</v>
      </c>
      <c r="D88" s="59" t="s">
        <v>10321</v>
      </c>
      <c r="E88" s="59" t="s">
        <v>10693</v>
      </c>
      <c r="F88" s="59">
        <v>92598</v>
      </c>
      <c r="G88" s="59">
        <v>0.8971289950639485</v>
      </c>
      <c r="H88" s="59">
        <v>200</v>
      </c>
      <c r="I88" s="59">
        <v>158.56995212485788</v>
      </c>
      <c r="J88" s="88">
        <v>3.0007749939260111</v>
      </c>
      <c r="K88" s="59">
        <v>30</v>
      </c>
      <c r="L88" s="59">
        <v>96.109122682819716</v>
      </c>
      <c r="M88" s="59">
        <v>17.200025506031015</v>
      </c>
      <c r="N88" s="59">
        <v>32.481405643347827</v>
      </c>
      <c r="O88" s="59">
        <v>6.0543553641889938</v>
      </c>
      <c r="P88" s="59">
        <v>12.576516052804898</v>
      </c>
      <c r="Q88" s="59">
        <v>13.850534226353929</v>
      </c>
      <c r="R88" s="59">
        <v>2.5903921000569889</v>
      </c>
      <c r="S88" s="59">
        <v>5.4281057430338375</v>
      </c>
      <c r="T88" s="59">
        <v>5.8320363832631026</v>
      </c>
      <c r="U88" s="59">
        <v>0</v>
      </c>
      <c r="V88" s="59">
        <v>3944.3989831433296</v>
      </c>
      <c r="W88" s="59">
        <v>0</v>
      </c>
      <c r="X88" s="59">
        <v>0</v>
      </c>
      <c r="Y88" s="59">
        <v>300.20101355741713</v>
      </c>
      <c r="Z88" s="59">
        <v>0</v>
      </c>
      <c r="AA88" s="59">
        <v>0</v>
      </c>
      <c r="AB88" s="59">
        <v>0</v>
      </c>
      <c r="AC88" s="59">
        <v>300.20101355741713</v>
      </c>
      <c r="AD88" s="59">
        <v>141.63106143255925</v>
      </c>
      <c r="AE88" s="59">
        <v>10.497023283962301</v>
      </c>
      <c r="AF88" s="59">
        <v>0</v>
      </c>
      <c r="AG88" s="59">
        <v>0</v>
      </c>
      <c r="AH88" s="59">
        <v>29.673269398596958</v>
      </c>
      <c r="AI88" s="59">
        <v>101.46076875</v>
      </c>
      <c r="AJ88" s="59">
        <v>0</v>
      </c>
      <c r="AK88" s="59">
        <v>0</v>
      </c>
      <c r="AL88" s="59">
        <v>0</v>
      </c>
      <c r="AM88" s="59">
        <v>0</v>
      </c>
      <c r="AN88" s="59">
        <v>0.47178741921692602</v>
      </c>
      <c r="AO88" s="59">
        <v>158.56995212485788</v>
      </c>
      <c r="AP88" s="59">
        <v>40.170292682559257</v>
      </c>
      <c r="AQ88" s="59">
        <v>10.497023283962301</v>
      </c>
      <c r="AR88" s="59">
        <v>0</v>
      </c>
      <c r="AS88" s="59">
        <v>0</v>
      </c>
      <c r="AT88" s="59">
        <v>29.673269398596958</v>
      </c>
      <c r="AU88" s="59">
        <v>394.23240656661699</v>
      </c>
      <c r="AV88" s="59">
        <v>102.16486565518753</v>
      </c>
      <c r="AW88" s="59">
        <v>102.16486565518753</v>
      </c>
      <c r="AX88" s="59">
        <v>0</v>
      </c>
      <c r="AY88" s="59">
        <v>0</v>
      </c>
      <c r="AZ88" s="59">
        <v>242.18937685342206</v>
      </c>
      <c r="BA88" s="59">
        <v>76.930878417473053</v>
      </c>
      <c r="BB88" s="59">
        <v>68.857707681645422</v>
      </c>
      <c r="BC88" s="59">
        <v>96.400790754303586</v>
      </c>
      <c r="BD88" s="59">
        <v>0</v>
      </c>
      <c r="BE88" s="59">
        <v>49.878164058007435</v>
      </c>
      <c r="BF88" s="59">
        <v>16.984492192484954</v>
      </c>
      <c r="BG88" s="59">
        <v>1.4723613094253216</v>
      </c>
      <c r="BH88" s="59">
        <v>31.421310556097161</v>
      </c>
      <c r="BI88" s="59">
        <v>0</v>
      </c>
      <c r="BJ88" s="59">
        <v>434.40269924917624</v>
      </c>
      <c r="BK88" s="59">
        <v>576.03376068173543</v>
      </c>
      <c r="BL88" s="59">
        <v>1.5850471038909715</v>
      </c>
      <c r="BM88" s="59">
        <v>3.0007749939260111</v>
      </c>
    </row>
    <row r="89" spans="1:65" s="60" customFormat="1" x14ac:dyDescent="0.35">
      <c r="A89" s="15" t="s">
        <v>10605</v>
      </c>
      <c r="B89" s="15" t="s">
        <v>10320</v>
      </c>
      <c r="C89" s="15" t="s">
        <v>10586</v>
      </c>
      <c r="D89" s="15" t="s">
        <v>10321</v>
      </c>
      <c r="E89" s="15" t="s">
        <v>10694</v>
      </c>
      <c r="F89" s="15">
        <v>28529</v>
      </c>
      <c r="G89" s="15">
        <v>0.89713125361024126</v>
      </c>
      <c r="H89" s="15">
        <v>200</v>
      </c>
      <c r="I89" s="78">
        <v>146.63798289729402</v>
      </c>
      <c r="J89" s="79">
        <v>3.3227162807311168</v>
      </c>
      <c r="K89" s="15">
        <v>30</v>
      </c>
      <c r="L89" s="15">
        <v>40.618792625867485</v>
      </c>
      <c r="M89" s="15">
        <v>8.8590461290377807</v>
      </c>
      <c r="N89" s="15">
        <v>10.007390596941073</v>
      </c>
      <c r="O89" s="15">
        <v>1.6694278956864119</v>
      </c>
      <c r="P89" s="15">
        <v>3.8747740744678594</v>
      </c>
      <c r="Q89" s="15">
        <v>4.4631886267868</v>
      </c>
      <c r="R89" s="15">
        <v>0.99398407104117203</v>
      </c>
      <c r="S89" s="15">
        <v>1.6723775740648594</v>
      </c>
      <c r="T89" s="15">
        <v>1.7968269816807687</v>
      </c>
      <c r="U89" s="15">
        <v>0</v>
      </c>
      <c r="V89" s="15">
        <v>1215.2534815738975</v>
      </c>
      <c r="W89" s="15">
        <v>0</v>
      </c>
      <c r="X89" s="15">
        <v>0</v>
      </c>
      <c r="Y89" s="15">
        <v>288.89808559445322</v>
      </c>
      <c r="Z89" s="15">
        <v>0</v>
      </c>
      <c r="AA89" s="15">
        <v>0</v>
      </c>
      <c r="AB89" s="15">
        <v>0</v>
      </c>
      <c r="AC89" s="15">
        <v>288.89808559445322</v>
      </c>
      <c r="AD89" s="15">
        <v>142.2601026971592</v>
      </c>
      <c r="AE89" s="15">
        <v>0.54994788619329271</v>
      </c>
      <c r="AF89" s="15">
        <v>0</v>
      </c>
      <c r="AG89" s="15">
        <v>0</v>
      </c>
      <c r="AH89" s="15">
        <v>40.249386060965904</v>
      </c>
      <c r="AI89" s="15">
        <v>101.46076875</v>
      </c>
      <c r="AJ89" s="15">
        <v>-1.557757283945386E-15</v>
      </c>
      <c r="AK89" s="15">
        <v>0</v>
      </c>
      <c r="AL89" s="15">
        <v>0</v>
      </c>
      <c r="AM89" s="15">
        <v>0</v>
      </c>
      <c r="AN89" s="15">
        <v>0.49242314086102951</v>
      </c>
      <c r="AO89" s="15">
        <v>146.63798289729402</v>
      </c>
      <c r="AP89" s="15">
        <v>40.799333947159198</v>
      </c>
      <c r="AQ89" s="15">
        <v>0.54994788619329271</v>
      </c>
      <c r="AR89" s="15">
        <v>0</v>
      </c>
      <c r="AS89" s="15">
        <v>0</v>
      </c>
      <c r="AT89" s="15">
        <v>40.249386060965904</v>
      </c>
      <c r="AU89" s="15">
        <v>393.07506209654474</v>
      </c>
      <c r="AV89" s="15">
        <v>121.4611913802394</v>
      </c>
      <c r="AW89" s="15">
        <v>121.4611913802394</v>
      </c>
      <c r="AX89" s="15">
        <v>0</v>
      </c>
      <c r="AY89" s="15">
        <v>0</v>
      </c>
      <c r="AZ89" s="15">
        <v>190.93898219363803</v>
      </c>
      <c r="BA89" s="15">
        <v>76.930878417473096</v>
      </c>
      <c r="BB89" s="15">
        <v>47.503376573402058</v>
      </c>
      <c r="BC89" s="15">
        <v>66.504727202762879</v>
      </c>
      <c r="BD89" s="15">
        <v>0</v>
      </c>
      <c r="BE89" s="15">
        <v>80.674888522667345</v>
      </c>
      <c r="BF89" s="15">
        <v>27.790360425698953</v>
      </c>
      <c r="BG89" s="15">
        <v>1.4723613094253223</v>
      </c>
      <c r="BH89" s="15">
        <v>51.412166787543065</v>
      </c>
      <c r="BI89" s="15">
        <v>0</v>
      </c>
      <c r="BJ89" s="15">
        <v>433.87439604370394</v>
      </c>
      <c r="BK89" s="59">
        <v>576.13449874086314</v>
      </c>
      <c r="BL89" s="59">
        <v>1.686533893583422</v>
      </c>
      <c r="BM89" s="59">
        <v>3.3227162807311168</v>
      </c>
    </row>
    <row r="90" spans="1:65" s="56" customFormat="1" x14ac:dyDescent="0.35">
      <c r="A90" s="15" t="s">
        <v>10605</v>
      </c>
      <c r="B90" s="15" t="s">
        <v>10320</v>
      </c>
      <c r="C90" s="15" t="s">
        <v>10586</v>
      </c>
      <c r="D90" s="15" t="s">
        <v>10322</v>
      </c>
      <c r="E90" s="15" t="s">
        <v>10695</v>
      </c>
      <c r="F90" s="15">
        <v>28529</v>
      </c>
      <c r="G90" s="15">
        <v>0.89713125361024126</v>
      </c>
      <c r="H90" s="15">
        <v>200</v>
      </c>
      <c r="I90" s="80">
        <v>850.31044963648856</v>
      </c>
      <c r="J90" s="81">
        <v>-0.18886012194181037</v>
      </c>
      <c r="K90" s="15">
        <v>30</v>
      </c>
      <c r="L90" s="15">
        <v>40.618792625867485</v>
      </c>
      <c r="M90" s="15">
        <v>8.8590461290377807</v>
      </c>
      <c r="N90" s="15">
        <v>10.007390596941073</v>
      </c>
      <c r="O90" s="15">
        <v>1.6694278956864119</v>
      </c>
      <c r="P90" s="15">
        <v>3.8747740744678594</v>
      </c>
      <c r="Q90" s="15">
        <v>4.4631886267868</v>
      </c>
      <c r="R90" s="15">
        <v>0.99398407104117203</v>
      </c>
      <c r="S90" s="15">
        <v>1.6723775740648594</v>
      </c>
      <c r="T90" s="15">
        <v>1.7968269816807687</v>
      </c>
      <c r="U90" s="15">
        <v>0</v>
      </c>
      <c r="V90" s="15">
        <v>0</v>
      </c>
      <c r="W90" s="15">
        <v>303.81337039347437</v>
      </c>
      <c r="X90" s="15">
        <v>0</v>
      </c>
      <c r="Y90" s="15">
        <v>288.89808559445322</v>
      </c>
      <c r="Z90" s="15">
        <v>0</v>
      </c>
      <c r="AA90" s="15">
        <v>0</v>
      </c>
      <c r="AB90" s="15">
        <v>0</v>
      </c>
      <c r="AC90" s="15">
        <v>288.89808559445322</v>
      </c>
      <c r="AD90" s="15">
        <v>-561.41236404203528</v>
      </c>
      <c r="AE90" s="15">
        <v>-0.62490944247001956</v>
      </c>
      <c r="AF90" s="15">
        <v>60.60066461972572</v>
      </c>
      <c r="AG90" s="15">
        <v>-697.39152532273442</v>
      </c>
      <c r="AH90" s="15">
        <v>0</v>
      </c>
      <c r="AI90" s="15">
        <v>101.46076875</v>
      </c>
      <c r="AJ90" s="15">
        <v>0</v>
      </c>
      <c r="AK90" s="15">
        <v>-25.457362646556486</v>
      </c>
      <c r="AL90" s="15">
        <v>0</v>
      </c>
      <c r="AM90" s="15">
        <v>0</v>
      </c>
      <c r="AN90" s="15">
        <v>-1.9432886268070662</v>
      </c>
      <c r="AO90" s="15">
        <v>850.31044963648856</v>
      </c>
      <c r="AP90" s="15">
        <v>0</v>
      </c>
      <c r="AQ90" s="15">
        <v>0</v>
      </c>
      <c r="AR90" s="15">
        <v>0</v>
      </c>
      <c r="AS90" s="15">
        <v>0</v>
      </c>
      <c r="AT90" s="15">
        <v>0</v>
      </c>
      <c r="AU90" s="15">
        <v>489.72071442974567</v>
      </c>
      <c r="AV90" s="15">
        <v>121.4611913802394</v>
      </c>
      <c r="AW90" s="15">
        <v>121.4611913802394</v>
      </c>
      <c r="AX90" s="15">
        <v>0</v>
      </c>
      <c r="AY90" s="15">
        <v>0</v>
      </c>
      <c r="AZ90" s="15">
        <v>190.93898219363803</v>
      </c>
      <c r="BA90" s="15">
        <v>76.930878417473096</v>
      </c>
      <c r="BB90" s="15">
        <v>47.503376573402058</v>
      </c>
      <c r="BC90" s="15">
        <v>66.504727202762879</v>
      </c>
      <c r="BD90" s="15">
        <v>0</v>
      </c>
      <c r="BE90" s="15">
        <v>177.32054085586827</v>
      </c>
      <c r="BF90" s="15">
        <v>61.701115630330861</v>
      </c>
      <c r="BG90" s="15">
        <v>1.4723613094253223</v>
      </c>
      <c r="BH90" s="15">
        <v>114.14706391611207</v>
      </c>
      <c r="BI90" s="15">
        <v>0</v>
      </c>
      <c r="BJ90" s="15">
        <v>489.72071442974567</v>
      </c>
      <c r="BK90" s="55">
        <v>-71.691649612289609</v>
      </c>
      <c r="BL90" s="55">
        <v>-0.55586984896872615</v>
      </c>
      <c r="BM90" s="55">
        <v>-0.18886012194181037</v>
      </c>
    </row>
    <row r="91" spans="1:65" x14ac:dyDescent="0.35">
      <c r="A91" s="15" t="s">
        <v>10605</v>
      </c>
      <c r="B91" s="15" t="s">
        <v>10320</v>
      </c>
      <c r="C91" s="15" t="s">
        <v>10586</v>
      </c>
      <c r="D91" s="15" t="s">
        <v>10323</v>
      </c>
      <c r="E91" s="15" t="s">
        <v>10696</v>
      </c>
      <c r="F91" s="15">
        <v>28529</v>
      </c>
      <c r="G91" s="15">
        <v>0.89713125361024126</v>
      </c>
      <c r="H91" s="15">
        <v>200</v>
      </c>
      <c r="I91" s="78">
        <v>188.75928646157911</v>
      </c>
      <c r="J91" s="79">
        <v>2.1732373437504258</v>
      </c>
      <c r="K91" s="15">
        <v>30</v>
      </c>
      <c r="L91" s="15">
        <v>40.618792625867485</v>
      </c>
      <c r="M91" s="15">
        <v>8.8590461290377807</v>
      </c>
      <c r="N91" s="15">
        <v>10.007390596941073</v>
      </c>
      <c r="O91" s="15">
        <v>1.6694278956864119</v>
      </c>
      <c r="P91" s="15">
        <v>3.8747740744678594</v>
      </c>
      <c r="Q91" s="15">
        <v>4.4631886267868</v>
      </c>
      <c r="R91" s="15">
        <v>0.99398407104117203</v>
      </c>
      <c r="S91" s="15">
        <v>1.6723775740648594</v>
      </c>
      <c r="T91" s="15">
        <v>1.7968269816807687</v>
      </c>
      <c r="U91" s="15">
        <v>0</v>
      </c>
      <c r="V91" s="15">
        <v>0</v>
      </c>
      <c r="W91" s="15">
        <v>0</v>
      </c>
      <c r="X91" s="15">
        <v>303813.37039347435</v>
      </c>
      <c r="Y91" s="15">
        <v>288.89808559445322</v>
      </c>
      <c r="Z91" s="15">
        <v>0</v>
      </c>
      <c r="AA91" s="15">
        <v>0</v>
      </c>
      <c r="AB91" s="15">
        <v>0</v>
      </c>
      <c r="AC91" s="15">
        <v>288.89808559445322</v>
      </c>
      <c r="AD91" s="15">
        <v>100.13879913287411</v>
      </c>
      <c r="AE91" s="15">
        <v>-0.62490944247001956</v>
      </c>
      <c r="AF91" s="15">
        <v>0</v>
      </c>
      <c r="AG91" s="15">
        <v>0</v>
      </c>
      <c r="AH91" s="15">
        <v>0</v>
      </c>
      <c r="AI91" s="15">
        <v>101.46076875</v>
      </c>
      <c r="AJ91" s="15">
        <v>0</v>
      </c>
      <c r="AK91" s="15">
        <v>-0.69706017465588044</v>
      </c>
      <c r="AL91" s="15">
        <v>0</v>
      </c>
      <c r="AM91" s="15">
        <v>0</v>
      </c>
      <c r="AN91" s="15">
        <v>0.34662327002556209</v>
      </c>
      <c r="AO91" s="15">
        <v>188.75928646157911</v>
      </c>
      <c r="AP91" s="15">
        <v>0</v>
      </c>
      <c r="AQ91" s="15">
        <v>0</v>
      </c>
      <c r="AR91" s="15">
        <v>0</v>
      </c>
      <c r="AS91" s="15">
        <v>0</v>
      </c>
      <c r="AT91" s="15">
        <v>0</v>
      </c>
      <c r="AU91" s="15">
        <v>398.97801677956693</v>
      </c>
      <c r="AV91" s="15">
        <v>121.4611913802394</v>
      </c>
      <c r="AW91" s="15">
        <v>121.4611913802394</v>
      </c>
      <c r="AX91" s="15">
        <v>0</v>
      </c>
      <c r="AY91" s="15">
        <v>0</v>
      </c>
      <c r="AZ91" s="15">
        <v>190.93898219363803</v>
      </c>
      <c r="BA91" s="15">
        <v>76.930878417473096</v>
      </c>
      <c r="BB91" s="15">
        <v>47.503376573402058</v>
      </c>
      <c r="BC91" s="15">
        <v>66.504727202762879</v>
      </c>
      <c r="BD91" s="15">
        <v>0</v>
      </c>
      <c r="BE91" s="15">
        <v>86.577843205689504</v>
      </c>
      <c r="BF91" s="15">
        <v>29.861572595180419</v>
      </c>
      <c r="BG91" s="15">
        <v>1.4723613094253223</v>
      </c>
      <c r="BH91" s="15">
        <v>55.243909301083768</v>
      </c>
      <c r="BI91" s="15">
        <v>0</v>
      </c>
      <c r="BJ91" s="15">
        <v>398.97801677956693</v>
      </c>
      <c r="BK91" s="15">
        <v>499.11681591244104</v>
      </c>
      <c r="BL91" s="15">
        <v>1.4199427091179866</v>
      </c>
      <c r="BM91" s="15">
        <v>2.1732373437504258</v>
      </c>
    </row>
    <row r="92" spans="1:65" x14ac:dyDescent="0.35">
      <c r="A92" s="15" t="s">
        <v>10605</v>
      </c>
      <c r="B92" s="15" t="s">
        <v>10320</v>
      </c>
      <c r="C92" s="15" t="s">
        <v>10586</v>
      </c>
      <c r="D92" s="15" t="s">
        <v>10324</v>
      </c>
      <c r="E92" s="15" t="s">
        <v>10697</v>
      </c>
      <c r="F92" s="15">
        <v>28529</v>
      </c>
      <c r="G92" s="15">
        <v>0.89713125361024126</v>
      </c>
      <c r="H92" s="15">
        <v>200</v>
      </c>
      <c r="I92" s="78">
        <v>154.73505049950842</v>
      </c>
      <c r="J92" s="79">
        <v>2.8480699934226039</v>
      </c>
      <c r="K92" s="15">
        <v>30</v>
      </c>
      <c r="L92" s="15">
        <v>40.914239397342413</v>
      </c>
      <c r="M92" s="15">
        <v>8.922122532053832</v>
      </c>
      <c r="N92" s="15">
        <v>10.007390596941073</v>
      </c>
      <c r="O92" s="15">
        <v>1.210343855747039</v>
      </c>
      <c r="P92" s="15">
        <v>4.038732660160492</v>
      </c>
      <c r="Q92" s="15">
        <v>4.7583140810335394</v>
      </c>
      <c r="R92" s="15">
        <v>0.99398407104117203</v>
      </c>
      <c r="S92" s="15">
        <v>1.9675030283115993</v>
      </c>
      <c r="T92" s="15">
        <v>1.7968269816807687</v>
      </c>
      <c r="U92" s="15">
        <v>0</v>
      </c>
      <c r="V92" s="15">
        <v>0</v>
      </c>
      <c r="W92" s="15">
        <v>0</v>
      </c>
      <c r="X92" s="15">
        <v>0</v>
      </c>
      <c r="Y92" s="15">
        <v>255.40215083995423</v>
      </c>
      <c r="Z92" s="15">
        <v>0</v>
      </c>
      <c r="AA92" s="15">
        <v>0</v>
      </c>
      <c r="AB92" s="15">
        <v>0</v>
      </c>
      <c r="AC92" s="15">
        <v>255.40215083995423</v>
      </c>
      <c r="AD92" s="15">
        <v>100.66710034044581</v>
      </c>
      <c r="AE92" s="15">
        <v>-0.79366840955416906</v>
      </c>
      <c r="AF92" s="15">
        <v>0</v>
      </c>
      <c r="AG92" s="15">
        <v>0</v>
      </c>
      <c r="AH92" s="15">
        <v>0</v>
      </c>
      <c r="AI92" s="15">
        <v>101.46076875</v>
      </c>
      <c r="AJ92" s="15">
        <v>0</v>
      </c>
      <c r="AK92" s="15">
        <v>0</v>
      </c>
      <c r="AL92" s="15">
        <v>0</v>
      </c>
      <c r="AM92" s="15">
        <v>0</v>
      </c>
      <c r="AN92" s="15">
        <v>0.39415134136254032</v>
      </c>
      <c r="AO92" s="15">
        <v>154.73505049950842</v>
      </c>
      <c r="AP92" s="15">
        <v>0</v>
      </c>
      <c r="AQ92" s="15">
        <v>0</v>
      </c>
      <c r="AR92" s="15">
        <v>0</v>
      </c>
      <c r="AS92" s="15">
        <v>0</v>
      </c>
      <c r="AT92" s="15">
        <v>0</v>
      </c>
      <c r="AU92" s="15">
        <v>395.43130475788956</v>
      </c>
      <c r="AV92" s="15">
        <v>117.71556745464427</v>
      </c>
      <c r="AW92" s="15">
        <v>117.71556745464427</v>
      </c>
      <c r="AX92" s="15">
        <v>0</v>
      </c>
      <c r="AY92" s="15">
        <v>0</v>
      </c>
      <c r="AZ92" s="15">
        <v>196.07287011733115</v>
      </c>
      <c r="BA92" s="15">
        <v>76.930878417473096</v>
      </c>
      <c r="BB92" s="15">
        <v>49.642496541607521</v>
      </c>
      <c r="BC92" s="15">
        <v>69.499495158250525</v>
      </c>
      <c r="BD92" s="15">
        <v>0</v>
      </c>
      <c r="BE92" s="15">
        <v>81.642867185914156</v>
      </c>
      <c r="BF92" s="15">
        <v>28.130002061925907</v>
      </c>
      <c r="BG92" s="15">
        <v>1.4723613094253223</v>
      </c>
      <c r="BH92" s="15">
        <v>52.040503814562925</v>
      </c>
      <c r="BI92" s="15">
        <v>0</v>
      </c>
      <c r="BJ92" s="15">
        <v>395.43130475788956</v>
      </c>
      <c r="BK92" s="15">
        <v>496.09840509833538</v>
      </c>
      <c r="BL92" s="15">
        <v>1.725499385220683</v>
      </c>
      <c r="BM92" s="15">
        <v>2.8480699934226039</v>
      </c>
    </row>
    <row r="93" spans="1:65" x14ac:dyDescent="0.35">
      <c r="A93" s="15" t="s">
        <v>10605</v>
      </c>
      <c r="B93" s="15" t="s">
        <v>10320</v>
      </c>
      <c r="C93" s="15" t="s">
        <v>10586</v>
      </c>
      <c r="D93" s="15" t="s">
        <v>10325</v>
      </c>
      <c r="E93" s="15" t="s">
        <v>10698</v>
      </c>
      <c r="F93" s="15">
        <v>28529</v>
      </c>
      <c r="G93" s="15">
        <v>0.89713125361024126</v>
      </c>
      <c r="H93" s="15">
        <v>200</v>
      </c>
      <c r="I93" s="78">
        <v>217.39285852861343</v>
      </c>
      <c r="J93" s="79">
        <v>1.6422929320926207</v>
      </c>
      <c r="K93" s="15">
        <v>30</v>
      </c>
      <c r="L93" s="15">
        <v>38.941406966014668</v>
      </c>
      <c r="M93" s="15">
        <v>8.175710095127446</v>
      </c>
      <c r="N93" s="15">
        <v>10.007390596941073</v>
      </c>
      <c r="O93" s="15">
        <v>2.046736543362881</v>
      </c>
      <c r="P93" s="15">
        <v>3.5007853786219263</v>
      </c>
      <c r="Q93" s="15">
        <v>4.4598686749562653</v>
      </c>
      <c r="R93" s="15">
        <v>0.99398407104117203</v>
      </c>
      <c r="S93" s="15">
        <v>0</v>
      </c>
      <c r="T93" s="15">
        <v>3.465884603915093</v>
      </c>
      <c r="U93" s="15">
        <v>0</v>
      </c>
      <c r="V93" s="15">
        <v>0</v>
      </c>
      <c r="W93" s="15">
        <v>0</v>
      </c>
      <c r="X93" s="15">
        <v>0</v>
      </c>
      <c r="Y93" s="15">
        <v>318.85362727861343</v>
      </c>
      <c r="Z93" s="15">
        <v>0</v>
      </c>
      <c r="AA93" s="15">
        <v>0</v>
      </c>
      <c r="AB93" s="15">
        <v>0</v>
      </c>
      <c r="AC93" s="15">
        <v>318.85362727861343</v>
      </c>
      <c r="AD93" s="15">
        <v>101.46076875</v>
      </c>
      <c r="AE93" s="15">
        <v>0</v>
      </c>
      <c r="AF93" s="15">
        <v>0</v>
      </c>
      <c r="AG93" s="15">
        <v>0</v>
      </c>
      <c r="AH93" s="15">
        <v>0</v>
      </c>
      <c r="AI93" s="15">
        <v>101.46076875</v>
      </c>
      <c r="AJ93" s="15">
        <v>0</v>
      </c>
      <c r="AK93" s="15">
        <v>0</v>
      </c>
      <c r="AL93" s="15">
        <v>0</v>
      </c>
      <c r="AM93" s="15">
        <v>0</v>
      </c>
      <c r="AN93" s="15">
        <v>0.31820484407205396</v>
      </c>
      <c r="AO93" s="15">
        <v>217.39285852861343</v>
      </c>
      <c r="AP93" s="15">
        <v>0</v>
      </c>
      <c r="AQ93" s="15">
        <v>0</v>
      </c>
      <c r="AR93" s="15">
        <v>0</v>
      </c>
      <c r="AS93" s="15">
        <v>0</v>
      </c>
      <c r="AT93" s="15">
        <v>0</v>
      </c>
      <c r="AU93" s="15">
        <v>374.41561357756621</v>
      </c>
      <c r="AV93" s="15">
        <v>130.14008926251293</v>
      </c>
      <c r="AW93" s="15">
        <v>130.14008926251293</v>
      </c>
      <c r="AX93" s="15">
        <v>0</v>
      </c>
      <c r="AY93" s="15">
        <v>0</v>
      </c>
      <c r="AZ93" s="15">
        <v>153.08294474433134</v>
      </c>
      <c r="BA93" s="15">
        <v>76.930878417473096</v>
      </c>
      <c r="BB93" s="15">
        <v>31.730027636190936</v>
      </c>
      <c r="BC93" s="15">
        <v>44.422038690667307</v>
      </c>
      <c r="BD93" s="15">
        <v>0</v>
      </c>
      <c r="BE93" s="15">
        <v>91.192579570721932</v>
      </c>
      <c r="BF93" s="15">
        <v>31.480778337297057</v>
      </c>
      <c r="BG93" s="15">
        <v>1.4723613094253223</v>
      </c>
      <c r="BH93" s="15">
        <v>58.239439923999555</v>
      </c>
      <c r="BI93" s="15">
        <v>0</v>
      </c>
      <c r="BJ93" s="15">
        <v>374.41561357756621</v>
      </c>
      <c r="BK93" s="15">
        <v>475.8763823275662</v>
      </c>
      <c r="BL93" s="15">
        <v>1.1197073657154519</v>
      </c>
      <c r="BM93" s="15">
        <v>1.6422929320926207</v>
      </c>
    </row>
    <row r="94" spans="1:65" x14ac:dyDescent="0.35">
      <c r="A94" s="15" t="s">
        <v>10605</v>
      </c>
      <c r="B94" s="15" t="s">
        <v>10320</v>
      </c>
      <c r="C94" s="15" t="s">
        <v>10586</v>
      </c>
      <c r="D94" s="15" t="s">
        <v>10326</v>
      </c>
      <c r="E94" s="15" t="s">
        <v>10699</v>
      </c>
      <c r="F94" s="15">
        <v>28529</v>
      </c>
      <c r="G94" s="15">
        <v>0.89713125361024126</v>
      </c>
      <c r="H94" s="15">
        <v>200</v>
      </c>
      <c r="I94" s="78">
        <v>-200.9240894283019</v>
      </c>
      <c r="J94" s="81">
        <v>-7.224571612209111</v>
      </c>
      <c r="K94" s="15">
        <v>30</v>
      </c>
      <c r="L94" s="15">
        <v>38.201685287055795</v>
      </c>
      <c r="M94" s="15">
        <v>8.0581425314515815</v>
      </c>
      <c r="N94" s="15">
        <v>10.007390596941073</v>
      </c>
      <c r="O94" s="15">
        <v>7.3133985838815043</v>
      </c>
      <c r="P94" s="15">
        <v>1.8418602393670047</v>
      </c>
      <c r="Q94" s="15">
        <v>0.85213177369256465</v>
      </c>
      <c r="R94" s="15">
        <v>0.85213177369256465</v>
      </c>
      <c r="S94" s="15">
        <v>0</v>
      </c>
      <c r="T94" s="15">
        <v>0</v>
      </c>
      <c r="U94" s="15">
        <v>6345.3752863570944</v>
      </c>
      <c r="V94" s="15">
        <v>0</v>
      </c>
      <c r="W94" s="15">
        <v>0</v>
      </c>
      <c r="X94" s="15">
        <v>0</v>
      </c>
      <c r="Y94" s="15">
        <v>607.24899876865459</v>
      </c>
      <c r="Z94" s="15">
        <v>0</v>
      </c>
      <c r="AA94" s="15">
        <v>0</v>
      </c>
      <c r="AB94" s="15">
        <v>0</v>
      </c>
      <c r="AC94" s="15">
        <v>607.24899876865459</v>
      </c>
      <c r="AD94" s="15">
        <v>808.17308819695654</v>
      </c>
      <c r="AE94" s="15">
        <v>0</v>
      </c>
      <c r="AF94" s="15">
        <v>0</v>
      </c>
      <c r="AG94" s="15">
        <v>0</v>
      </c>
      <c r="AH94" s="15">
        <v>685.17272996751399</v>
      </c>
      <c r="AI94" s="15">
        <v>123.0003582294425</v>
      </c>
      <c r="AJ94" s="15">
        <v>0</v>
      </c>
      <c r="AK94" s="15">
        <v>0</v>
      </c>
      <c r="AL94" s="15">
        <v>0</v>
      </c>
      <c r="AM94" s="15">
        <v>0</v>
      </c>
      <c r="AN94" s="15">
        <v>1.3308759501221485</v>
      </c>
      <c r="AO94" s="15">
        <v>-200.9240894283019</v>
      </c>
      <c r="AP94" s="15">
        <v>685.17272996751399</v>
      </c>
      <c r="AQ94" s="15">
        <v>0</v>
      </c>
      <c r="AR94" s="15">
        <v>0</v>
      </c>
      <c r="AS94" s="15">
        <v>0</v>
      </c>
      <c r="AT94" s="15">
        <v>685.17272996751399</v>
      </c>
      <c r="AU94" s="15">
        <v>365.49365329685855</v>
      </c>
      <c r="AV94" s="15">
        <v>171.16895982007114</v>
      </c>
      <c r="AW94" s="15">
        <v>171.16895982007114</v>
      </c>
      <c r="AX94" s="15">
        <v>0</v>
      </c>
      <c r="AY94" s="15">
        <v>0</v>
      </c>
      <c r="AZ94" s="15">
        <v>157.42242383152814</v>
      </c>
      <c r="BA94" s="15">
        <v>82.718698010625445</v>
      </c>
      <c r="BB94" s="15">
        <v>31.126552425376122</v>
      </c>
      <c r="BC94" s="15">
        <v>43.577173395526565</v>
      </c>
      <c r="BD94" s="15">
        <v>0</v>
      </c>
      <c r="BE94" s="15">
        <v>36.902269645259295</v>
      </c>
      <c r="BF94" s="15">
        <v>12.392679532975222</v>
      </c>
      <c r="BG94" s="15">
        <v>1.5831329762799129</v>
      </c>
      <c r="BH94" s="15">
        <v>22.92645713600416</v>
      </c>
      <c r="BI94" s="15">
        <v>0</v>
      </c>
      <c r="BJ94" s="15">
        <v>1050.6663832643726</v>
      </c>
      <c r="BK94" s="15">
        <v>1858.8394714613291</v>
      </c>
      <c r="BL94" s="15">
        <v>2.390436996415191</v>
      </c>
      <c r="BM94" s="15">
        <v>-7.224571612209111</v>
      </c>
    </row>
    <row r="95" spans="1:65" x14ac:dyDescent="0.35">
      <c r="A95" s="15" t="s">
        <v>10605</v>
      </c>
      <c r="B95" s="15" t="s">
        <v>10320</v>
      </c>
      <c r="C95" s="15" t="s">
        <v>10586</v>
      </c>
      <c r="D95" s="15" t="s">
        <v>10327</v>
      </c>
      <c r="E95" s="15" t="s">
        <v>10700</v>
      </c>
      <c r="F95" s="15">
        <v>28529</v>
      </c>
      <c r="G95" s="15">
        <v>0.89713125361024126</v>
      </c>
      <c r="H95" s="15">
        <v>200</v>
      </c>
      <c r="I95" s="80">
        <v>2119.0883618012545</v>
      </c>
      <c r="J95" s="81">
        <v>-0.49053382332362389</v>
      </c>
      <c r="K95" s="15">
        <v>30</v>
      </c>
      <c r="L95" s="15">
        <v>66.146225707570224</v>
      </c>
      <c r="M95" s="15">
        <v>22.14191767867025</v>
      </c>
      <c r="N95" s="15">
        <v>10.007390596941073</v>
      </c>
      <c r="O95" s="15">
        <v>7.3133985838815043</v>
      </c>
      <c r="P95" s="15">
        <v>1.8418602393670047</v>
      </c>
      <c r="Q95" s="15">
        <v>0.85213177369256465</v>
      </c>
      <c r="R95" s="15">
        <v>0.85213177369256465</v>
      </c>
      <c r="S95" s="15">
        <v>0</v>
      </c>
      <c r="T95" s="15">
        <v>0</v>
      </c>
      <c r="U95" s="15">
        <v>6345.3752863570944</v>
      </c>
      <c r="V95" s="15">
        <v>0</v>
      </c>
      <c r="W95" s="15">
        <v>0</v>
      </c>
      <c r="X95" s="15">
        <v>0</v>
      </c>
      <c r="Y95" s="15">
        <v>1462.7728459078501</v>
      </c>
      <c r="Z95" s="15">
        <v>0</v>
      </c>
      <c r="AA95" s="15">
        <v>0</v>
      </c>
      <c r="AB95" s="15">
        <v>0</v>
      </c>
      <c r="AC95" s="15">
        <v>1462.7728459078501</v>
      </c>
      <c r="AD95" s="15">
        <v>-656.31551589340438</v>
      </c>
      <c r="AE95" s="15">
        <v>-28.902559868877884</v>
      </c>
      <c r="AF95" s="15">
        <v>0</v>
      </c>
      <c r="AG95" s="15">
        <v>0</v>
      </c>
      <c r="AH95" s="15">
        <v>-750.41331425396891</v>
      </c>
      <c r="AI95" s="15">
        <v>123.0003582294425</v>
      </c>
      <c r="AJ95" s="15">
        <v>0</v>
      </c>
      <c r="AK95" s="15">
        <v>0</v>
      </c>
      <c r="AL95" s="15">
        <v>0</v>
      </c>
      <c r="AM95" s="15">
        <v>0</v>
      </c>
      <c r="AN95" s="15">
        <v>-0.44867903976305429</v>
      </c>
      <c r="AO95" s="15">
        <v>2119.0883618012545</v>
      </c>
      <c r="AP95" s="15">
        <v>-779.31587412284682</v>
      </c>
      <c r="AQ95" s="15">
        <v>-28.902559868877884</v>
      </c>
      <c r="AR95" s="15">
        <v>0</v>
      </c>
      <c r="AS95" s="15">
        <v>0</v>
      </c>
      <c r="AT95" s="15">
        <v>-750.41331425396891</v>
      </c>
      <c r="AU95" s="15">
        <v>1658.9197198491372</v>
      </c>
      <c r="AV95" s="15">
        <v>171.16895982007114</v>
      </c>
      <c r="AW95" s="15">
        <v>171.16895982007114</v>
      </c>
      <c r="AX95" s="15">
        <v>0</v>
      </c>
      <c r="AY95" s="15">
        <v>0</v>
      </c>
      <c r="AZ95" s="15">
        <v>1120.2467160835949</v>
      </c>
      <c r="BA95" s="15">
        <v>82.718698010625445</v>
      </c>
      <c r="BB95" s="15">
        <v>432.30334086373728</v>
      </c>
      <c r="BC95" s="15">
        <v>605.22467720923214</v>
      </c>
      <c r="BD95" s="15">
        <v>0</v>
      </c>
      <c r="BE95" s="15">
        <v>367.5040439454711</v>
      </c>
      <c r="BF95" s="15">
        <v>128.39330209445305</v>
      </c>
      <c r="BG95" s="15">
        <v>1.5831329762799129</v>
      </c>
      <c r="BH95" s="15">
        <v>237.52760887473812</v>
      </c>
      <c r="BI95" s="15">
        <v>0</v>
      </c>
      <c r="BJ95" s="15">
        <v>879.60384572629039</v>
      </c>
      <c r="BK95" s="15">
        <v>223.28832983288601</v>
      </c>
      <c r="BL95" s="15">
        <v>-0.71062606814376728</v>
      </c>
      <c r="BM95" s="15">
        <v>-0.49053382332362389</v>
      </c>
    </row>
    <row r="96" spans="1:65" s="60" customFormat="1" x14ac:dyDescent="0.35">
      <c r="A96" s="59" t="s">
        <v>10605</v>
      </c>
      <c r="B96" s="59" t="s">
        <v>10320</v>
      </c>
      <c r="C96" s="59" t="s">
        <v>10701</v>
      </c>
      <c r="D96" s="59" t="s">
        <v>10326</v>
      </c>
      <c r="E96" s="59" t="s">
        <v>10702</v>
      </c>
      <c r="F96" s="59">
        <v>28529</v>
      </c>
      <c r="G96" s="59">
        <v>0.89713125361024126</v>
      </c>
      <c r="H96" s="59">
        <v>200</v>
      </c>
      <c r="I96" s="59">
        <v>-200.9240894283019</v>
      </c>
      <c r="J96" s="88">
        <v>-7.224571612209111</v>
      </c>
      <c r="K96" s="59">
        <v>30</v>
      </c>
      <c r="L96" s="59">
        <v>38.201685287055795</v>
      </c>
      <c r="M96" s="59">
        <v>8.0581425314515815</v>
      </c>
      <c r="N96" s="59">
        <v>10.007390596941073</v>
      </c>
      <c r="O96" s="59">
        <v>7.3133985838815043</v>
      </c>
      <c r="P96" s="59">
        <v>1.8418602393670047</v>
      </c>
      <c r="Q96" s="59">
        <v>0.85213177369256465</v>
      </c>
      <c r="R96" s="59">
        <v>0.85213177369256465</v>
      </c>
      <c r="S96" s="59">
        <v>0</v>
      </c>
      <c r="T96" s="59">
        <v>0</v>
      </c>
      <c r="U96" s="59">
        <v>6345.3752863570944</v>
      </c>
      <c r="V96" s="59">
        <v>0</v>
      </c>
      <c r="W96" s="59">
        <v>0</v>
      </c>
      <c r="X96" s="59">
        <v>0</v>
      </c>
      <c r="Y96" s="59">
        <v>607.24899876865459</v>
      </c>
      <c r="Z96" s="59">
        <v>0</v>
      </c>
      <c r="AA96" s="59">
        <v>0</v>
      </c>
      <c r="AB96" s="59">
        <v>0</v>
      </c>
      <c r="AC96" s="59">
        <v>607.24899876865459</v>
      </c>
      <c r="AD96" s="59">
        <v>808.17308819695654</v>
      </c>
      <c r="AE96" s="59">
        <v>0</v>
      </c>
      <c r="AF96" s="59">
        <v>0</v>
      </c>
      <c r="AG96" s="59">
        <v>0</v>
      </c>
      <c r="AH96" s="59">
        <v>685.17272996751399</v>
      </c>
      <c r="AI96" s="59">
        <v>123.0003582294425</v>
      </c>
      <c r="AJ96" s="59">
        <v>0</v>
      </c>
      <c r="AK96" s="59">
        <v>0</v>
      </c>
      <c r="AL96" s="59">
        <v>0</v>
      </c>
      <c r="AM96" s="59">
        <v>0</v>
      </c>
      <c r="AN96" s="59">
        <v>1.3308759501221485</v>
      </c>
      <c r="AO96" s="59">
        <v>-200.9240894283019</v>
      </c>
      <c r="AP96" s="59">
        <v>685.17272996751399</v>
      </c>
      <c r="AQ96" s="59">
        <v>0</v>
      </c>
      <c r="AR96" s="59">
        <v>0</v>
      </c>
      <c r="AS96" s="59">
        <v>0</v>
      </c>
      <c r="AT96" s="59">
        <v>685.17272996751399</v>
      </c>
      <c r="AU96" s="59">
        <v>365.49365329685855</v>
      </c>
      <c r="AV96" s="59">
        <v>171.16895982007114</v>
      </c>
      <c r="AW96" s="59">
        <v>171.16895982007114</v>
      </c>
      <c r="AX96" s="59">
        <v>0</v>
      </c>
      <c r="AY96" s="59">
        <v>0</v>
      </c>
      <c r="AZ96" s="59">
        <v>157.42242383152814</v>
      </c>
      <c r="BA96" s="59">
        <v>82.718698010625445</v>
      </c>
      <c r="BB96" s="59">
        <v>31.126552425376122</v>
      </c>
      <c r="BC96" s="59">
        <v>43.577173395526565</v>
      </c>
      <c r="BD96" s="59">
        <v>0</v>
      </c>
      <c r="BE96" s="59">
        <v>36.902269645259295</v>
      </c>
      <c r="BF96" s="59">
        <v>12.392679532975222</v>
      </c>
      <c r="BG96" s="59">
        <v>1.5831329762799129</v>
      </c>
      <c r="BH96" s="59">
        <v>22.92645713600416</v>
      </c>
      <c r="BI96" s="59">
        <v>0</v>
      </c>
      <c r="BJ96" s="59">
        <v>1050.6663832643726</v>
      </c>
      <c r="BK96" s="59">
        <v>1858.8394714613291</v>
      </c>
      <c r="BL96" s="59">
        <v>2.390436996415191</v>
      </c>
      <c r="BM96" s="59">
        <v>-7.224571612209111</v>
      </c>
    </row>
    <row r="97" spans="1:65" s="56" customFormat="1" x14ac:dyDescent="0.35">
      <c r="A97" s="55" t="s">
        <v>10605</v>
      </c>
      <c r="B97" s="55" t="s">
        <v>10703</v>
      </c>
      <c r="C97" s="55" t="s">
        <v>9780</v>
      </c>
      <c r="D97" s="55" t="s">
        <v>9780</v>
      </c>
      <c r="E97" s="55" t="s">
        <v>10018</v>
      </c>
      <c r="F97" s="55">
        <f>F88</f>
        <v>92598</v>
      </c>
      <c r="G97" s="55">
        <f>G88</f>
        <v>0.8971289950639485</v>
      </c>
      <c r="H97" s="55">
        <f>(H88*N88+H96*N96)/(N88+N96)</f>
        <v>200.00000000000003</v>
      </c>
      <c r="I97" s="55">
        <f>(I88*N88+I96*N96)/(N88+N96)</f>
        <v>73.898283133583746</v>
      </c>
      <c r="J97" s="89">
        <f>(J88*N88+J96*N96)/(N88+N96)</f>
        <v>0.59239804443575761</v>
      </c>
      <c r="K97" s="55">
        <f>K88</f>
        <v>30</v>
      </c>
      <c r="L97" s="55">
        <f t="shared" ref="L97:W97" si="6">L88+L96</f>
        <v>134.3108079698755</v>
      </c>
      <c r="M97" s="55">
        <f t="shared" si="6"/>
        <v>25.258168037482598</v>
      </c>
      <c r="N97" s="55">
        <f t="shared" si="6"/>
        <v>42.488796240288899</v>
      </c>
      <c r="O97" s="55">
        <f t="shared" si="6"/>
        <v>13.367753948070497</v>
      </c>
      <c r="P97" s="55">
        <f t="shared" si="6"/>
        <v>14.418376292171903</v>
      </c>
      <c r="Q97" s="55">
        <f t="shared" si="6"/>
        <v>14.702666000046493</v>
      </c>
      <c r="R97" s="55">
        <f t="shared" si="6"/>
        <v>3.4425238737495536</v>
      </c>
      <c r="S97" s="55">
        <f t="shared" si="6"/>
        <v>5.4281057430338375</v>
      </c>
      <c r="T97" s="55">
        <f t="shared" si="6"/>
        <v>5.8320363832631026</v>
      </c>
      <c r="U97" s="55">
        <f t="shared" si="6"/>
        <v>6345.3752863570944</v>
      </c>
      <c r="V97" s="55">
        <f t="shared" si="6"/>
        <v>3944.3989831433296</v>
      </c>
      <c r="W97" s="55">
        <f t="shared" si="6"/>
        <v>0</v>
      </c>
      <c r="X97" s="55">
        <f>(X88*N88+X96*N96)/(N88+N96)</f>
        <v>0</v>
      </c>
      <c r="Y97" s="55">
        <f>(Y88*N88+Y96*N96)/(N88+N96)</f>
        <v>372.52005744454391</v>
      </c>
      <c r="Z97" s="55">
        <f>(Z88*N88+Z96*N96)/(N88+N96)</f>
        <v>0</v>
      </c>
      <c r="AA97" s="55">
        <f>(AA88*N88+AA96*N96)/(N88+N96)</f>
        <v>0</v>
      </c>
      <c r="AB97" s="55">
        <f>(AB88*N88+AB96*N96)/(N88+N96)</f>
        <v>0</v>
      </c>
      <c r="AC97" s="55">
        <f>(AC88*N88+AC96*N96)/(N88+N96)</f>
        <v>372.52005744454391</v>
      </c>
      <c r="AD97" s="55">
        <f>(AD88*N88+AD96*N96)/(N88+N96)</f>
        <v>298.62177431096018</v>
      </c>
      <c r="AE97" s="55">
        <f>(AE88*N88+AE96*N96)/(N88+N96)</f>
        <v>8.0246582982913974</v>
      </c>
      <c r="AF97" s="55">
        <f>(AF88*N88+AF96*N96)/(N88+N96)</f>
        <v>0</v>
      </c>
      <c r="AG97" s="55">
        <f>(AG88*N88+AG96*N96)/(N88+N96)</f>
        <v>0</v>
      </c>
      <c r="AH97" s="55">
        <f>(AH88*N88+AH96*N96)/(N88+N96)</f>
        <v>184.06312551264543</v>
      </c>
      <c r="AI97" s="55">
        <f>(AI88*N88+AI96*N96)/(N88+N96)</f>
        <v>106.53399050002335</v>
      </c>
      <c r="AJ97" s="55">
        <f>(AJ88*N88+AJ96*N96)/(N88+N96)</f>
        <v>0</v>
      </c>
      <c r="AK97" s="55">
        <f>(AK88*N88+AK96*N96)/(N88+N96)</f>
        <v>0</v>
      </c>
      <c r="AL97" s="55">
        <f>(AL88*N88+AL96*N96)/(N88+N96)</f>
        <v>0</v>
      </c>
      <c r="AM97" s="55">
        <f>(AM88*N88+AM96*N96)/(N88+N96)</f>
        <v>0</v>
      </c>
      <c r="AN97" s="55">
        <f>(AN88*N88+AN96*N96)/(N88+N96)</f>
        <v>0.67412863023877989</v>
      </c>
      <c r="AO97" s="55">
        <f>(AO88*N88+AO96*N96)/(N88+N96)</f>
        <v>73.898283133583746</v>
      </c>
      <c r="AP97" s="55">
        <f>(AP88*N88+AP96*N96)/(N88+N96)</f>
        <v>192.08778381093683</v>
      </c>
      <c r="AQ97" s="55">
        <f>(AQ88*N88+AQ96*N96)/(N88+N96)</f>
        <v>8.0246582982913974</v>
      </c>
      <c r="AR97" s="55">
        <f>(AR88*N88+AR96*N96)/(N88+N96)</f>
        <v>0</v>
      </c>
      <c r="AS97" s="55">
        <f>(AS88*N88+AS96*N96)/(N88+N96)</f>
        <v>0</v>
      </c>
      <c r="AT97" s="55">
        <f>(AT88*N88+AT96*N96)/(N88+N96)</f>
        <v>184.06312551264543</v>
      </c>
      <c r="AU97" s="55">
        <f>(AU88*N88+AU96*N96)/(N88+N96)</f>
        <v>387.46356502041004</v>
      </c>
      <c r="AV97" s="55">
        <f>(AV88*N88+AV96*N96)/(N88+N96)</f>
        <v>118.41740712966912</v>
      </c>
      <c r="AW97" s="55">
        <f>(AW88*N88+AW96*N96)/(N88+N96)</f>
        <v>118.41740712966912</v>
      </c>
      <c r="AX97" s="55">
        <f>(AX88*N88+AX96*N96)/(N88+N96)</f>
        <v>0</v>
      </c>
      <c r="AY97" s="55">
        <f>(AY88*N88+AY96*N96)/(N88+N96)</f>
        <v>0</v>
      </c>
      <c r="AZ97" s="55">
        <f>(AZ88*N88+AZ96*N96)/(N88+N96)</f>
        <v>222.22420759314841</v>
      </c>
      <c r="BA97" s="55">
        <f>(BA88*N88+BA96*N96)/(N88+N96)</f>
        <v>78.294084168131221</v>
      </c>
      <c r="BB97" s="55">
        <f>(BB88*N88+BB96*N96)/(N88+N96)</f>
        <v>59.970884760423829</v>
      </c>
      <c r="BC97" s="55">
        <f>(BC88*N88+BC96*N96)/(N88+N96)</f>
        <v>83.959238664593357</v>
      </c>
      <c r="BD97" s="55">
        <f>(BD88*N88+BD96*N96)/(N88+N96)</f>
        <v>0</v>
      </c>
      <c r="BE97" s="55">
        <f>(BE88*N88+BE96*N96)/(N88+N96)</f>
        <v>46.821950297592537</v>
      </c>
      <c r="BF97" s="55">
        <f>(BF88*N88+BF96*N96)/(N88+N96)</f>
        <v>15.902982079281985</v>
      </c>
      <c r="BG97" s="55">
        <f>(BG88*N88+BG96*N96)/(N88+N96)</f>
        <v>1.498451371638875</v>
      </c>
      <c r="BH97" s="55">
        <f>(BH88*N88+BH96*N96)/(N88+N96)</f>
        <v>29.420516846671674</v>
      </c>
      <c r="BI97" s="55">
        <f>(BI88*N88+BI96*N96)/(N88+N96)</f>
        <v>0</v>
      </c>
      <c r="BJ97" s="55">
        <f>(BJ88*N88+BJ96*N96)/(N88+N96)</f>
        <v>579.55134883134679</v>
      </c>
      <c r="BK97" s="55">
        <f>(BK88*N88+BK96*N96)/(N88+N96)</f>
        <v>878.17312314230708</v>
      </c>
      <c r="BL97" s="55">
        <f>(BL88*N88+BL96*N96)/(N88+N96)</f>
        <v>1.7747406690307557</v>
      </c>
      <c r="BM97" s="55">
        <f>(BM88*N88+BM96*N96)/(N88+N96)</f>
        <v>0.59239804443575761</v>
      </c>
    </row>
    <row r="98" spans="1:65" s="60" customFormat="1" x14ac:dyDescent="0.35">
      <c r="A98" s="15" t="s">
        <v>10616</v>
      </c>
      <c r="B98" s="15" t="s">
        <v>10320</v>
      </c>
      <c r="C98" s="15" t="s">
        <v>10566</v>
      </c>
      <c r="D98" s="15" t="s">
        <v>10321</v>
      </c>
      <c r="E98" s="15" t="s">
        <v>10704</v>
      </c>
      <c r="F98" s="15">
        <v>92598</v>
      </c>
      <c r="G98" s="15">
        <v>0.8971289950639485</v>
      </c>
      <c r="H98" s="15">
        <v>200</v>
      </c>
      <c r="I98" s="78">
        <v>139.21248707485788</v>
      </c>
      <c r="J98" s="79">
        <v>3.5570818579517427</v>
      </c>
      <c r="K98" s="15">
        <v>30</v>
      </c>
      <c r="L98" s="15">
        <v>96.109122682819716</v>
      </c>
      <c r="M98" s="15">
        <v>17.200025506031015</v>
      </c>
      <c r="N98" s="15">
        <v>32.481405643347827</v>
      </c>
      <c r="O98" s="15">
        <v>6.0543553641889938</v>
      </c>
      <c r="P98" s="15">
        <v>12.576516052804898</v>
      </c>
      <c r="Q98" s="15">
        <v>13.850534226353929</v>
      </c>
      <c r="R98" s="15">
        <v>2.5903921000569889</v>
      </c>
      <c r="S98" s="15">
        <v>5.4281057430338375</v>
      </c>
      <c r="T98" s="15">
        <v>5.8320363832631026</v>
      </c>
      <c r="U98" s="15">
        <v>0</v>
      </c>
      <c r="V98" s="15">
        <v>3944.3989831433296</v>
      </c>
      <c r="W98" s="15">
        <v>0</v>
      </c>
      <c r="X98" s="15">
        <v>0</v>
      </c>
      <c r="Y98" s="15">
        <v>300.20101355741713</v>
      </c>
      <c r="Z98" s="15">
        <v>0</v>
      </c>
      <c r="AA98" s="15">
        <v>0</v>
      </c>
      <c r="AB98" s="15">
        <v>0</v>
      </c>
      <c r="AC98" s="15">
        <v>300.20101355741713</v>
      </c>
      <c r="AD98" s="15">
        <v>160.98852648255925</v>
      </c>
      <c r="AE98" s="15">
        <v>10.497023283962301</v>
      </c>
      <c r="AF98" s="15">
        <v>0</v>
      </c>
      <c r="AG98" s="15">
        <v>0</v>
      </c>
      <c r="AH98" s="15">
        <v>29.673269398596958</v>
      </c>
      <c r="AI98" s="15">
        <v>101.46076875</v>
      </c>
      <c r="AJ98" s="15">
        <v>0</v>
      </c>
      <c r="AK98" s="15">
        <v>0</v>
      </c>
      <c r="AL98" s="15">
        <v>0</v>
      </c>
      <c r="AM98" s="15">
        <v>19.357465049999998</v>
      </c>
      <c r="AN98" s="15">
        <v>0.53626909707874193</v>
      </c>
      <c r="AO98" s="15">
        <v>139.21248707485788</v>
      </c>
      <c r="AP98" s="15">
        <v>40.170292682559257</v>
      </c>
      <c r="AQ98" s="15">
        <v>10.497023283962301</v>
      </c>
      <c r="AR98" s="15">
        <v>0</v>
      </c>
      <c r="AS98" s="15">
        <v>0</v>
      </c>
      <c r="AT98" s="15">
        <v>29.673269398596958</v>
      </c>
      <c r="AU98" s="15">
        <v>394.23240656661699</v>
      </c>
      <c r="AV98" s="15">
        <v>102.16486565518753</v>
      </c>
      <c r="AW98" s="15">
        <v>102.16486565518753</v>
      </c>
      <c r="AX98" s="15">
        <v>0</v>
      </c>
      <c r="AY98" s="15">
        <v>0</v>
      </c>
      <c r="AZ98" s="15">
        <v>242.18937685342206</v>
      </c>
      <c r="BA98" s="15">
        <v>76.930878417473053</v>
      </c>
      <c r="BB98" s="15">
        <v>68.857707681645422</v>
      </c>
      <c r="BC98" s="15">
        <v>96.400790754303586</v>
      </c>
      <c r="BD98" s="15">
        <v>0</v>
      </c>
      <c r="BE98" s="15">
        <v>49.878164058007435</v>
      </c>
      <c r="BF98" s="15">
        <v>16.984492192484954</v>
      </c>
      <c r="BG98" s="15">
        <v>1.4723613094253216</v>
      </c>
      <c r="BH98" s="15">
        <v>31.421310556097161</v>
      </c>
      <c r="BI98" s="15">
        <v>0</v>
      </c>
      <c r="BJ98" s="15">
        <v>434.40269924917624</v>
      </c>
      <c r="BK98" s="59">
        <v>595.39122573173552</v>
      </c>
      <c r="BL98" s="59">
        <v>1.6495287817527877</v>
      </c>
      <c r="BM98" s="59">
        <v>3.5570818579517427</v>
      </c>
    </row>
    <row r="99" spans="1:65" x14ac:dyDescent="0.35">
      <c r="A99" s="15" t="s">
        <v>10616</v>
      </c>
      <c r="B99" s="15" t="s">
        <v>10320</v>
      </c>
      <c r="C99" s="15" t="s">
        <v>10566</v>
      </c>
      <c r="D99" s="15" t="s">
        <v>10322</v>
      </c>
      <c r="E99" s="15" t="s">
        <v>10705</v>
      </c>
      <c r="F99" s="15">
        <v>92598</v>
      </c>
      <c r="G99" s="15">
        <v>0.8971289950639485</v>
      </c>
      <c r="H99" s="15">
        <v>200</v>
      </c>
      <c r="I99" s="78">
        <v>99.940899230138086</v>
      </c>
      <c r="J99" s="79">
        <v>4.9360253179950906</v>
      </c>
      <c r="K99" s="15">
        <v>30</v>
      </c>
      <c r="L99" s="15">
        <v>96.109122682819716</v>
      </c>
      <c r="M99" s="15">
        <v>17.200025506031015</v>
      </c>
      <c r="N99" s="15">
        <v>32.481405643347827</v>
      </c>
      <c r="O99" s="15">
        <v>6.0543553641889938</v>
      </c>
      <c r="P99" s="15">
        <v>12.576516052804898</v>
      </c>
      <c r="Q99" s="15">
        <v>13.850534226353929</v>
      </c>
      <c r="R99" s="15">
        <v>2.5903921000569889</v>
      </c>
      <c r="S99" s="15">
        <v>5.4281057430338375</v>
      </c>
      <c r="T99" s="15">
        <v>5.8320363832631026</v>
      </c>
      <c r="U99" s="15">
        <v>0</v>
      </c>
      <c r="V99" s="15">
        <v>0</v>
      </c>
      <c r="W99" s="15">
        <v>986.0997457858324</v>
      </c>
      <c r="X99" s="15">
        <v>0</v>
      </c>
      <c r="Y99" s="15">
        <v>300.20101355741713</v>
      </c>
      <c r="Z99" s="15">
        <v>0</v>
      </c>
      <c r="AA99" s="15">
        <v>0</v>
      </c>
      <c r="AB99" s="15">
        <v>0</v>
      </c>
      <c r="AC99" s="15">
        <v>300.20101355741713</v>
      </c>
      <c r="AD99" s="15">
        <v>200.26011432727904</v>
      </c>
      <c r="AE99" s="15">
        <v>-11.92783740543396</v>
      </c>
      <c r="AF99" s="15">
        <v>18.670821329064751</v>
      </c>
      <c r="AG99" s="15">
        <v>40.309403027849527</v>
      </c>
      <c r="AH99" s="15">
        <v>0</v>
      </c>
      <c r="AI99" s="15">
        <v>101.46076875</v>
      </c>
      <c r="AJ99" s="15">
        <v>0</v>
      </c>
      <c r="AK99" s="15">
        <v>32.389493575798674</v>
      </c>
      <c r="AL99" s="15">
        <v>0</v>
      </c>
      <c r="AM99" s="15">
        <v>19.357465049999998</v>
      </c>
      <c r="AN99" s="15">
        <v>0.66708673616445613</v>
      </c>
      <c r="AO99" s="15">
        <v>99.940899230138086</v>
      </c>
      <c r="AP99" s="15">
        <v>0</v>
      </c>
      <c r="AQ99" s="15">
        <v>0</v>
      </c>
      <c r="AR99" s="15">
        <v>0</v>
      </c>
      <c r="AS99" s="15">
        <v>0</v>
      </c>
      <c r="AT99" s="15">
        <v>0</v>
      </c>
      <c r="AU99" s="15">
        <v>393.25170813329572</v>
      </c>
      <c r="AV99" s="15">
        <v>102.16486565518753</v>
      </c>
      <c r="AW99" s="15">
        <v>102.16486565518753</v>
      </c>
      <c r="AX99" s="15">
        <v>0</v>
      </c>
      <c r="AY99" s="15">
        <v>0</v>
      </c>
      <c r="AZ99" s="15">
        <v>242.18937685342206</v>
      </c>
      <c r="BA99" s="15">
        <v>76.930878417473053</v>
      </c>
      <c r="BB99" s="15">
        <v>68.857707681645422</v>
      </c>
      <c r="BC99" s="15">
        <v>96.400790754303586</v>
      </c>
      <c r="BD99" s="15">
        <v>0</v>
      </c>
      <c r="BE99" s="15">
        <v>48.897465624686177</v>
      </c>
      <c r="BF99" s="15">
        <v>16.640387479038896</v>
      </c>
      <c r="BG99" s="15">
        <v>1.4723613094253216</v>
      </c>
      <c r="BH99" s="15">
        <v>30.784716836221957</v>
      </c>
      <c r="BI99" s="15">
        <v>0</v>
      </c>
      <c r="BJ99" s="15">
        <v>393.25170813329572</v>
      </c>
      <c r="BK99" s="15">
        <v>593.51182246057476</v>
      </c>
      <c r="BL99" s="15">
        <v>1.6432682989886238</v>
      </c>
      <c r="BM99" s="15">
        <v>4.9360253179950906</v>
      </c>
    </row>
    <row r="100" spans="1:65" x14ac:dyDescent="0.35">
      <c r="A100" s="15" t="s">
        <v>10616</v>
      </c>
      <c r="B100" s="15" t="s">
        <v>10320</v>
      </c>
      <c r="C100" s="15" t="s">
        <v>10566</v>
      </c>
      <c r="D100" s="15" t="s">
        <v>10323</v>
      </c>
      <c r="E100" s="15" t="s">
        <v>10706</v>
      </c>
      <c r="F100" s="15">
        <v>92598</v>
      </c>
      <c r="G100" s="15">
        <v>0.8971289950639485</v>
      </c>
      <c r="H100" s="15">
        <v>200</v>
      </c>
      <c r="I100" s="78">
        <v>114.71039907433308</v>
      </c>
      <c r="J100" s="79">
        <v>4.2450030246541015</v>
      </c>
      <c r="K100" s="15">
        <v>30</v>
      </c>
      <c r="L100" s="15">
        <v>96.109122682819716</v>
      </c>
      <c r="M100" s="15">
        <v>17.200025506031015</v>
      </c>
      <c r="N100" s="15">
        <v>32.481405643347827</v>
      </c>
      <c r="O100" s="15">
        <v>6.0543553641889938</v>
      </c>
      <c r="P100" s="15">
        <v>12.576516052804898</v>
      </c>
      <c r="Q100" s="15">
        <v>13.850534226353929</v>
      </c>
      <c r="R100" s="15">
        <v>2.5903921000569889</v>
      </c>
      <c r="S100" s="15">
        <v>5.4281057430338375</v>
      </c>
      <c r="T100" s="15">
        <v>5.8320363832631026</v>
      </c>
      <c r="U100" s="15">
        <v>0</v>
      </c>
      <c r="V100" s="15">
        <v>0</v>
      </c>
      <c r="W100" s="15">
        <v>0</v>
      </c>
      <c r="X100" s="15">
        <v>986099.74578583241</v>
      </c>
      <c r="Y100" s="15">
        <v>300.20101355741713</v>
      </c>
      <c r="Z100" s="15">
        <v>0</v>
      </c>
      <c r="AA100" s="15">
        <v>0</v>
      </c>
      <c r="AB100" s="15">
        <v>0</v>
      </c>
      <c r="AC100" s="15">
        <v>300.20101355741713</v>
      </c>
      <c r="AD100" s="15">
        <v>185.49061448308404</v>
      </c>
      <c r="AE100" s="15">
        <v>-11.92783740543396</v>
      </c>
      <c r="AF100" s="15">
        <v>0</v>
      </c>
      <c r="AG100" s="15">
        <v>0</v>
      </c>
      <c r="AH100" s="15">
        <v>0</v>
      </c>
      <c r="AI100" s="15">
        <v>101.46076875</v>
      </c>
      <c r="AJ100" s="15">
        <v>0</v>
      </c>
      <c r="AK100" s="15">
        <v>76.600218088517991</v>
      </c>
      <c r="AL100" s="15">
        <v>0</v>
      </c>
      <c r="AM100" s="15">
        <v>19.357465049999998</v>
      </c>
      <c r="AN100" s="15">
        <v>0.61788803537002945</v>
      </c>
      <c r="AO100" s="15">
        <v>114.71039907433308</v>
      </c>
      <c r="AP100" s="15">
        <v>0</v>
      </c>
      <c r="AQ100" s="15">
        <v>0</v>
      </c>
      <c r="AR100" s="15">
        <v>0</v>
      </c>
      <c r="AS100" s="15">
        <v>0</v>
      </c>
      <c r="AT100" s="15">
        <v>0</v>
      </c>
      <c r="AU100" s="15">
        <v>401.656390104156</v>
      </c>
      <c r="AV100" s="15">
        <v>102.16486565518753</v>
      </c>
      <c r="AW100" s="15">
        <v>102.16486565518753</v>
      </c>
      <c r="AX100" s="15">
        <v>0</v>
      </c>
      <c r="AY100" s="15">
        <v>0</v>
      </c>
      <c r="AZ100" s="15">
        <v>242.18937685342206</v>
      </c>
      <c r="BA100" s="15">
        <v>76.930878417473053</v>
      </c>
      <c r="BB100" s="15">
        <v>68.857707681645422</v>
      </c>
      <c r="BC100" s="15">
        <v>96.400790754303586</v>
      </c>
      <c r="BD100" s="15">
        <v>0</v>
      </c>
      <c r="BE100" s="15">
        <v>57.302147595546458</v>
      </c>
      <c r="BF100" s="15">
        <v>19.589398696884611</v>
      </c>
      <c r="BG100" s="15">
        <v>1.4723613094253216</v>
      </c>
      <c r="BH100" s="15">
        <v>36.240387589236526</v>
      </c>
      <c r="BI100" s="15">
        <v>0</v>
      </c>
      <c r="BJ100" s="15">
        <v>401.656390104156</v>
      </c>
      <c r="BK100" s="15">
        <v>587.14700458724008</v>
      </c>
      <c r="BL100" s="15">
        <v>1.6220664456107459</v>
      </c>
      <c r="BM100" s="15">
        <v>4.2450030246541015</v>
      </c>
    </row>
    <row r="101" spans="1:65" x14ac:dyDescent="0.35">
      <c r="A101" s="15" t="s">
        <v>10616</v>
      </c>
      <c r="B101" s="15" t="s">
        <v>10320</v>
      </c>
      <c r="C101" s="15" t="s">
        <v>10566</v>
      </c>
      <c r="D101" s="15" t="s">
        <v>10324</v>
      </c>
      <c r="E101" s="15" t="s">
        <v>10707</v>
      </c>
      <c r="F101" s="15">
        <v>92598</v>
      </c>
      <c r="G101" s="15">
        <v>0.8971289950639485</v>
      </c>
      <c r="H101" s="15">
        <v>200</v>
      </c>
      <c r="I101" s="78">
        <v>159.78163446045329</v>
      </c>
      <c r="J101" s="79">
        <v>2.7216244357683235</v>
      </c>
      <c r="K101" s="15">
        <v>30</v>
      </c>
      <c r="L101" s="15">
        <v>97.128584721095393</v>
      </c>
      <c r="M101" s="15">
        <v>17.30122971250341</v>
      </c>
      <c r="N101" s="15">
        <v>32.481405643347827</v>
      </c>
      <c r="O101" s="15">
        <v>4.5642871210032361</v>
      </c>
      <c r="P101" s="15">
        <v>13.108683282514098</v>
      </c>
      <c r="Q101" s="15">
        <v>14.808435239830491</v>
      </c>
      <c r="R101" s="15">
        <v>2.5903921000569889</v>
      </c>
      <c r="S101" s="15">
        <v>6.3860067565103975</v>
      </c>
      <c r="T101" s="15">
        <v>5.8320363832631026</v>
      </c>
      <c r="U101" s="15">
        <v>0</v>
      </c>
      <c r="V101" s="15">
        <v>0</v>
      </c>
      <c r="W101" s="15">
        <v>0</v>
      </c>
      <c r="X101" s="15">
        <v>0</v>
      </c>
      <c r="Y101" s="15">
        <v>267.60417534542665</v>
      </c>
      <c r="Z101" s="15">
        <v>0</v>
      </c>
      <c r="AA101" s="15">
        <v>0</v>
      </c>
      <c r="AB101" s="15">
        <v>0</v>
      </c>
      <c r="AC101" s="15">
        <v>267.60417534542665</v>
      </c>
      <c r="AD101" s="15">
        <v>107.82254088497336</v>
      </c>
      <c r="AE101" s="15">
        <v>-12.995692915026606</v>
      </c>
      <c r="AF101" s="15">
        <v>0</v>
      </c>
      <c r="AG101" s="15">
        <v>0</v>
      </c>
      <c r="AH101" s="15">
        <v>0</v>
      </c>
      <c r="AI101" s="15">
        <v>101.46076875</v>
      </c>
      <c r="AJ101" s="15">
        <v>0</v>
      </c>
      <c r="AK101" s="15">
        <v>0</v>
      </c>
      <c r="AL101" s="15">
        <v>0</v>
      </c>
      <c r="AM101" s="15">
        <v>19.357465049999998</v>
      </c>
      <c r="AN101" s="15">
        <v>0.40291800658862942</v>
      </c>
      <c r="AO101" s="15">
        <v>159.78163446045329</v>
      </c>
      <c r="AP101" s="15">
        <v>0</v>
      </c>
      <c r="AQ101" s="15">
        <v>0</v>
      </c>
      <c r="AR101" s="15">
        <v>0</v>
      </c>
      <c r="AS101" s="15">
        <v>0</v>
      </c>
      <c r="AT101" s="15">
        <v>0</v>
      </c>
      <c r="AU101" s="15">
        <v>394.64723519502508</v>
      </c>
      <c r="AV101" s="15">
        <v>98.638563568149934</v>
      </c>
      <c r="AW101" s="15">
        <v>98.638563568149934</v>
      </c>
      <c r="AX101" s="15">
        <v>0</v>
      </c>
      <c r="AY101" s="15">
        <v>0</v>
      </c>
      <c r="AZ101" s="15">
        <v>243.29074499249973</v>
      </c>
      <c r="BA101" s="15">
        <v>76.930878417473053</v>
      </c>
      <c r="BB101" s="15">
        <v>69.316611072927785</v>
      </c>
      <c r="BC101" s="15">
        <v>97.043255502098901</v>
      </c>
      <c r="BD101" s="15">
        <v>0</v>
      </c>
      <c r="BE101" s="15">
        <v>52.717926634375452</v>
      </c>
      <c r="BF101" s="15">
        <v>17.98090011401759</v>
      </c>
      <c r="BG101" s="15">
        <v>1.4723613094253216</v>
      </c>
      <c r="BH101" s="15">
        <v>33.264665210932542</v>
      </c>
      <c r="BI101" s="15">
        <v>0</v>
      </c>
      <c r="BJ101" s="15">
        <v>394.64723519502508</v>
      </c>
      <c r="BK101" s="15">
        <v>502.46977607999844</v>
      </c>
      <c r="BL101" s="15">
        <v>1.6250329434256474</v>
      </c>
      <c r="BM101" s="15">
        <v>2.7216244357683235</v>
      </c>
    </row>
    <row r="102" spans="1:65" x14ac:dyDescent="0.35">
      <c r="A102" s="15" t="s">
        <v>10616</v>
      </c>
      <c r="B102" s="15" t="s">
        <v>10320</v>
      </c>
      <c r="C102" s="15" t="s">
        <v>10566</v>
      </c>
      <c r="D102" s="15" t="s">
        <v>10325</v>
      </c>
      <c r="E102" s="15" t="s">
        <v>10708</v>
      </c>
      <c r="F102" s="15">
        <v>92598</v>
      </c>
      <c r="G102" s="15">
        <v>0.8971289950639485</v>
      </c>
      <c r="H102" s="15">
        <v>200</v>
      </c>
      <c r="I102" s="78">
        <v>204.45845438205828</v>
      </c>
      <c r="J102" s="79">
        <v>1.9641065959009643</v>
      </c>
      <c r="K102" s="15">
        <v>30</v>
      </c>
      <c r="L102" s="15">
        <v>90.274464193952824</v>
      </c>
      <c r="M102" s="15">
        <v>16.500644948059996</v>
      </c>
      <c r="N102" s="15">
        <v>32.481405643347827</v>
      </c>
      <c r="O102" s="15">
        <v>7.2790018011601409</v>
      </c>
      <c r="P102" s="15">
        <v>11.362645322155936</v>
      </c>
      <c r="Q102" s="15">
        <v>13.839758520031745</v>
      </c>
      <c r="R102" s="15">
        <v>2.5903921000569889</v>
      </c>
      <c r="S102" s="15">
        <v>0</v>
      </c>
      <c r="T102" s="15">
        <v>11.249366419974757</v>
      </c>
      <c r="U102" s="15">
        <v>0</v>
      </c>
      <c r="V102" s="15">
        <v>0</v>
      </c>
      <c r="W102" s="15">
        <v>0</v>
      </c>
      <c r="X102" s="15">
        <v>0</v>
      </c>
      <c r="Y102" s="15">
        <v>331.05565178408585</v>
      </c>
      <c r="Z102" s="15">
        <v>0</v>
      </c>
      <c r="AA102" s="15">
        <v>0</v>
      </c>
      <c r="AB102" s="15">
        <v>0</v>
      </c>
      <c r="AC102" s="15">
        <v>331.05565178408585</v>
      </c>
      <c r="AD102" s="15">
        <v>126.59719740202758</v>
      </c>
      <c r="AE102" s="15">
        <v>-12.202024505472439</v>
      </c>
      <c r="AF102" s="15">
        <v>0</v>
      </c>
      <c r="AG102" s="15">
        <v>0</v>
      </c>
      <c r="AH102" s="15">
        <v>0</v>
      </c>
      <c r="AI102" s="15">
        <v>101.46076875</v>
      </c>
      <c r="AJ102" s="15">
        <v>0</v>
      </c>
      <c r="AK102" s="15">
        <v>0</v>
      </c>
      <c r="AL102" s="15">
        <v>0</v>
      </c>
      <c r="AM102" s="15">
        <v>37.338453157499984</v>
      </c>
      <c r="AN102" s="15">
        <v>0.38240457977317399</v>
      </c>
      <c r="AO102" s="15">
        <v>204.45845438205828</v>
      </c>
      <c r="AP102" s="15">
        <v>0</v>
      </c>
      <c r="AQ102" s="15">
        <v>0</v>
      </c>
      <c r="AR102" s="15">
        <v>0</v>
      </c>
      <c r="AS102" s="15">
        <v>0</v>
      </c>
      <c r="AT102" s="15">
        <v>0</v>
      </c>
      <c r="AU102" s="15">
        <v>406.03665322157542</v>
      </c>
      <c r="AV102" s="15">
        <v>110.49395554047955</v>
      </c>
      <c r="AW102" s="15">
        <v>110.49395554047955</v>
      </c>
      <c r="AX102" s="15">
        <v>0</v>
      </c>
      <c r="AY102" s="15">
        <v>0</v>
      </c>
      <c r="AZ102" s="15">
        <v>233.5834629064079</v>
      </c>
      <c r="BA102" s="15">
        <v>76.930878417473053</v>
      </c>
      <c r="BB102" s="15">
        <v>65.271910203722854</v>
      </c>
      <c r="BC102" s="15">
        <v>91.380674285211995</v>
      </c>
      <c r="BD102" s="15">
        <v>0</v>
      </c>
      <c r="BE102" s="15">
        <v>61.959234774687985</v>
      </c>
      <c r="BF102" s="15">
        <v>21.223464373776373</v>
      </c>
      <c r="BG102" s="15">
        <v>1.4723613094253216</v>
      </c>
      <c r="BH102" s="15">
        <v>39.263409091486288</v>
      </c>
      <c r="BI102" s="15">
        <v>0</v>
      </c>
      <c r="BJ102" s="15">
        <v>406.03665322157542</v>
      </c>
      <c r="BK102" s="15">
        <v>532.63385062360294</v>
      </c>
      <c r="BL102" s="15">
        <v>1.2130232384657367</v>
      </c>
      <c r="BM102" s="15">
        <v>1.9641065959009643</v>
      </c>
    </row>
    <row r="103" spans="1:65" x14ac:dyDescent="0.35">
      <c r="A103" s="15" t="s">
        <v>10616</v>
      </c>
      <c r="B103" s="15" t="s">
        <v>10320</v>
      </c>
      <c r="C103" s="15" t="s">
        <v>10566</v>
      </c>
      <c r="D103" s="15" t="s">
        <v>10326</v>
      </c>
      <c r="E103" s="15" t="s">
        <v>10709</v>
      </c>
      <c r="F103" s="15">
        <v>92598</v>
      </c>
      <c r="G103" s="15">
        <v>0.8971289950639485</v>
      </c>
      <c r="H103" s="15">
        <v>200</v>
      </c>
      <c r="I103" s="78">
        <v>171.14540821851335</v>
      </c>
      <c r="J103" s="79">
        <v>4.6734893169038827</v>
      </c>
      <c r="K103" s="15">
        <v>30</v>
      </c>
      <c r="L103" s="15">
        <v>87.873518644292162</v>
      </c>
      <c r="M103" s="15">
        <v>16.11905099614383</v>
      </c>
      <c r="N103" s="15">
        <v>32.481405643347827</v>
      </c>
      <c r="O103" s="15">
        <v>23.737403245472567</v>
      </c>
      <c r="P103" s="15">
        <v>5.9782027086581673</v>
      </c>
      <c r="Q103" s="15">
        <v>2.7657996892170917</v>
      </c>
      <c r="R103" s="15">
        <v>2.7657996892170917</v>
      </c>
      <c r="S103" s="15">
        <v>0</v>
      </c>
      <c r="T103" s="15">
        <v>0</v>
      </c>
      <c r="U103" s="15">
        <v>20595.449596864855</v>
      </c>
      <c r="V103" s="15">
        <v>0</v>
      </c>
      <c r="W103" s="15">
        <v>0</v>
      </c>
      <c r="X103" s="15">
        <v>0</v>
      </c>
      <c r="Y103" s="15">
        <v>617.15719969755605</v>
      </c>
      <c r="Z103" s="15">
        <v>0</v>
      </c>
      <c r="AA103" s="15">
        <v>0</v>
      </c>
      <c r="AB103" s="15">
        <v>0</v>
      </c>
      <c r="AC103" s="15">
        <v>617.15719969755605</v>
      </c>
      <c r="AD103" s="15">
        <v>446.0117914790427</v>
      </c>
      <c r="AE103" s="15">
        <v>9.9082009289014987</v>
      </c>
      <c r="AF103" s="15">
        <v>0</v>
      </c>
      <c r="AG103" s="15">
        <v>0</v>
      </c>
      <c r="AH103" s="15">
        <v>313.10323232069874</v>
      </c>
      <c r="AI103" s="15">
        <v>123.00035822944251</v>
      </c>
      <c r="AJ103" s="15">
        <v>0</v>
      </c>
      <c r="AK103" s="15">
        <v>0</v>
      </c>
      <c r="AL103" s="15">
        <v>0</v>
      </c>
      <c r="AM103" s="15">
        <v>0</v>
      </c>
      <c r="AN103" s="15">
        <v>0.72268749630987883</v>
      </c>
      <c r="AO103" s="15">
        <v>171.14540821851335</v>
      </c>
      <c r="AP103" s="15">
        <v>323.01143324960026</v>
      </c>
      <c r="AQ103" s="15">
        <v>9.9082009289014987</v>
      </c>
      <c r="AR103" s="15">
        <v>0</v>
      </c>
      <c r="AS103" s="15">
        <v>0</v>
      </c>
      <c r="AT103" s="15">
        <v>313.10323232069874</v>
      </c>
      <c r="AU103" s="15">
        <v>447.98021191528915</v>
      </c>
      <c r="AV103" s="15">
        <v>153.72109783127524</v>
      </c>
      <c r="AW103" s="15">
        <v>153.72109783127524</v>
      </c>
      <c r="AX103" s="15">
        <v>0</v>
      </c>
      <c r="AY103" s="15">
        <v>0</v>
      </c>
      <c r="AZ103" s="15">
        <v>237.92294199360472</v>
      </c>
      <c r="BA103" s="15">
        <v>82.718698010625403</v>
      </c>
      <c r="BB103" s="15">
        <v>64.668434992908047</v>
      </c>
      <c r="BC103" s="15">
        <v>90.535808990071274</v>
      </c>
      <c r="BD103" s="15">
        <v>0</v>
      </c>
      <c r="BE103" s="15">
        <v>56.336172090409164</v>
      </c>
      <c r="BF103" s="15">
        <v>19.211592671624299</v>
      </c>
      <c r="BG103" s="15">
        <v>1.583132976279912</v>
      </c>
      <c r="BH103" s="15">
        <v>35.541446442504949</v>
      </c>
      <c r="BI103" s="15">
        <v>0</v>
      </c>
      <c r="BJ103" s="15">
        <v>770.99164516488941</v>
      </c>
      <c r="BK103" s="15">
        <v>1217.0034366439322</v>
      </c>
      <c r="BL103" s="15">
        <v>1.2960170234396498</v>
      </c>
      <c r="BM103" s="15">
        <v>4.6734893169038827</v>
      </c>
    </row>
    <row r="104" spans="1:65" x14ac:dyDescent="0.35">
      <c r="A104" s="15" t="s">
        <v>10616</v>
      </c>
      <c r="B104" s="15" t="s">
        <v>10320</v>
      </c>
      <c r="C104" s="15" t="s">
        <v>10566</v>
      </c>
      <c r="D104" s="15" t="s">
        <v>10327</v>
      </c>
      <c r="E104" s="15" t="s">
        <v>10710</v>
      </c>
      <c r="F104" s="15">
        <v>92598</v>
      </c>
      <c r="G104" s="15">
        <v>0.8971289950639485</v>
      </c>
      <c r="H104" s="15">
        <v>200</v>
      </c>
      <c r="I104" s="80">
        <v>1140.9321894983559</v>
      </c>
      <c r="J104" s="81">
        <v>6.2578314416739125E-2</v>
      </c>
      <c r="K104" s="15">
        <v>30</v>
      </c>
      <c r="L104" s="15">
        <v>103.04297857849286</v>
      </c>
      <c r="M104" s="15">
        <v>25.019031738724884</v>
      </c>
      <c r="N104" s="15">
        <v>32.481405643347827</v>
      </c>
      <c r="O104" s="15">
        <v>23.737403245472567</v>
      </c>
      <c r="P104" s="15">
        <v>5.9782027086581673</v>
      </c>
      <c r="Q104" s="15">
        <v>2.7657996892170917</v>
      </c>
      <c r="R104" s="15">
        <v>2.7657996892170917</v>
      </c>
      <c r="S104" s="15">
        <v>0</v>
      </c>
      <c r="T104" s="15">
        <v>0</v>
      </c>
      <c r="U104" s="15">
        <v>20595.449596864855</v>
      </c>
      <c r="V104" s="15">
        <v>0</v>
      </c>
      <c r="W104" s="15">
        <v>0</v>
      </c>
      <c r="X104" s="15">
        <v>0</v>
      </c>
      <c r="Y104" s="15">
        <v>1515.8544825795286</v>
      </c>
      <c r="Z104" s="15">
        <v>0</v>
      </c>
      <c r="AA104" s="15">
        <v>0</v>
      </c>
      <c r="AB104" s="15">
        <v>0</v>
      </c>
      <c r="AC104" s="15">
        <v>1515.8544825795286</v>
      </c>
      <c r="AD104" s="15">
        <v>374.92229308117271</v>
      </c>
      <c r="AE104" s="15">
        <v>24.179076802800626</v>
      </c>
      <c r="AF104" s="15">
        <v>0</v>
      </c>
      <c r="AG104" s="15">
        <v>0</v>
      </c>
      <c r="AH104" s="15">
        <v>227.74285804892958</v>
      </c>
      <c r="AI104" s="15">
        <v>123.00035822944251</v>
      </c>
      <c r="AJ104" s="15">
        <v>0</v>
      </c>
      <c r="AK104" s="15">
        <v>0</v>
      </c>
      <c r="AL104" s="15">
        <v>0</v>
      </c>
      <c r="AM104" s="15">
        <v>0</v>
      </c>
      <c r="AN104" s="15">
        <v>0.24733396073953462</v>
      </c>
      <c r="AO104" s="15">
        <v>1140.9321894983559</v>
      </c>
      <c r="AP104" s="15">
        <v>251.92193485173021</v>
      </c>
      <c r="AQ104" s="15">
        <v>24.179076802800626</v>
      </c>
      <c r="AR104" s="15">
        <v>0</v>
      </c>
      <c r="AS104" s="15">
        <v>0</v>
      </c>
      <c r="AT104" s="15">
        <v>227.74285804892958</v>
      </c>
      <c r="AU104" s="15">
        <v>760.40786792923234</v>
      </c>
      <c r="AV104" s="15">
        <v>153.72109783127524</v>
      </c>
      <c r="AW104" s="15">
        <v>153.72109783127524</v>
      </c>
      <c r="AX104" s="15">
        <v>0</v>
      </c>
      <c r="AY104" s="15">
        <v>0</v>
      </c>
      <c r="AZ104" s="15">
        <v>412.15598167517032</v>
      </c>
      <c r="BA104" s="15">
        <v>82.718698010625403</v>
      </c>
      <c r="BB104" s="15">
        <v>137.26553486022706</v>
      </c>
      <c r="BC104" s="15">
        <v>192.17174880431787</v>
      </c>
      <c r="BD104" s="15">
        <v>0</v>
      </c>
      <c r="BE104" s="15">
        <v>194.53078842278674</v>
      </c>
      <c r="BF104" s="15">
        <v>67.700931735616436</v>
      </c>
      <c r="BG104" s="15">
        <v>1.583132976279912</v>
      </c>
      <c r="BH104" s="15">
        <v>125.24672371089039</v>
      </c>
      <c r="BI104" s="15">
        <v>0</v>
      </c>
      <c r="BJ104" s="15">
        <v>1012.3298027809626</v>
      </c>
      <c r="BK104" s="15">
        <v>1387.2520958621353</v>
      </c>
      <c r="BL104" s="15">
        <v>4.7100572055643115E-2</v>
      </c>
      <c r="BM104" s="15">
        <v>6.2578314416739125E-2</v>
      </c>
    </row>
    <row r="105" spans="1:65" s="60" customFormat="1" x14ac:dyDescent="0.35">
      <c r="A105" s="59" t="s">
        <v>10616</v>
      </c>
      <c r="B105" s="59" t="s">
        <v>10320</v>
      </c>
      <c r="C105" s="59" t="s">
        <v>10692</v>
      </c>
      <c r="D105" s="59" t="s">
        <v>10322</v>
      </c>
      <c r="E105" s="59" t="s">
        <v>10711</v>
      </c>
      <c r="F105" s="59">
        <v>92598</v>
      </c>
      <c r="G105" s="59">
        <v>0.8971289950639485</v>
      </c>
      <c r="H105" s="59">
        <v>200</v>
      </c>
      <c r="I105" s="59">
        <v>99.940899230138086</v>
      </c>
      <c r="J105" s="88">
        <v>4.9360253179950906</v>
      </c>
      <c r="K105" s="59">
        <v>30</v>
      </c>
      <c r="L105" s="59">
        <v>96.109122682819716</v>
      </c>
      <c r="M105" s="59">
        <v>17.200025506031015</v>
      </c>
      <c r="N105" s="59">
        <v>32.481405643347827</v>
      </c>
      <c r="O105" s="59">
        <v>6.0543553641889938</v>
      </c>
      <c r="P105" s="59">
        <v>12.576516052804898</v>
      </c>
      <c r="Q105" s="59">
        <v>13.850534226353929</v>
      </c>
      <c r="R105" s="59">
        <v>2.5903921000569889</v>
      </c>
      <c r="S105" s="59">
        <v>5.4281057430338375</v>
      </c>
      <c r="T105" s="59">
        <v>5.8320363832631026</v>
      </c>
      <c r="U105" s="59">
        <v>0</v>
      </c>
      <c r="V105" s="59">
        <v>0</v>
      </c>
      <c r="W105" s="59">
        <v>986.0997457858324</v>
      </c>
      <c r="X105" s="59">
        <v>0</v>
      </c>
      <c r="Y105" s="59">
        <v>300.20101355741713</v>
      </c>
      <c r="Z105" s="59">
        <v>0</v>
      </c>
      <c r="AA105" s="59">
        <v>0</v>
      </c>
      <c r="AB105" s="59">
        <v>0</v>
      </c>
      <c r="AC105" s="59">
        <v>300.20101355741713</v>
      </c>
      <c r="AD105" s="59">
        <v>200.26011432727904</v>
      </c>
      <c r="AE105" s="59">
        <v>-11.92783740543396</v>
      </c>
      <c r="AF105" s="59">
        <v>18.670821329064751</v>
      </c>
      <c r="AG105" s="59">
        <v>40.309403027849527</v>
      </c>
      <c r="AH105" s="59">
        <v>0</v>
      </c>
      <c r="AI105" s="59">
        <v>101.46076875</v>
      </c>
      <c r="AJ105" s="59">
        <v>0</v>
      </c>
      <c r="AK105" s="59">
        <v>32.389493575798674</v>
      </c>
      <c r="AL105" s="59">
        <v>0</v>
      </c>
      <c r="AM105" s="59">
        <v>19.357465049999998</v>
      </c>
      <c r="AN105" s="59">
        <v>0.66708673616445613</v>
      </c>
      <c r="AO105" s="59">
        <v>99.940899230138086</v>
      </c>
      <c r="AP105" s="59">
        <v>0</v>
      </c>
      <c r="AQ105" s="59">
        <v>0</v>
      </c>
      <c r="AR105" s="59">
        <v>0</v>
      </c>
      <c r="AS105" s="59">
        <v>0</v>
      </c>
      <c r="AT105" s="59">
        <v>0</v>
      </c>
      <c r="AU105" s="59">
        <v>393.25170813329572</v>
      </c>
      <c r="AV105" s="59">
        <v>102.16486565518753</v>
      </c>
      <c r="AW105" s="59">
        <v>102.16486565518753</v>
      </c>
      <c r="AX105" s="59">
        <v>0</v>
      </c>
      <c r="AY105" s="59">
        <v>0</v>
      </c>
      <c r="AZ105" s="59">
        <v>242.18937685342206</v>
      </c>
      <c r="BA105" s="59">
        <v>76.930878417473053</v>
      </c>
      <c r="BB105" s="59">
        <v>68.857707681645422</v>
      </c>
      <c r="BC105" s="59">
        <v>96.400790754303586</v>
      </c>
      <c r="BD105" s="59">
        <v>0</v>
      </c>
      <c r="BE105" s="59">
        <v>48.897465624686177</v>
      </c>
      <c r="BF105" s="59">
        <v>16.640387479038896</v>
      </c>
      <c r="BG105" s="59">
        <v>1.4723613094253216</v>
      </c>
      <c r="BH105" s="59">
        <v>30.784716836221957</v>
      </c>
      <c r="BI105" s="59">
        <v>0</v>
      </c>
      <c r="BJ105" s="59">
        <v>393.25170813329572</v>
      </c>
      <c r="BK105" s="59">
        <v>593.51182246057476</v>
      </c>
      <c r="BL105" s="59">
        <v>1.6432682989886238</v>
      </c>
      <c r="BM105" s="59">
        <v>4.9360253179950906</v>
      </c>
    </row>
    <row r="106" spans="1:65" s="60" customFormat="1" x14ac:dyDescent="0.35">
      <c r="A106" s="15" t="s">
        <v>10616</v>
      </c>
      <c r="B106" s="15" t="s">
        <v>10320</v>
      </c>
      <c r="C106" s="15" t="s">
        <v>10586</v>
      </c>
      <c r="D106" s="15" t="s">
        <v>10321</v>
      </c>
      <c r="E106" s="15" t="s">
        <v>10712</v>
      </c>
      <c r="F106" s="15">
        <v>28529</v>
      </c>
      <c r="G106" s="15">
        <v>0.89713125361024126</v>
      </c>
      <c r="H106" s="15">
        <v>200</v>
      </c>
      <c r="I106" s="78">
        <v>127.28051784729405</v>
      </c>
      <c r="J106" s="79">
        <v>3.980136840770875</v>
      </c>
      <c r="K106" s="15">
        <v>30</v>
      </c>
      <c r="L106" s="15">
        <v>40.618792625867485</v>
      </c>
      <c r="M106" s="15">
        <v>8.8590461290377807</v>
      </c>
      <c r="N106" s="15">
        <v>10.007390596941073</v>
      </c>
      <c r="O106" s="15">
        <v>1.6694278956864119</v>
      </c>
      <c r="P106" s="15">
        <v>3.8747740744678594</v>
      </c>
      <c r="Q106" s="15">
        <v>4.4631886267868</v>
      </c>
      <c r="R106" s="15">
        <v>0.99398407104117203</v>
      </c>
      <c r="S106" s="15">
        <v>1.6723775740648594</v>
      </c>
      <c r="T106" s="15">
        <v>1.7968269816807687</v>
      </c>
      <c r="U106" s="15">
        <v>0</v>
      </c>
      <c r="V106" s="15">
        <v>1215.2534815738975</v>
      </c>
      <c r="W106" s="15">
        <v>0</v>
      </c>
      <c r="X106" s="15">
        <v>0</v>
      </c>
      <c r="Y106" s="15">
        <v>288.89808559445322</v>
      </c>
      <c r="Z106" s="15">
        <v>0</v>
      </c>
      <c r="AA106" s="15">
        <v>0</v>
      </c>
      <c r="AB106" s="15">
        <v>0</v>
      </c>
      <c r="AC106" s="15">
        <v>288.89808559445322</v>
      </c>
      <c r="AD106" s="15">
        <v>161.61756774715917</v>
      </c>
      <c r="AE106" s="15">
        <v>0.54994788619329271</v>
      </c>
      <c r="AF106" s="15">
        <v>0</v>
      </c>
      <c r="AG106" s="15">
        <v>0</v>
      </c>
      <c r="AH106" s="15">
        <v>40.249386060965904</v>
      </c>
      <c r="AI106" s="15">
        <v>101.46076875</v>
      </c>
      <c r="AJ106" s="15">
        <v>-1.557757283945386E-15</v>
      </c>
      <c r="AK106" s="15">
        <v>0</v>
      </c>
      <c r="AL106" s="15">
        <v>0</v>
      </c>
      <c r="AM106" s="15">
        <v>19.357465049999981</v>
      </c>
      <c r="AN106" s="15">
        <v>0.55942761757872372</v>
      </c>
      <c r="AO106" s="15">
        <v>127.28051784729405</v>
      </c>
      <c r="AP106" s="15">
        <v>40.799333947159198</v>
      </c>
      <c r="AQ106" s="15">
        <v>0.54994788619329271</v>
      </c>
      <c r="AR106" s="15">
        <v>0</v>
      </c>
      <c r="AS106" s="15">
        <v>0</v>
      </c>
      <c r="AT106" s="15">
        <v>40.249386060965904</v>
      </c>
      <c r="AU106" s="15">
        <v>393.07506209654474</v>
      </c>
      <c r="AV106" s="15">
        <v>121.4611913802394</v>
      </c>
      <c r="AW106" s="15">
        <v>121.4611913802394</v>
      </c>
      <c r="AX106" s="15">
        <v>0</v>
      </c>
      <c r="AY106" s="15">
        <v>0</v>
      </c>
      <c r="AZ106" s="15">
        <v>190.93898219363803</v>
      </c>
      <c r="BA106" s="15">
        <v>76.930878417473096</v>
      </c>
      <c r="BB106" s="15">
        <v>47.503376573402058</v>
      </c>
      <c r="BC106" s="15">
        <v>66.504727202762879</v>
      </c>
      <c r="BD106" s="15">
        <v>0</v>
      </c>
      <c r="BE106" s="15">
        <v>80.674888522667345</v>
      </c>
      <c r="BF106" s="15">
        <v>27.790360425698953</v>
      </c>
      <c r="BG106" s="15">
        <v>1.4723613094253223</v>
      </c>
      <c r="BH106" s="15">
        <v>51.412166787543065</v>
      </c>
      <c r="BI106" s="15">
        <v>0</v>
      </c>
      <c r="BJ106" s="15">
        <v>433.87439604370394</v>
      </c>
      <c r="BK106" s="59">
        <v>595.49196379086311</v>
      </c>
      <c r="BL106" s="59">
        <v>1.7535383703011163</v>
      </c>
      <c r="BM106" s="59">
        <v>3.980136840770875</v>
      </c>
    </row>
    <row r="107" spans="1:65" s="56" customFormat="1" x14ac:dyDescent="0.35">
      <c r="A107" s="15" t="s">
        <v>10616</v>
      </c>
      <c r="B107" s="15" t="s">
        <v>10320</v>
      </c>
      <c r="C107" s="15" t="s">
        <v>10586</v>
      </c>
      <c r="D107" s="15" t="s">
        <v>10322</v>
      </c>
      <c r="E107" s="15" t="s">
        <v>10713</v>
      </c>
      <c r="F107" s="15">
        <v>28529</v>
      </c>
      <c r="G107" s="15">
        <v>0.89713125361024126</v>
      </c>
      <c r="H107" s="15">
        <v>200</v>
      </c>
      <c r="I107" s="78">
        <v>72.97460380341667</v>
      </c>
      <c r="J107" s="79">
        <v>6.8342129955917912</v>
      </c>
      <c r="K107" s="15">
        <v>30</v>
      </c>
      <c r="L107" s="15">
        <v>40.618792625867485</v>
      </c>
      <c r="M107" s="15">
        <v>8.8590461290377807</v>
      </c>
      <c r="N107" s="15">
        <v>10.007390596941073</v>
      </c>
      <c r="O107" s="15">
        <v>1.6694278956864119</v>
      </c>
      <c r="P107" s="15">
        <v>3.8747740744678594</v>
      </c>
      <c r="Q107" s="15">
        <v>4.4631886267868</v>
      </c>
      <c r="R107" s="15">
        <v>0.99398407104117203</v>
      </c>
      <c r="S107" s="15">
        <v>1.6723775740648594</v>
      </c>
      <c r="T107" s="15">
        <v>1.7968269816807687</v>
      </c>
      <c r="U107" s="15">
        <v>0</v>
      </c>
      <c r="V107" s="15">
        <v>0</v>
      </c>
      <c r="W107" s="15">
        <v>303.81337039347437</v>
      </c>
      <c r="X107" s="15">
        <v>0</v>
      </c>
      <c r="Y107" s="15">
        <v>288.89808559445322</v>
      </c>
      <c r="Z107" s="15">
        <v>0</v>
      </c>
      <c r="AA107" s="15">
        <v>0</v>
      </c>
      <c r="AB107" s="15">
        <v>0</v>
      </c>
      <c r="AC107" s="15">
        <v>288.89808559445322</v>
      </c>
      <c r="AD107" s="15">
        <v>215.92348179103655</v>
      </c>
      <c r="AE107" s="15">
        <v>-0.62490944247001956</v>
      </c>
      <c r="AF107" s="15">
        <v>60.60066461972572</v>
      </c>
      <c r="AG107" s="15">
        <v>130.83391302713667</v>
      </c>
      <c r="AH107" s="15">
        <v>0</v>
      </c>
      <c r="AI107" s="15">
        <v>101.46076875</v>
      </c>
      <c r="AJ107" s="15">
        <v>0</v>
      </c>
      <c r="AK107" s="15">
        <v>-95.704420213355775</v>
      </c>
      <c r="AL107" s="15">
        <v>0</v>
      </c>
      <c r="AM107" s="15">
        <v>19.357465049999981</v>
      </c>
      <c r="AN107" s="15">
        <v>0.74740364356080813</v>
      </c>
      <c r="AO107" s="15">
        <v>72.97460380341667</v>
      </c>
      <c r="AP107" s="15">
        <v>0</v>
      </c>
      <c r="AQ107" s="15">
        <v>0</v>
      </c>
      <c r="AR107" s="15">
        <v>0</v>
      </c>
      <c r="AS107" s="15">
        <v>0</v>
      </c>
      <c r="AT107" s="15">
        <v>0</v>
      </c>
      <c r="AU107" s="15">
        <v>371.69858946488904</v>
      </c>
      <c r="AV107" s="15">
        <v>121.4611913802394</v>
      </c>
      <c r="AW107" s="15">
        <v>121.4611913802394</v>
      </c>
      <c r="AX107" s="15">
        <v>0</v>
      </c>
      <c r="AY107" s="15">
        <v>0</v>
      </c>
      <c r="AZ107" s="15">
        <v>190.93898219363803</v>
      </c>
      <c r="BA107" s="15">
        <v>76.930878417473096</v>
      </c>
      <c r="BB107" s="15">
        <v>47.503376573402058</v>
      </c>
      <c r="BC107" s="15">
        <v>66.504727202762879</v>
      </c>
      <c r="BD107" s="15">
        <v>0</v>
      </c>
      <c r="BE107" s="15">
        <v>59.298415891011629</v>
      </c>
      <c r="BF107" s="15">
        <v>20.2898437128373</v>
      </c>
      <c r="BG107" s="15">
        <v>1.4723613094253223</v>
      </c>
      <c r="BH107" s="15">
        <v>37.536210868749002</v>
      </c>
      <c r="BI107" s="15">
        <v>0</v>
      </c>
      <c r="BJ107" s="15">
        <v>371.69858946488904</v>
      </c>
      <c r="BK107" s="55">
        <v>587.62207125592556</v>
      </c>
      <c r="BL107" s="55">
        <v>1.7262973018158614</v>
      </c>
      <c r="BM107" s="55">
        <v>6.8342129955917912</v>
      </c>
    </row>
    <row r="108" spans="1:65" x14ac:dyDescent="0.35">
      <c r="A108" s="15" t="s">
        <v>10616</v>
      </c>
      <c r="B108" s="15" t="s">
        <v>10320</v>
      </c>
      <c r="C108" s="15" t="s">
        <v>10586</v>
      </c>
      <c r="D108" s="15" t="s">
        <v>10323</v>
      </c>
      <c r="E108" s="15" t="s">
        <v>10714</v>
      </c>
      <c r="F108" s="15">
        <v>28529</v>
      </c>
      <c r="G108" s="15">
        <v>0.89713125361024126</v>
      </c>
      <c r="H108" s="15">
        <v>200</v>
      </c>
      <c r="I108" s="78">
        <v>120.91258633157915</v>
      </c>
      <c r="J108" s="79">
        <v>3.9538103100117863</v>
      </c>
      <c r="K108" s="15">
        <v>30</v>
      </c>
      <c r="L108" s="15">
        <v>40.618792625867485</v>
      </c>
      <c r="M108" s="15">
        <v>8.8590461290377807</v>
      </c>
      <c r="N108" s="15">
        <v>10.007390596941073</v>
      </c>
      <c r="O108" s="15">
        <v>1.6694278956864119</v>
      </c>
      <c r="P108" s="15">
        <v>3.8747740744678594</v>
      </c>
      <c r="Q108" s="15">
        <v>4.4631886267868</v>
      </c>
      <c r="R108" s="15">
        <v>0.99398407104117203</v>
      </c>
      <c r="S108" s="15">
        <v>1.6723775740648594</v>
      </c>
      <c r="T108" s="15">
        <v>1.7968269816807687</v>
      </c>
      <c r="U108" s="15">
        <v>0</v>
      </c>
      <c r="V108" s="15">
        <v>0</v>
      </c>
      <c r="W108" s="15">
        <v>0</v>
      </c>
      <c r="X108" s="15">
        <v>303813.37039347435</v>
      </c>
      <c r="Y108" s="15">
        <v>288.89808559445322</v>
      </c>
      <c r="Z108" s="15">
        <v>0</v>
      </c>
      <c r="AA108" s="15">
        <v>0</v>
      </c>
      <c r="AB108" s="15">
        <v>0</v>
      </c>
      <c r="AC108" s="15">
        <v>288.89808559445322</v>
      </c>
      <c r="AD108" s="15">
        <v>167.98549926287407</v>
      </c>
      <c r="AE108" s="15">
        <v>-0.62490944247001956</v>
      </c>
      <c r="AF108" s="15">
        <v>0</v>
      </c>
      <c r="AG108" s="15">
        <v>0</v>
      </c>
      <c r="AH108" s="15">
        <v>0</v>
      </c>
      <c r="AI108" s="15">
        <v>101.46076875</v>
      </c>
      <c r="AJ108" s="15">
        <v>0</v>
      </c>
      <c r="AK108" s="15">
        <v>47.792174905344119</v>
      </c>
      <c r="AL108" s="15">
        <v>0</v>
      </c>
      <c r="AM108" s="15">
        <v>19.357465049999981</v>
      </c>
      <c r="AN108" s="15">
        <v>0.58146975573485549</v>
      </c>
      <c r="AO108" s="15">
        <v>120.91258633157915</v>
      </c>
      <c r="AP108" s="15">
        <v>0</v>
      </c>
      <c r="AQ108" s="15">
        <v>0</v>
      </c>
      <c r="AR108" s="15">
        <v>0</v>
      </c>
      <c r="AS108" s="15">
        <v>0</v>
      </c>
      <c r="AT108" s="15">
        <v>0</v>
      </c>
      <c r="AU108" s="15">
        <v>398.97801677956693</v>
      </c>
      <c r="AV108" s="15">
        <v>121.4611913802394</v>
      </c>
      <c r="AW108" s="15">
        <v>121.4611913802394</v>
      </c>
      <c r="AX108" s="15">
        <v>0</v>
      </c>
      <c r="AY108" s="15">
        <v>0</v>
      </c>
      <c r="AZ108" s="15">
        <v>190.93898219363803</v>
      </c>
      <c r="BA108" s="15">
        <v>76.930878417473096</v>
      </c>
      <c r="BB108" s="15">
        <v>47.503376573402058</v>
      </c>
      <c r="BC108" s="15">
        <v>66.504727202762879</v>
      </c>
      <c r="BD108" s="15">
        <v>0</v>
      </c>
      <c r="BE108" s="15">
        <v>86.577843205689504</v>
      </c>
      <c r="BF108" s="15">
        <v>29.861572595180419</v>
      </c>
      <c r="BG108" s="15">
        <v>1.4723613094253223</v>
      </c>
      <c r="BH108" s="15">
        <v>55.243909301083768</v>
      </c>
      <c r="BI108" s="15">
        <v>0</v>
      </c>
      <c r="BJ108" s="15">
        <v>398.97801677956693</v>
      </c>
      <c r="BK108" s="15">
        <v>566.96351604244103</v>
      </c>
      <c r="BL108" s="15">
        <v>1.6547891948272797</v>
      </c>
      <c r="BM108" s="15">
        <v>3.9538103100117863</v>
      </c>
    </row>
    <row r="109" spans="1:65" x14ac:dyDescent="0.35">
      <c r="A109" s="15" t="s">
        <v>10616</v>
      </c>
      <c r="B109" s="15" t="s">
        <v>10320</v>
      </c>
      <c r="C109" s="15" t="s">
        <v>10586</v>
      </c>
      <c r="D109" s="15" t="s">
        <v>10324</v>
      </c>
      <c r="E109" s="15" t="s">
        <v>10715</v>
      </c>
      <c r="F109" s="15">
        <v>28529</v>
      </c>
      <c r="G109" s="15">
        <v>0.89713125361024126</v>
      </c>
      <c r="H109" s="15">
        <v>200</v>
      </c>
      <c r="I109" s="78">
        <v>135.37758544950844</v>
      </c>
      <c r="J109" s="79">
        <v>3.3983005220606972</v>
      </c>
      <c r="K109" s="15">
        <v>30</v>
      </c>
      <c r="L109" s="15">
        <v>40.914239397342413</v>
      </c>
      <c r="M109" s="15">
        <v>8.922122532053832</v>
      </c>
      <c r="N109" s="15">
        <v>10.007390596941073</v>
      </c>
      <c r="O109" s="15">
        <v>1.210343855747039</v>
      </c>
      <c r="P109" s="15">
        <v>4.038732660160492</v>
      </c>
      <c r="Q109" s="15">
        <v>4.7583140810335394</v>
      </c>
      <c r="R109" s="15">
        <v>0.99398407104117203</v>
      </c>
      <c r="S109" s="15">
        <v>1.9675030283115993</v>
      </c>
      <c r="T109" s="15">
        <v>1.7968269816807687</v>
      </c>
      <c r="U109" s="15">
        <v>0</v>
      </c>
      <c r="V109" s="15">
        <v>0</v>
      </c>
      <c r="W109" s="15">
        <v>0</v>
      </c>
      <c r="X109" s="15">
        <v>0</v>
      </c>
      <c r="Y109" s="15">
        <v>255.40215083995423</v>
      </c>
      <c r="Z109" s="15">
        <v>0</v>
      </c>
      <c r="AA109" s="15">
        <v>0</v>
      </c>
      <c r="AB109" s="15">
        <v>0</v>
      </c>
      <c r="AC109" s="15">
        <v>255.40215083995423</v>
      </c>
      <c r="AD109" s="15">
        <v>120.02456539044579</v>
      </c>
      <c r="AE109" s="15">
        <v>-0.79366840955416906</v>
      </c>
      <c r="AF109" s="15">
        <v>0</v>
      </c>
      <c r="AG109" s="15">
        <v>0</v>
      </c>
      <c r="AH109" s="15">
        <v>0</v>
      </c>
      <c r="AI109" s="15">
        <v>101.46076875</v>
      </c>
      <c r="AJ109" s="15">
        <v>0</v>
      </c>
      <c r="AK109" s="15">
        <v>0</v>
      </c>
      <c r="AL109" s="15">
        <v>0</v>
      </c>
      <c r="AM109" s="15">
        <v>19.357465049999981</v>
      </c>
      <c r="AN109" s="15">
        <v>0.46994344016177941</v>
      </c>
      <c r="AO109" s="15">
        <v>135.37758544950844</v>
      </c>
      <c r="AP109" s="15">
        <v>0</v>
      </c>
      <c r="AQ109" s="15">
        <v>0</v>
      </c>
      <c r="AR109" s="15">
        <v>0</v>
      </c>
      <c r="AS109" s="15">
        <v>0</v>
      </c>
      <c r="AT109" s="15">
        <v>0</v>
      </c>
      <c r="AU109" s="15">
        <v>395.43130475788956</v>
      </c>
      <c r="AV109" s="15">
        <v>117.71556745464427</v>
      </c>
      <c r="AW109" s="15">
        <v>117.71556745464427</v>
      </c>
      <c r="AX109" s="15">
        <v>0</v>
      </c>
      <c r="AY109" s="15">
        <v>0</v>
      </c>
      <c r="AZ109" s="15">
        <v>196.07287011733115</v>
      </c>
      <c r="BA109" s="15">
        <v>76.930878417473096</v>
      </c>
      <c r="BB109" s="15">
        <v>49.642496541607521</v>
      </c>
      <c r="BC109" s="15">
        <v>69.499495158250525</v>
      </c>
      <c r="BD109" s="15">
        <v>0</v>
      </c>
      <c r="BE109" s="15">
        <v>81.642867185914156</v>
      </c>
      <c r="BF109" s="15">
        <v>28.130002061925907</v>
      </c>
      <c r="BG109" s="15">
        <v>1.4723613094253223</v>
      </c>
      <c r="BH109" s="15">
        <v>52.040503814562925</v>
      </c>
      <c r="BI109" s="15">
        <v>0</v>
      </c>
      <c r="BJ109" s="15">
        <v>395.43130475788956</v>
      </c>
      <c r="BK109" s="15">
        <v>515.45587014833541</v>
      </c>
      <c r="BL109" s="15">
        <v>1.8012914840199221</v>
      </c>
      <c r="BM109" s="15">
        <v>3.3983005220606972</v>
      </c>
    </row>
    <row r="110" spans="1:65" x14ac:dyDescent="0.35">
      <c r="A110" s="15" t="s">
        <v>10616</v>
      </c>
      <c r="B110" s="15" t="s">
        <v>10320</v>
      </c>
      <c r="C110" s="15" t="s">
        <v>10586</v>
      </c>
      <c r="D110" s="15" t="s">
        <v>10325</v>
      </c>
      <c r="E110" s="15" t="s">
        <v>10716</v>
      </c>
      <c r="F110" s="15">
        <v>28529</v>
      </c>
      <c r="G110" s="15">
        <v>0.89713125361024126</v>
      </c>
      <c r="H110" s="15">
        <v>200</v>
      </c>
      <c r="I110" s="78">
        <v>180.05440537111343</v>
      </c>
      <c r="J110" s="79">
        <v>2.1902335985261105</v>
      </c>
      <c r="K110" s="15">
        <v>30</v>
      </c>
      <c r="L110" s="15">
        <v>38.941406966014668</v>
      </c>
      <c r="M110" s="15">
        <v>8.175710095127446</v>
      </c>
      <c r="N110" s="15">
        <v>10.007390596941073</v>
      </c>
      <c r="O110" s="15">
        <v>2.046736543362881</v>
      </c>
      <c r="P110" s="15">
        <v>3.5007853786219263</v>
      </c>
      <c r="Q110" s="15">
        <v>4.4598686749562653</v>
      </c>
      <c r="R110" s="15">
        <v>0.99398407104117203</v>
      </c>
      <c r="S110" s="15">
        <v>0</v>
      </c>
      <c r="T110" s="15">
        <v>3.465884603915093</v>
      </c>
      <c r="U110" s="15">
        <v>0</v>
      </c>
      <c r="V110" s="15">
        <v>0</v>
      </c>
      <c r="W110" s="15">
        <v>0</v>
      </c>
      <c r="X110" s="15">
        <v>0</v>
      </c>
      <c r="Y110" s="15">
        <v>318.85362727861343</v>
      </c>
      <c r="Z110" s="15">
        <v>0</v>
      </c>
      <c r="AA110" s="15">
        <v>0</v>
      </c>
      <c r="AB110" s="15">
        <v>0</v>
      </c>
      <c r="AC110" s="15">
        <v>318.85362727861343</v>
      </c>
      <c r="AD110" s="15">
        <v>138.7992219075</v>
      </c>
      <c r="AE110" s="15">
        <v>0</v>
      </c>
      <c r="AF110" s="15">
        <v>0</v>
      </c>
      <c r="AG110" s="15">
        <v>0</v>
      </c>
      <c r="AH110" s="15">
        <v>0</v>
      </c>
      <c r="AI110" s="15">
        <v>101.46076875</v>
      </c>
      <c r="AJ110" s="15">
        <v>0</v>
      </c>
      <c r="AK110" s="15">
        <v>0</v>
      </c>
      <c r="AL110" s="15">
        <v>0</v>
      </c>
      <c r="AM110" s="15">
        <v>37.338453157499984</v>
      </c>
      <c r="AN110" s="15">
        <v>0.4353070187475635</v>
      </c>
      <c r="AO110" s="15">
        <v>180.05440537111343</v>
      </c>
      <c r="AP110" s="15">
        <v>0</v>
      </c>
      <c r="AQ110" s="15">
        <v>0</v>
      </c>
      <c r="AR110" s="15">
        <v>0</v>
      </c>
      <c r="AS110" s="15">
        <v>0</v>
      </c>
      <c r="AT110" s="15">
        <v>0</v>
      </c>
      <c r="AU110" s="15">
        <v>374.41561357756621</v>
      </c>
      <c r="AV110" s="15">
        <v>130.14008926251293</v>
      </c>
      <c r="AW110" s="15">
        <v>130.14008926251293</v>
      </c>
      <c r="AX110" s="15">
        <v>0</v>
      </c>
      <c r="AY110" s="15">
        <v>0</v>
      </c>
      <c r="AZ110" s="15">
        <v>153.08294474433134</v>
      </c>
      <c r="BA110" s="15">
        <v>76.930878417473096</v>
      </c>
      <c r="BB110" s="15">
        <v>31.730027636190936</v>
      </c>
      <c r="BC110" s="15">
        <v>44.422038690667307</v>
      </c>
      <c r="BD110" s="15">
        <v>0</v>
      </c>
      <c r="BE110" s="15">
        <v>91.192579570721946</v>
      </c>
      <c r="BF110" s="15">
        <v>31.480778337297064</v>
      </c>
      <c r="BG110" s="15">
        <v>1.4723613094253223</v>
      </c>
      <c r="BH110" s="15">
        <v>58.239439923999562</v>
      </c>
      <c r="BI110" s="15">
        <v>0</v>
      </c>
      <c r="BJ110" s="15">
        <v>374.41561357756621</v>
      </c>
      <c r="BK110" s="15">
        <v>513.21483548506626</v>
      </c>
      <c r="BL110" s="15">
        <v>1.2368095403909616</v>
      </c>
      <c r="BM110" s="15">
        <v>2.1902335985261105</v>
      </c>
    </row>
    <row r="111" spans="1:65" x14ac:dyDescent="0.35">
      <c r="A111" s="15" t="s">
        <v>10616</v>
      </c>
      <c r="B111" s="15" t="s">
        <v>10320</v>
      </c>
      <c r="C111" s="15" t="s">
        <v>10586</v>
      </c>
      <c r="D111" s="15" t="s">
        <v>10326</v>
      </c>
      <c r="E111" s="15" t="s">
        <v>10717</v>
      </c>
      <c r="F111" s="15">
        <v>28529</v>
      </c>
      <c r="G111" s="15">
        <v>0.89713125361024126</v>
      </c>
      <c r="H111" s="15">
        <v>200</v>
      </c>
      <c r="I111" s="78">
        <v>-200.9240894283019</v>
      </c>
      <c r="J111" s="81">
        <v>-7.224571612209111</v>
      </c>
      <c r="K111" s="15">
        <v>30</v>
      </c>
      <c r="L111" s="15">
        <v>38.201685287055795</v>
      </c>
      <c r="M111" s="15">
        <v>8.0581425314515815</v>
      </c>
      <c r="N111" s="15">
        <v>10.007390596941073</v>
      </c>
      <c r="O111" s="15">
        <v>7.3133985838815043</v>
      </c>
      <c r="P111" s="15">
        <v>1.8418602393670047</v>
      </c>
      <c r="Q111" s="15">
        <v>0.85213177369256465</v>
      </c>
      <c r="R111" s="15">
        <v>0.85213177369256465</v>
      </c>
      <c r="S111" s="15">
        <v>0</v>
      </c>
      <c r="T111" s="15">
        <v>0</v>
      </c>
      <c r="U111" s="15">
        <v>6345.3752863570944</v>
      </c>
      <c r="V111" s="15">
        <v>0</v>
      </c>
      <c r="W111" s="15">
        <v>0</v>
      </c>
      <c r="X111" s="15">
        <v>0</v>
      </c>
      <c r="Y111" s="15">
        <v>607.24899876865459</v>
      </c>
      <c r="Z111" s="15">
        <v>0</v>
      </c>
      <c r="AA111" s="15">
        <v>0</v>
      </c>
      <c r="AB111" s="15">
        <v>0</v>
      </c>
      <c r="AC111" s="15">
        <v>607.24899876865459</v>
      </c>
      <c r="AD111" s="15">
        <v>808.17308819695654</v>
      </c>
      <c r="AE111" s="15">
        <v>0</v>
      </c>
      <c r="AF111" s="15">
        <v>0</v>
      </c>
      <c r="AG111" s="15">
        <v>0</v>
      </c>
      <c r="AH111" s="15">
        <v>685.17272996751399</v>
      </c>
      <c r="AI111" s="15">
        <v>123.0003582294425</v>
      </c>
      <c r="AJ111" s="15">
        <v>0</v>
      </c>
      <c r="AK111" s="15">
        <v>0</v>
      </c>
      <c r="AL111" s="15">
        <v>0</v>
      </c>
      <c r="AM111" s="15">
        <v>0</v>
      </c>
      <c r="AN111" s="15">
        <v>1.3308759501221485</v>
      </c>
      <c r="AO111" s="15">
        <v>-200.9240894283019</v>
      </c>
      <c r="AP111" s="15">
        <v>685.17272996751399</v>
      </c>
      <c r="AQ111" s="15">
        <v>0</v>
      </c>
      <c r="AR111" s="15">
        <v>0</v>
      </c>
      <c r="AS111" s="15">
        <v>0</v>
      </c>
      <c r="AT111" s="15">
        <v>685.17272996751399</v>
      </c>
      <c r="AU111" s="15">
        <v>365.49365329685855</v>
      </c>
      <c r="AV111" s="15">
        <v>171.16895982007114</v>
      </c>
      <c r="AW111" s="15">
        <v>171.16895982007114</v>
      </c>
      <c r="AX111" s="15">
        <v>0</v>
      </c>
      <c r="AY111" s="15">
        <v>0</v>
      </c>
      <c r="AZ111" s="15">
        <v>157.42242383152814</v>
      </c>
      <c r="BA111" s="15">
        <v>82.718698010625445</v>
      </c>
      <c r="BB111" s="15">
        <v>31.126552425376122</v>
      </c>
      <c r="BC111" s="15">
        <v>43.577173395526565</v>
      </c>
      <c r="BD111" s="15">
        <v>0</v>
      </c>
      <c r="BE111" s="15">
        <v>36.902269645259295</v>
      </c>
      <c r="BF111" s="15">
        <v>12.392679532975222</v>
      </c>
      <c r="BG111" s="15">
        <v>1.5831329762799129</v>
      </c>
      <c r="BH111" s="15">
        <v>22.92645713600416</v>
      </c>
      <c r="BI111" s="15">
        <v>0</v>
      </c>
      <c r="BJ111" s="15">
        <v>1050.6663832643726</v>
      </c>
      <c r="BK111" s="15">
        <v>1858.8394714613291</v>
      </c>
      <c r="BL111" s="15">
        <v>2.390436996415191</v>
      </c>
      <c r="BM111" s="15">
        <v>-7.224571612209111</v>
      </c>
    </row>
    <row r="112" spans="1:65" x14ac:dyDescent="0.35">
      <c r="A112" s="15" t="s">
        <v>10616</v>
      </c>
      <c r="B112" s="15" t="s">
        <v>10320</v>
      </c>
      <c r="C112" s="15" t="s">
        <v>10586</v>
      </c>
      <c r="D112" s="15" t="s">
        <v>10327</v>
      </c>
      <c r="E112" s="15" t="s">
        <v>10718</v>
      </c>
      <c r="F112" s="15">
        <v>28529</v>
      </c>
      <c r="G112" s="15">
        <v>0.89713125361024126</v>
      </c>
      <c r="H112" s="15">
        <v>200</v>
      </c>
      <c r="I112" s="80">
        <v>2119.0883618012545</v>
      </c>
      <c r="J112" s="81">
        <v>-0.49053382332362389</v>
      </c>
      <c r="K112" s="15">
        <v>30</v>
      </c>
      <c r="L112" s="15">
        <v>66.146225707570224</v>
      </c>
      <c r="M112" s="15">
        <v>22.14191767867025</v>
      </c>
      <c r="N112" s="15">
        <v>10.007390596941073</v>
      </c>
      <c r="O112" s="15">
        <v>7.3133985838815043</v>
      </c>
      <c r="P112" s="15">
        <v>1.8418602393670047</v>
      </c>
      <c r="Q112" s="15">
        <v>0.85213177369256465</v>
      </c>
      <c r="R112" s="15">
        <v>0.85213177369256465</v>
      </c>
      <c r="S112" s="15">
        <v>0</v>
      </c>
      <c r="T112" s="15">
        <v>0</v>
      </c>
      <c r="U112" s="15">
        <v>6345.3752863570944</v>
      </c>
      <c r="V112" s="15">
        <v>0</v>
      </c>
      <c r="W112" s="15">
        <v>0</v>
      </c>
      <c r="X112" s="15">
        <v>0</v>
      </c>
      <c r="Y112" s="15">
        <v>1462.7728459078501</v>
      </c>
      <c r="Z112" s="15">
        <v>0</v>
      </c>
      <c r="AA112" s="15">
        <v>0</v>
      </c>
      <c r="AB112" s="15">
        <v>0</v>
      </c>
      <c r="AC112" s="15">
        <v>1462.7728459078501</v>
      </c>
      <c r="AD112" s="15">
        <v>-656.31551589340438</v>
      </c>
      <c r="AE112" s="15">
        <v>-28.902559868877884</v>
      </c>
      <c r="AF112" s="15">
        <v>0</v>
      </c>
      <c r="AG112" s="15">
        <v>0</v>
      </c>
      <c r="AH112" s="15">
        <v>-750.41331425396891</v>
      </c>
      <c r="AI112" s="15">
        <v>123.0003582294425</v>
      </c>
      <c r="AJ112" s="15">
        <v>0</v>
      </c>
      <c r="AK112" s="15">
        <v>0</v>
      </c>
      <c r="AL112" s="15">
        <v>0</v>
      </c>
      <c r="AM112" s="15">
        <v>0</v>
      </c>
      <c r="AN112" s="15">
        <v>-0.44867903976305429</v>
      </c>
      <c r="AO112" s="15">
        <v>2119.0883618012545</v>
      </c>
      <c r="AP112" s="15">
        <v>-779.31587412284682</v>
      </c>
      <c r="AQ112" s="15">
        <v>-28.902559868877884</v>
      </c>
      <c r="AR112" s="15">
        <v>0</v>
      </c>
      <c r="AS112" s="15">
        <v>0</v>
      </c>
      <c r="AT112" s="15">
        <v>-750.41331425396891</v>
      </c>
      <c r="AU112" s="15">
        <v>1658.9197198491372</v>
      </c>
      <c r="AV112" s="15">
        <v>171.16895982007114</v>
      </c>
      <c r="AW112" s="15">
        <v>171.16895982007114</v>
      </c>
      <c r="AX112" s="15">
        <v>0</v>
      </c>
      <c r="AY112" s="15">
        <v>0</v>
      </c>
      <c r="AZ112" s="15">
        <v>1120.2467160835949</v>
      </c>
      <c r="BA112" s="15">
        <v>82.718698010625445</v>
      </c>
      <c r="BB112" s="15">
        <v>432.30334086373728</v>
      </c>
      <c r="BC112" s="15">
        <v>605.22467720923214</v>
      </c>
      <c r="BD112" s="15">
        <v>0</v>
      </c>
      <c r="BE112" s="15">
        <v>367.5040439454711</v>
      </c>
      <c r="BF112" s="15">
        <v>128.39330209445305</v>
      </c>
      <c r="BG112" s="15">
        <v>1.5831329762799129</v>
      </c>
      <c r="BH112" s="15">
        <v>237.52760887473812</v>
      </c>
      <c r="BI112" s="15">
        <v>0</v>
      </c>
      <c r="BJ112" s="15">
        <v>879.60384572629039</v>
      </c>
      <c r="BK112" s="15">
        <v>223.28832983288601</v>
      </c>
      <c r="BL112" s="15">
        <v>-0.71062606814376728</v>
      </c>
      <c r="BM112" s="15">
        <v>-0.49053382332362389</v>
      </c>
    </row>
    <row r="113" spans="1:65" s="60" customFormat="1" x14ac:dyDescent="0.35">
      <c r="A113" s="59" t="s">
        <v>10616</v>
      </c>
      <c r="B113" s="59" t="s">
        <v>10320</v>
      </c>
      <c r="C113" s="59" t="s">
        <v>10701</v>
      </c>
      <c r="D113" s="59" t="s">
        <v>10326</v>
      </c>
      <c r="E113" s="59" t="s">
        <v>10719</v>
      </c>
      <c r="F113" s="59">
        <v>28529</v>
      </c>
      <c r="G113" s="59">
        <v>0.89713125361024126</v>
      </c>
      <c r="H113" s="59">
        <v>200</v>
      </c>
      <c r="I113" s="59">
        <v>-200.9240894283019</v>
      </c>
      <c r="J113" s="88">
        <v>-7.224571612209111</v>
      </c>
      <c r="K113" s="59">
        <v>30</v>
      </c>
      <c r="L113" s="59">
        <v>38.201685287055795</v>
      </c>
      <c r="M113" s="59">
        <v>8.0581425314515815</v>
      </c>
      <c r="N113" s="59">
        <v>10.007390596941073</v>
      </c>
      <c r="O113" s="59">
        <v>7.3133985838815043</v>
      </c>
      <c r="P113" s="59">
        <v>1.8418602393670047</v>
      </c>
      <c r="Q113" s="59">
        <v>0.85213177369256465</v>
      </c>
      <c r="R113" s="59">
        <v>0.85213177369256465</v>
      </c>
      <c r="S113" s="59">
        <v>0</v>
      </c>
      <c r="T113" s="59">
        <v>0</v>
      </c>
      <c r="U113" s="59">
        <v>6345.3752863570944</v>
      </c>
      <c r="V113" s="59">
        <v>0</v>
      </c>
      <c r="W113" s="59">
        <v>0</v>
      </c>
      <c r="X113" s="59">
        <v>0</v>
      </c>
      <c r="Y113" s="59">
        <v>607.24899876865459</v>
      </c>
      <c r="Z113" s="59">
        <v>0</v>
      </c>
      <c r="AA113" s="59">
        <v>0</v>
      </c>
      <c r="AB113" s="59">
        <v>0</v>
      </c>
      <c r="AC113" s="59">
        <v>607.24899876865459</v>
      </c>
      <c r="AD113" s="59">
        <v>808.17308819695654</v>
      </c>
      <c r="AE113" s="59">
        <v>0</v>
      </c>
      <c r="AF113" s="59">
        <v>0</v>
      </c>
      <c r="AG113" s="59">
        <v>0</v>
      </c>
      <c r="AH113" s="59">
        <v>685.17272996751399</v>
      </c>
      <c r="AI113" s="59">
        <v>123.0003582294425</v>
      </c>
      <c r="AJ113" s="59">
        <v>0</v>
      </c>
      <c r="AK113" s="59">
        <v>0</v>
      </c>
      <c r="AL113" s="59">
        <v>0</v>
      </c>
      <c r="AM113" s="59">
        <v>0</v>
      </c>
      <c r="AN113" s="59">
        <v>1.3308759501221485</v>
      </c>
      <c r="AO113" s="59">
        <v>-200.9240894283019</v>
      </c>
      <c r="AP113" s="59">
        <v>685.17272996751399</v>
      </c>
      <c r="AQ113" s="59">
        <v>0</v>
      </c>
      <c r="AR113" s="59">
        <v>0</v>
      </c>
      <c r="AS113" s="59">
        <v>0</v>
      </c>
      <c r="AT113" s="59">
        <v>685.17272996751399</v>
      </c>
      <c r="AU113" s="59">
        <v>365.49365329685855</v>
      </c>
      <c r="AV113" s="59">
        <v>171.16895982007114</v>
      </c>
      <c r="AW113" s="59">
        <v>171.16895982007114</v>
      </c>
      <c r="AX113" s="59">
        <v>0</v>
      </c>
      <c r="AY113" s="59">
        <v>0</v>
      </c>
      <c r="AZ113" s="59">
        <v>157.42242383152814</v>
      </c>
      <c r="BA113" s="59">
        <v>82.718698010625445</v>
      </c>
      <c r="BB113" s="59">
        <v>31.126552425376122</v>
      </c>
      <c r="BC113" s="59">
        <v>43.577173395526565</v>
      </c>
      <c r="BD113" s="59">
        <v>0</v>
      </c>
      <c r="BE113" s="59">
        <v>36.902269645259295</v>
      </c>
      <c r="BF113" s="59">
        <v>12.392679532975222</v>
      </c>
      <c r="BG113" s="59">
        <v>1.5831329762799129</v>
      </c>
      <c r="BH113" s="59">
        <v>22.92645713600416</v>
      </c>
      <c r="BI113" s="59">
        <v>0</v>
      </c>
      <c r="BJ113" s="59">
        <v>1050.6663832643726</v>
      </c>
      <c r="BK113" s="59">
        <v>1858.8394714613291</v>
      </c>
      <c r="BL113" s="59">
        <v>2.390436996415191</v>
      </c>
      <c r="BM113" s="59">
        <v>-7.224571612209111</v>
      </c>
    </row>
    <row r="114" spans="1:65" s="56" customFormat="1" x14ac:dyDescent="0.35">
      <c r="A114" s="55" t="s">
        <v>10616</v>
      </c>
      <c r="B114" s="55" t="s">
        <v>10703</v>
      </c>
      <c r="C114" s="55" t="s">
        <v>9780</v>
      </c>
      <c r="D114" s="55" t="s">
        <v>9780</v>
      </c>
      <c r="E114" s="55" t="s">
        <v>10017</v>
      </c>
      <c r="F114" s="55">
        <f>F105</f>
        <v>92598</v>
      </c>
      <c r="G114" s="55">
        <f>G105</f>
        <v>0.8971289950639485</v>
      </c>
      <c r="H114" s="55">
        <f>(H105*N105+H113*N113)/(N105+N113)</f>
        <v>200.00000000000003</v>
      </c>
      <c r="I114" s="55">
        <f>(I105*N105+I113*N113)/(N105+N113)</f>
        <v>29.078137164069659</v>
      </c>
      <c r="J114" s="89">
        <f>(J105*N105+J113*N113)/(N105+N113)</f>
        <v>2.0718386584276187</v>
      </c>
      <c r="K114" s="55">
        <f>K105</f>
        <v>30</v>
      </c>
      <c r="L114" s="55">
        <f t="shared" ref="L114:W114" si="7">L105+L113</f>
        <v>134.3108079698755</v>
      </c>
      <c r="M114" s="55">
        <f t="shared" si="7"/>
        <v>25.258168037482598</v>
      </c>
      <c r="N114" s="55">
        <f t="shared" si="7"/>
        <v>42.488796240288899</v>
      </c>
      <c r="O114" s="55">
        <f t="shared" si="7"/>
        <v>13.367753948070497</v>
      </c>
      <c r="P114" s="55">
        <f t="shared" si="7"/>
        <v>14.418376292171903</v>
      </c>
      <c r="Q114" s="55">
        <f t="shared" si="7"/>
        <v>14.702666000046493</v>
      </c>
      <c r="R114" s="55">
        <f t="shared" si="7"/>
        <v>3.4425238737495536</v>
      </c>
      <c r="S114" s="55">
        <f t="shared" si="7"/>
        <v>5.4281057430338375</v>
      </c>
      <c r="T114" s="55">
        <f t="shared" si="7"/>
        <v>5.8320363832631026</v>
      </c>
      <c r="U114" s="55">
        <f t="shared" si="7"/>
        <v>6345.3752863570944</v>
      </c>
      <c r="V114" s="55">
        <f t="shared" si="7"/>
        <v>0</v>
      </c>
      <c r="W114" s="55">
        <f t="shared" si="7"/>
        <v>986.0997457858324</v>
      </c>
      <c r="X114" s="55">
        <f>(X105*N105+X113*N113)/(N105+N113)</f>
        <v>0</v>
      </c>
      <c r="Y114" s="55">
        <f>(Y105*N105+Y113*N113)/(N105+N113)</f>
        <v>372.52005744454391</v>
      </c>
      <c r="Z114" s="55">
        <f>(Z105*N105+Z113*N113)/(N105+N113)</f>
        <v>0</v>
      </c>
      <c r="AA114" s="55">
        <f>(AA105*N105+AA113*N113)/(N105+N113)</f>
        <v>0</v>
      </c>
      <c r="AB114" s="55">
        <f>(AB105*N105+AB113*N113)/(N105+N113)</f>
        <v>0</v>
      </c>
      <c r="AC114" s="55">
        <f>(AC105*N105+AC113*N113)/(N105+N113)</f>
        <v>372.52005744454391</v>
      </c>
      <c r="AD114" s="55">
        <f>(AD105*N105+AD113*N113)/(N105+N113)</f>
        <v>343.44192028047422</v>
      </c>
      <c r="AE114" s="55">
        <f>(AE105*N105+AE113*N113)/(N105+N113)</f>
        <v>-9.1184726209405937</v>
      </c>
      <c r="AF114" s="55">
        <f>(AF105*N105+AF113*N113)/(N105+N113)</f>
        <v>14.273280839826851</v>
      </c>
      <c r="AG114" s="55">
        <f>(AG105*N105+AG113*N113)/(N105+N113)</f>
        <v>30.815325140872268</v>
      </c>
      <c r="AH114" s="55">
        <f>(AH105*N105+AH113*N113)/(N105+N113)</f>
        <v>161.37880434126234</v>
      </c>
      <c r="AI114" s="55">
        <f>(AI105*N105+AI113*N113)/(N105+N113)</f>
        <v>106.53399050002335</v>
      </c>
      <c r="AJ114" s="55">
        <f>(AJ105*N105+AJ113*N113)/(N105+N113)</f>
        <v>0</v>
      </c>
      <c r="AK114" s="55">
        <f>(AK105*N105+AK113*N113)/(N105+N113)</f>
        <v>24.760792785664758</v>
      </c>
      <c r="AL114" s="55">
        <f>(AL105*N105+AL113*N113)/(N105+N113)</f>
        <v>0</v>
      </c>
      <c r="AM114" s="55">
        <f>(AM105*N105+AM113*N113)/(N105+N113)</f>
        <v>14.798199293765236</v>
      </c>
      <c r="AN114" s="55">
        <f>(AN105*N105+AN113*N113)/(N105+N113)</f>
        <v>0.82342907875622529</v>
      </c>
      <c r="AO114" s="55">
        <f>(AO105*N105+AO113*N113)/(N105+N113)</f>
        <v>29.078137164069659</v>
      </c>
      <c r="AP114" s="55">
        <f>(AP105*N105+AP113*N113)/(N105+N113)</f>
        <v>161.37880434126234</v>
      </c>
      <c r="AQ114" s="55">
        <f>(AQ105*N105+AQ113*N113)/(N105+N113)</f>
        <v>0</v>
      </c>
      <c r="AR114" s="55">
        <f>(AR105*N105+AR113*N113)/(N105+N113)</f>
        <v>0</v>
      </c>
      <c r="AS114" s="55">
        <f>(AS105*N105+AS113*N113)/(N105+N113)</f>
        <v>0</v>
      </c>
      <c r="AT114" s="55">
        <f>(AT105*N105+AT113*N113)/(N105+N113)</f>
        <v>161.37880434126234</v>
      </c>
      <c r="AU114" s="55">
        <f>(AU105*N105+AU113*N113)/(N105+N113)</f>
        <v>386.71385059107308</v>
      </c>
      <c r="AV114" s="55">
        <f>(AV105*N105+AV113*N113)/(N105+N113)</f>
        <v>118.41740712966912</v>
      </c>
      <c r="AW114" s="55">
        <f>(AW105*N105+AW113*N113)/(N105+N113)</f>
        <v>118.41740712966912</v>
      </c>
      <c r="AX114" s="55">
        <f>(AX105*N105+AX113*N113)/(N105+N113)</f>
        <v>0</v>
      </c>
      <c r="AY114" s="55">
        <f>(AY105*N105+AY113*N113)/(N105+N113)</f>
        <v>0</v>
      </c>
      <c r="AZ114" s="55">
        <f>(AZ105*N105+AZ113*N113)/(N105+N113)</f>
        <v>222.22420759314841</v>
      </c>
      <c r="BA114" s="55">
        <f>(BA105*N105+BA113*N113)/(N105+N113)</f>
        <v>78.294084168131221</v>
      </c>
      <c r="BB114" s="55">
        <f>(BB105*N105+BB113*N113)/(N105+N113)</f>
        <v>59.970884760423829</v>
      </c>
      <c r="BC114" s="55">
        <f>(BC105*N105+BC113*N113)/(N105+N113)</f>
        <v>83.959238664593357</v>
      </c>
      <c r="BD114" s="55">
        <f>(BD105*N105+BD113*N113)/(N105+N113)</f>
        <v>0</v>
      </c>
      <c r="BE114" s="55">
        <f>(BE105*N105+BE113*N113)/(N105+N113)</f>
        <v>46.072235868255554</v>
      </c>
      <c r="BF114" s="55">
        <f>(BF105*N105+BF113*N113)/(N105+N113)</f>
        <v>15.63992438477778</v>
      </c>
      <c r="BG114" s="55">
        <f>(BG105*N105+BG113*N113)/(N105+N113)</f>
        <v>1.498451371638875</v>
      </c>
      <c r="BH114" s="55">
        <f>(BH105*N105+BH113*N113)/(N105+N113)</f>
        <v>28.933860111838897</v>
      </c>
      <c r="BI114" s="55">
        <f>(BI105*N105+BI113*N113)/(N105+N113)</f>
        <v>0</v>
      </c>
      <c r="BJ114" s="55">
        <f>(BJ105*N105+BJ113*N113)/(N105+N113)</f>
        <v>548.09265493233534</v>
      </c>
      <c r="BK114" s="55">
        <f>(BK105*N105+BK113*N113)/(N105+N113)</f>
        <v>891.53457521280973</v>
      </c>
      <c r="BL114" s="55">
        <f>(BL105*N105+BL113*N113)/(N105+N113)</f>
        <v>1.8192490199925593</v>
      </c>
      <c r="BM114" s="55">
        <f>(BM105*N105+BM113*N113)/(N105+N113)</f>
        <v>2.0718386584276187</v>
      </c>
    </row>
    <row r="115" spans="1:65" s="60" customFormat="1" x14ac:dyDescent="0.35">
      <c r="A115" s="15" t="s">
        <v>10625</v>
      </c>
      <c r="B115" s="15" t="s">
        <v>10320</v>
      </c>
      <c r="C115" s="15" t="s">
        <v>10566</v>
      </c>
      <c r="D115" s="15" t="s">
        <v>10321</v>
      </c>
      <c r="E115" s="15" t="s">
        <v>10720</v>
      </c>
      <c r="F115" s="15">
        <v>92598</v>
      </c>
      <c r="G115" s="15">
        <v>0.8971289950639485</v>
      </c>
      <c r="H115" s="15">
        <v>200</v>
      </c>
      <c r="I115" s="78">
        <v>158.56995212485788</v>
      </c>
      <c r="J115" s="79">
        <v>2.5080031526213356</v>
      </c>
      <c r="K115" s="15">
        <v>30</v>
      </c>
      <c r="L115" s="15">
        <v>63.12080933554396</v>
      </c>
      <c r="M115" s="15">
        <v>14.555139286303007</v>
      </c>
      <c r="N115" s="15">
        <v>32.481405643347827</v>
      </c>
      <c r="O115" s="15">
        <v>6.0543553641889938</v>
      </c>
      <c r="P115" s="15">
        <v>12.576516052804898</v>
      </c>
      <c r="Q115" s="15">
        <v>13.850534226353929</v>
      </c>
      <c r="R115" s="15">
        <v>2.5903921000569889</v>
      </c>
      <c r="S115" s="15">
        <v>5.4281057430338375</v>
      </c>
      <c r="T115" s="15">
        <v>5.8320363832631026</v>
      </c>
      <c r="U115" s="15">
        <v>0</v>
      </c>
      <c r="V115" s="15">
        <v>3944.3989831433296</v>
      </c>
      <c r="W115" s="15">
        <v>0</v>
      </c>
      <c r="X115" s="15">
        <v>0</v>
      </c>
      <c r="Y115" s="15">
        <v>300.20101355741713</v>
      </c>
      <c r="Z115" s="15">
        <v>0</v>
      </c>
      <c r="AA115" s="15">
        <v>0</v>
      </c>
      <c r="AB115" s="15">
        <v>0</v>
      </c>
      <c r="AC115" s="15">
        <v>300.20101355741713</v>
      </c>
      <c r="AD115" s="15">
        <v>141.63106143255925</v>
      </c>
      <c r="AE115" s="15">
        <v>10.497023283962301</v>
      </c>
      <c r="AF115" s="15">
        <v>0</v>
      </c>
      <c r="AG115" s="15">
        <v>0</v>
      </c>
      <c r="AH115" s="15">
        <v>29.673269398596958</v>
      </c>
      <c r="AI115" s="15">
        <v>101.46076875</v>
      </c>
      <c r="AJ115" s="15">
        <v>0</v>
      </c>
      <c r="AK115" s="15">
        <v>0</v>
      </c>
      <c r="AL115" s="15">
        <v>0</v>
      </c>
      <c r="AM115" s="15">
        <v>0</v>
      </c>
      <c r="AN115" s="15">
        <v>0.47178741921692602</v>
      </c>
      <c r="AO115" s="15">
        <v>158.56995212485788</v>
      </c>
      <c r="AP115" s="15">
        <v>40.170292682559257</v>
      </c>
      <c r="AQ115" s="15">
        <v>10.497023283962301</v>
      </c>
      <c r="AR115" s="15">
        <v>0</v>
      </c>
      <c r="AS115" s="15">
        <v>0</v>
      </c>
      <c r="AT115" s="15">
        <v>29.673269398596958</v>
      </c>
      <c r="AU115" s="15">
        <v>316.09359928245647</v>
      </c>
      <c r="AV115" s="15">
        <v>61.280875000000009</v>
      </c>
      <c r="AW115" s="15">
        <v>61.280875000000009</v>
      </c>
      <c r="AX115" s="15">
        <v>0</v>
      </c>
      <c r="AY115" s="15">
        <v>0</v>
      </c>
      <c r="AZ115" s="15">
        <v>216.28598524836389</v>
      </c>
      <c r="BA115" s="15">
        <v>76.930878417473053</v>
      </c>
      <c r="BB115" s="15">
        <v>58.064627846204509</v>
      </c>
      <c r="BC115" s="15">
        <v>81.290478984686317</v>
      </c>
      <c r="BD115" s="15">
        <v>0</v>
      </c>
      <c r="BE115" s="15">
        <v>38.526739034092572</v>
      </c>
      <c r="BF115" s="15">
        <v>13.001536043742895</v>
      </c>
      <c r="BG115" s="15">
        <v>1.4723613094253216</v>
      </c>
      <c r="BH115" s="15">
        <v>24.052841680924352</v>
      </c>
      <c r="BI115" s="15">
        <v>0</v>
      </c>
      <c r="BJ115" s="15">
        <v>356.26389196501572</v>
      </c>
      <c r="BK115" s="59">
        <v>497.89495339757497</v>
      </c>
      <c r="BL115" s="59">
        <v>1.3247588178582013</v>
      </c>
      <c r="BM115" s="59">
        <v>2.5080031526213356</v>
      </c>
    </row>
    <row r="116" spans="1:65" x14ac:dyDescent="0.35">
      <c r="A116" s="15" t="s">
        <v>10625</v>
      </c>
      <c r="B116" s="15" t="s">
        <v>10320</v>
      </c>
      <c r="C116" s="15" t="s">
        <v>10566</v>
      </c>
      <c r="D116" s="15" t="s">
        <v>10322</v>
      </c>
      <c r="E116" s="15" t="s">
        <v>10721</v>
      </c>
      <c r="F116" s="15">
        <v>92598</v>
      </c>
      <c r="G116" s="15">
        <v>0.8971289950639485</v>
      </c>
      <c r="H116" s="15">
        <v>200</v>
      </c>
      <c r="I116" s="80">
        <v>386.37835504668516</v>
      </c>
      <c r="J116" s="79">
        <v>0.42729279794899644</v>
      </c>
      <c r="K116" s="15">
        <v>30</v>
      </c>
      <c r="L116" s="15">
        <v>63.12080933554396</v>
      </c>
      <c r="M116" s="15">
        <v>14.555139286303007</v>
      </c>
      <c r="N116" s="15">
        <v>32.481405643347827</v>
      </c>
      <c r="O116" s="15">
        <v>6.0543553641889938</v>
      </c>
      <c r="P116" s="15">
        <v>12.576516052804898</v>
      </c>
      <c r="Q116" s="15">
        <v>13.850534226353929</v>
      </c>
      <c r="R116" s="15">
        <v>2.5903921000569889</v>
      </c>
      <c r="S116" s="15">
        <v>5.4281057430338375</v>
      </c>
      <c r="T116" s="15">
        <v>5.8320363832631026</v>
      </c>
      <c r="U116" s="15">
        <v>0</v>
      </c>
      <c r="V116" s="15">
        <v>0</v>
      </c>
      <c r="W116" s="15">
        <v>986.0997457858324</v>
      </c>
      <c r="X116" s="15">
        <v>0</v>
      </c>
      <c r="Y116" s="15">
        <v>300.20101355741713</v>
      </c>
      <c r="Z116" s="15">
        <v>0</v>
      </c>
      <c r="AA116" s="15">
        <v>0</v>
      </c>
      <c r="AB116" s="15">
        <v>0</v>
      </c>
      <c r="AC116" s="15">
        <v>300.20101355741713</v>
      </c>
      <c r="AD116" s="15">
        <v>-86.177341489268031</v>
      </c>
      <c r="AE116" s="15">
        <v>-11.92783740543396</v>
      </c>
      <c r="AF116" s="15">
        <v>18.670821329064751</v>
      </c>
      <c r="AG116" s="15">
        <v>-214.86352744498404</v>
      </c>
      <c r="AH116" s="15">
        <v>0</v>
      </c>
      <c r="AI116" s="15">
        <v>101.46076875</v>
      </c>
      <c r="AJ116" s="15">
        <v>0</v>
      </c>
      <c r="AK116" s="15">
        <v>20.482433282085161</v>
      </c>
      <c r="AL116" s="15">
        <v>0</v>
      </c>
      <c r="AM116" s="15">
        <v>0</v>
      </c>
      <c r="AN116" s="15">
        <v>-0.28706545813438955</v>
      </c>
      <c r="AO116" s="15">
        <v>386.37835504668516</v>
      </c>
      <c r="AP116" s="15">
        <v>0</v>
      </c>
      <c r="AQ116" s="15">
        <v>0</v>
      </c>
      <c r="AR116" s="15">
        <v>0</v>
      </c>
      <c r="AS116" s="15">
        <v>0</v>
      </c>
      <c r="AT116" s="15">
        <v>0</v>
      </c>
      <c r="AU116" s="15">
        <v>351.475043441514</v>
      </c>
      <c r="AV116" s="15">
        <v>61.280875000000009</v>
      </c>
      <c r="AW116" s="15">
        <v>61.280875000000009</v>
      </c>
      <c r="AX116" s="15">
        <v>0</v>
      </c>
      <c r="AY116" s="15">
        <v>0</v>
      </c>
      <c r="AZ116" s="15">
        <v>216.28598524836389</v>
      </c>
      <c r="BA116" s="15">
        <v>76.930878417473053</v>
      </c>
      <c r="BB116" s="15">
        <v>58.064627846204509</v>
      </c>
      <c r="BC116" s="15">
        <v>81.290478984686317</v>
      </c>
      <c r="BD116" s="15">
        <v>0</v>
      </c>
      <c r="BE116" s="15">
        <v>73.908183193150094</v>
      </c>
      <c r="BF116" s="15">
        <v>25.416077853938518</v>
      </c>
      <c r="BG116" s="15">
        <v>1.4723613094253216</v>
      </c>
      <c r="BH116" s="15">
        <v>47.019744029786253</v>
      </c>
      <c r="BI116" s="15">
        <v>0</v>
      </c>
      <c r="BJ116" s="15">
        <v>351.475043441514</v>
      </c>
      <c r="BK116" s="15">
        <v>265.29770195224597</v>
      </c>
      <c r="BL116" s="15">
        <v>0.5499538007497502</v>
      </c>
      <c r="BM116" s="15">
        <v>0.42729279794899644</v>
      </c>
    </row>
    <row r="117" spans="1:65" x14ac:dyDescent="0.35">
      <c r="A117" s="15" t="s">
        <v>10625</v>
      </c>
      <c r="B117" s="15" t="s">
        <v>10320</v>
      </c>
      <c r="C117" s="15" t="s">
        <v>10566</v>
      </c>
      <c r="D117" s="15" t="s">
        <v>10323</v>
      </c>
      <c r="E117" s="15" t="s">
        <v>10722</v>
      </c>
      <c r="F117" s="15">
        <v>92598</v>
      </c>
      <c r="G117" s="15">
        <v>0.8971289950639485</v>
      </c>
      <c r="H117" s="15">
        <v>200</v>
      </c>
      <c r="I117" s="78">
        <v>182.55709920433304</v>
      </c>
      <c r="J117" s="79">
        <v>1.8676922732762711</v>
      </c>
      <c r="K117" s="15">
        <v>30</v>
      </c>
      <c r="L117" s="15">
        <v>63.12080933554396</v>
      </c>
      <c r="M117" s="15">
        <v>14.555139286303007</v>
      </c>
      <c r="N117" s="15">
        <v>32.481405643347827</v>
      </c>
      <c r="O117" s="15">
        <v>6.0543553641889938</v>
      </c>
      <c r="P117" s="15">
        <v>12.576516052804898</v>
      </c>
      <c r="Q117" s="15">
        <v>13.850534226353929</v>
      </c>
      <c r="R117" s="15">
        <v>2.5903921000569889</v>
      </c>
      <c r="S117" s="15">
        <v>5.4281057430338375</v>
      </c>
      <c r="T117" s="15">
        <v>5.8320363832631026</v>
      </c>
      <c r="U117" s="15">
        <v>0</v>
      </c>
      <c r="V117" s="15">
        <v>0</v>
      </c>
      <c r="W117" s="15">
        <v>0</v>
      </c>
      <c r="X117" s="15">
        <v>986099.74578583241</v>
      </c>
      <c r="Y117" s="15">
        <v>300.20101355741713</v>
      </c>
      <c r="Z117" s="15">
        <v>0</v>
      </c>
      <c r="AA117" s="15">
        <v>0</v>
      </c>
      <c r="AB117" s="15">
        <v>0</v>
      </c>
      <c r="AC117" s="15">
        <v>300.20101355741713</v>
      </c>
      <c r="AD117" s="15">
        <v>117.64391435308409</v>
      </c>
      <c r="AE117" s="15">
        <v>-11.92783740543396</v>
      </c>
      <c r="AF117" s="15">
        <v>0</v>
      </c>
      <c r="AG117" s="15">
        <v>0</v>
      </c>
      <c r="AH117" s="15">
        <v>0</v>
      </c>
      <c r="AI117" s="15">
        <v>101.46076875</v>
      </c>
      <c r="AJ117" s="15">
        <v>0</v>
      </c>
      <c r="AK117" s="15">
        <v>28.110983008517998</v>
      </c>
      <c r="AL117" s="15">
        <v>0</v>
      </c>
      <c r="AM117" s="15">
        <v>0</v>
      </c>
      <c r="AN117" s="15">
        <v>0.39188380132028849</v>
      </c>
      <c r="AO117" s="15">
        <v>182.55709920433304</v>
      </c>
      <c r="AP117" s="15">
        <v>0</v>
      </c>
      <c r="AQ117" s="15">
        <v>0</v>
      </c>
      <c r="AR117" s="15">
        <v>0</v>
      </c>
      <c r="AS117" s="15">
        <v>0</v>
      </c>
      <c r="AT117" s="15">
        <v>0</v>
      </c>
      <c r="AU117" s="15">
        <v>323.51758281999554</v>
      </c>
      <c r="AV117" s="15">
        <v>61.280875000000009</v>
      </c>
      <c r="AW117" s="15">
        <v>61.280875000000009</v>
      </c>
      <c r="AX117" s="15">
        <v>0</v>
      </c>
      <c r="AY117" s="15">
        <v>0</v>
      </c>
      <c r="AZ117" s="15">
        <v>216.28598524836389</v>
      </c>
      <c r="BA117" s="15">
        <v>76.930878417473053</v>
      </c>
      <c r="BB117" s="15">
        <v>58.064627846204509</v>
      </c>
      <c r="BC117" s="15">
        <v>81.290478984686317</v>
      </c>
      <c r="BD117" s="15">
        <v>0</v>
      </c>
      <c r="BE117" s="15">
        <v>45.950722571631601</v>
      </c>
      <c r="BF117" s="15">
        <v>15.606442548142553</v>
      </c>
      <c r="BG117" s="15">
        <v>1.4723613094253216</v>
      </c>
      <c r="BH117" s="15">
        <v>28.871918714063725</v>
      </c>
      <c r="BI117" s="15">
        <v>0</v>
      </c>
      <c r="BJ117" s="15">
        <v>323.51758281999554</v>
      </c>
      <c r="BK117" s="15">
        <v>441.16149717307962</v>
      </c>
      <c r="BL117" s="15">
        <v>1.1357739255282349</v>
      </c>
      <c r="BM117" s="15">
        <v>1.8676922732762711</v>
      </c>
    </row>
    <row r="118" spans="1:65" x14ac:dyDescent="0.35">
      <c r="A118" s="15" t="s">
        <v>10625</v>
      </c>
      <c r="B118" s="15" t="s">
        <v>10320</v>
      </c>
      <c r="C118" s="15" t="s">
        <v>10566</v>
      </c>
      <c r="D118" s="15" t="s">
        <v>10324</v>
      </c>
      <c r="E118" s="15" t="s">
        <v>10723</v>
      </c>
      <c r="F118" s="15">
        <v>92598</v>
      </c>
      <c r="G118" s="15">
        <v>0.8971289950639485</v>
      </c>
      <c r="H118" s="15">
        <v>200</v>
      </c>
      <c r="I118" s="78">
        <v>179.13909951045326</v>
      </c>
      <c r="J118" s="79">
        <v>1.8935310701265069</v>
      </c>
      <c r="K118" s="15">
        <v>30</v>
      </c>
      <c r="L118" s="15">
        <v>63.902975773594918</v>
      </c>
      <c r="M118" s="15">
        <v>14.668306785904033</v>
      </c>
      <c r="N118" s="15">
        <v>32.481405643347827</v>
      </c>
      <c r="O118" s="15">
        <v>4.5642871210032361</v>
      </c>
      <c r="P118" s="15">
        <v>13.108683282514098</v>
      </c>
      <c r="Q118" s="15">
        <v>14.808435239830491</v>
      </c>
      <c r="R118" s="15">
        <v>2.5903921000569889</v>
      </c>
      <c r="S118" s="15">
        <v>6.3860067565103975</v>
      </c>
      <c r="T118" s="15">
        <v>5.8320363832631026</v>
      </c>
      <c r="U118" s="15">
        <v>0</v>
      </c>
      <c r="V118" s="15">
        <v>0</v>
      </c>
      <c r="W118" s="15">
        <v>0</v>
      </c>
      <c r="X118" s="15">
        <v>0</v>
      </c>
      <c r="Y118" s="15">
        <v>267.60417534542665</v>
      </c>
      <c r="Z118" s="15">
        <v>0</v>
      </c>
      <c r="AA118" s="15">
        <v>0</v>
      </c>
      <c r="AB118" s="15">
        <v>0</v>
      </c>
      <c r="AC118" s="15">
        <v>267.60417534542665</v>
      </c>
      <c r="AD118" s="15">
        <v>88.465075834973391</v>
      </c>
      <c r="AE118" s="15">
        <v>-12.995692915026606</v>
      </c>
      <c r="AF118" s="15">
        <v>0</v>
      </c>
      <c r="AG118" s="15">
        <v>0</v>
      </c>
      <c r="AH118" s="15">
        <v>0</v>
      </c>
      <c r="AI118" s="15">
        <v>101.46076875</v>
      </c>
      <c r="AJ118" s="15">
        <v>0</v>
      </c>
      <c r="AK118" s="15">
        <v>0</v>
      </c>
      <c r="AL118" s="15">
        <v>0</v>
      </c>
      <c r="AM118" s="15">
        <v>0</v>
      </c>
      <c r="AN118" s="15">
        <v>0.33058182190461571</v>
      </c>
      <c r="AO118" s="15">
        <v>179.13909951045326</v>
      </c>
      <c r="AP118" s="15">
        <v>0</v>
      </c>
      <c r="AQ118" s="15">
        <v>0</v>
      </c>
      <c r="AR118" s="15">
        <v>0</v>
      </c>
      <c r="AS118" s="15">
        <v>0</v>
      </c>
      <c r="AT118" s="15">
        <v>0</v>
      </c>
      <c r="AU118" s="15">
        <v>318.34455030798063</v>
      </c>
      <c r="AV118" s="15">
        <v>59.642500000000005</v>
      </c>
      <c r="AW118" s="15">
        <v>59.642500000000005</v>
      </c>
      <c r="AX118" s="15">
        <v>0</v>
      </c>
      <c r="AY118" s="15">
        <v>0</v>
      </c>
      <c r="AZ118" s="15">
        <v>217.24420777144076</v>
      </c>
      <c r="BA118" s="15">
        <v>76.930878417473053</v>
      </c>
      <c r="BB118" s="15">
        <v>58.463887230819886</v>
      </c>
      <c r="BC118" s="15">
        <v>81.849442123147824</v>
      </c>
      <c r="BD118" s="15">
        <v>0</v>
      </c>
      <c r="BE118" s="15">
        <v>41.457842536539914</v>
      </c>
      <c r="BF118" s="15">
        <v>14.029993413022664</v>
      </c>
      <c r="BG118" s="15">
        <v>1.4723613094253216</v>
      </c>
      <c r="BH118" s="15">
        <v>25.955487814091928</v>
      </c>
      <c r="BI118" s="15">
        <v>0</v>
      </c>
      <c r="BJ118" s="15">
        <v>318.34455030798063</v>
      </c>
      <c r="BK118" s="15">
        <v>406.80962614295402</v>
      </c>
      <c r="BL118" s="15">
        <v>1.2675641191310896</v>
      </c>
      <c r="BM118" s="15">
        <v>1.8935310701265069</v>
      </c>
    </row>
    <row r="119" spans="1:65" x14ac:dyDescent="0.35">
      <c r="A119" s="15" t="s">
        <v>10625</v>
      </c>
      <c r="B119" s="15" t="s">
        <v>10320</v>
      </c>
      <c r="C119" s="15" t="s">
        <v>10566</v>
      </c>
      <c r="D119" s="15" t="s">
        <v>10325</v>
      </c>
      <c r="E119" s="15" t="s">
        <v>10724</v>
      </c>
      <c r="F119" s="15">
        <v>92598</v>
      </c>
      <c r="G119" s="15">
        <v>0.8971289950639485</v>
      </c>
      <c r="H119" s="15">
        <v>200</v>
      </c>
      <c r="I119" s="78">
        <v>241.79690753955828</v>
      </c>
      <c r="J119" s="79">
        <v>1.1646727049839392</v>
      </c>
      <c r="K119" s="15">
        <v>30</v>
      </c>
      <c r="L119" s="15">
        <v>57.827420897788571</v>
      </c>
      <c r="M119" s="15">
        <v>13.828470517859229</v>
      </c>
      <c r="N119" s="15">
        <v>32.481405643347827</v>
      </c>
      <c r="O119" s="15">
        <v>7.2790018011601409</v>
      </c>
      <c r="P119" s="15">
        <v>11.362645322155936</v>
      </c>
      <c r="Q119" s="15">
        <v>13.839758520031745</v>
      </c>
      <c r="R119" s="15">
        <v>2.5903921000569889</v>
      </c>
      <c r="S119" s="15">
        <v>0</v>
      </c>
      <c r="T119" s="15">
        <v>11.249366419974757</v>
      </c>
      <c r="U119" s="15">
        <v>0</v>
      </c>
      <c r="V119" s="15">
        <v>0</v>
      </c>
      <c r="W119" s="15">
        <v>0</v>
      </c>
      <c r="X119" s="15">
        <v>0</v>
      </c>
      <c r="Y119" s="15">
        <v>331.05565178408585</v>
      </c>
      <c r="Z119" s="15">
        <v>0</v>
      </c>
      <c r="AA119" s="15">
        <v>0</v>
      </c>
      <c r="AB119" s="15">
        <v>0</v>
      </c>
      <c r="AC119" s="15">
        <v>331.05565178408585</v>
      </c>
      <c r="AD119" s="15">
        <v>89.258744244527577</v>
      </c>
      <c r="AE119" s="15">
        <v>-12.202024505472439</v>
      </c>
      <c r="AF119" s="15">
        <v>0</v>
      </c>
      <c r="AG119" s="15">
        <v>0</v>
      </c>
      <c r="AH119" s="15">
        <v>0</v>
      </c>
      <c r="AI119" s="15">
        <v>101.46076875</v>
      </c>
      <c r="AJ119" s="15">
        <v>0</v>
      </c>
      <c r="AK119" s="15">
        <v>0</v>
      </c>
      <c r="AL119" s="15">
        <v>0</v>
      </c>
      <c r="AM119" s="15">
        <v>0</v>
      </c>
      <c r="AN119" s="15">
        <v>0.2696185483120585</v>
      </c>
      <c r="AO119" s="15">
        <v>241.79690753955828</v>
      </c>
      <c r="AP119" s="15">
        <v>0</v>
      </c>
      <c r="AQ119" s="15">
        <v>0</v>
      </c>
      <c r="AR119" s="15">
        <v>0</v>
      </c>
      <c r="AS119" s="15">
        <v>0</v>
      </c>
      <c r="AT119" s="15">
        <v>0</v>
      </c>
      <c r="AU119" s="15">
        <v>323.41116590040713</v>
      </c>
      <c r="AV119" s="15">
        <v>65.018000000000015</v>
      </c>
      <c r="AW119" s="15">
        <v>65.018000000000015</v>
      </c>
      <c r="AX119" s="15">
        <v>0</v>
      </c>
      <c r="AY119" s="15">
        <v>0</v>
      </c>
      <c r="AZ119" s="15">
        <v>208.00658571971974</v>
      </c>
      <c r="BA119" s="15">
        <v>76.930878417473053</v>
      </c>
      <c r="BB119" s="15">
        <v>54.614878042602768</v>
      </c>
      <c r="BC119" s="15">
        <v>76.460829259643887</v>
      </c>
      <c r="BD119" s="15">
        <v>0</v>
      </c>
      <c r="BE119" s="15">
        <v>50.386580180687375</v>
      </c>
      <c r="BF119" s="15">
        <v>17.162883814477915</v>
      </c>
      <c r="BG119" s="15">
        <v>1.4723613094253216</v>
      </c>
      <c r="BH119" s="15">
        <v>31.751335056784139</v>
      </c>
      <c r="BI119" s="15">
        <v>0</v>
      </c>
      <c r="BJ119" s="15">
        <v>323.41116590040713</v>
      </c>
      <c r="BK119" s="15">
        <v>412.6699101449347</v>
      </c>
      <c r="BL119" s="15">
        <v>0.85065534100749118</v>
      </c>
      <c r="BM119" s="15">
        <v>1.1646727049839392</v>
      </c>
    </row>
    <row r="120" spans="1:65" x14ac:dyDescent="0.35">
      <c r="A120" s="15" t="s">
        <v>10625</v>
      </c>
      <c r="B120" s="15" t="s">
        <v>10320</v>
      </c>
      <c r="C120" s="15" t="s">
        <v>10566</v>
      </c>
      <c r="D120" s="15" t="s">
        <v>10326</v>
      </c>
      <c r="E120" s="15" t="s">
        <v>10725</v>
      </c>
      <c r="F120" s="15">
        <v>92598</v>
      </c>
      <c r="G120" s="15">
        <v>0.8971289950639485</v>
      </c>
      <c r="H120" s="15">
        <v>200</v>
      </c>
      <c r="I120" s="78">
        <v>136.70627636029457</v>
      </c>
      <c r="J120" s="79">
        <v>5.5292563325919906</v>
      </c>
      <c r="K120" s="15">
        <v>30</v>
      </c>
      <c r="L120" s="15">
        <v>57.827420897788571</v>
      </c>
      <c r="M120" s="15">
        <v>13.32583253744323</v>
      </c>
      <c r="N120" s="15">
        <v>32.481405643347827</v>
      </c>
      <c r="O120" s="15">
        <v>23.737403245472567</v>
      </c>
      <c r="P120" s="15">
        <v>5.9782027086581673</v>
      </c>
      <c r="Q120" s="15">
        <v>2.7657996892170917</v>
      </c>
      <c r="R120" s="15">
        <v>2.7657996892170917</v>
      </c>
      <c r="S120" s="15">
        <v>0</v>
      </c>
      <c r="T120" s="15">
        <v>0</v>
      </c>
      <c r="U120" s="15">
        <v>20595.449596864855</v>
      </c>
      <c r="V120" s="15">
        <v>0</v>
      </c>
      <c r="W120" s="15">
        <v>0</v>
      </c>
      <c r="X120" s="15">
        <v>0</v>
      </c>
      <c r="Y120" s="15">
        <v>618.31622150207158</v>
      </c>
      <c r="Z120" s="15">
        <v>0</v>
      </c>
      <c r="AA120" s="15">
        <v>0</v>
      </c>
      <c r="AB120" s="15">
        <v>0</v>
      </c>
      <c r="AC120" s="15">
        <v>618.31622150207158</v>
      </c>
      <c r="AD120" s="15">
        <v>481.60994514177702</v>
      </c>
      <c r="AE120" s="15">
        <v>11.067222733417033</v>
      </c>
      <c r="AF120" s="15">
        <v>0</v>
      </c>
      <c r="AG120" s="15">
        <v>0</v>
      </c>
      <c r="AH120" s="15">
        <v>347.54236417891752</v>
      </c>
      <c r="AI120" s="15">
        <v>123.00035822944251</v>
      </c>
      <c r="AJ120" s="15">
        <v>0</v>
      </c>
      <c r="AK120" s="15">
        <v>0</v>
      </c>
      <c r="AL120" s="15">
        <v>0</v>
      </c>
      <c r="AM120" s="15">
        <v>0</v>
      </c>
      <c r="AN120" s="15">
        <v>0.77890556384208243</v>
      </c>
      <c r="AO120" s="15">
        <v>136.70627636029457</v>
      </c>
      <c r="AP120" s="15">
        <v>358.60958691233458</v>
      </c>
      <c r="AQ120" s="15">
        <v>11.067222733417033</v>
      </c>
      <c r="AR120" s="15">
        <v>0</v>
      </c>
      <c r="AS120" s="15">
        <v>0</v>
      </c>
      <c r="AT120" s="15">
        <v>347.54236417891752</v>
      </c>
      <c r="AU120" s="15">
        <v>333.98073371818953</v>
      </c>
      <c r="AV120" s="15">
        <v>81.594999999999999</v>
      </c>
      <c r="AW120" s="15">
        <v>81.594999999999999</v>
      </c>
      <c r="AX120" s="15">
        <v>0</v>
      </c>
      <c r="AY120" s="15">
        <v>0</v>
      </c>
      <c r="AZ120" s="15">
        <v>213.79440531287207</v>
      </c>
      <c r="BA120" s="15">
        <v>82.718698010625403</v>
      </c>
      <c r="BB120" s="15">
        <v>54.614878042602768</v>
      </c>
      <c r="BC120" s="15">
        <v>76.460829259643887</v>
      </c>
      <c r="BD120" s="15">
        <v>0</v>
      </c>
      <c r="BE120" s="15">
        <v>38.591328405317441</v>
      </c>
      <c r="BF120" s="15">
        <v>12.985331729486854</v>
      </c>
      <c r="BG120" s="15">
        <v>1.583132976279912</v>
      </c>
      <c r="BH120" s="15">
        <v>24.02286369955068</v>
      </c>
      <c r="BI120" s="15">
        <v>0</v>
      </c>
      <c r="BJ120" s="15">
        <v>692.59032063052405</v>
      </c>
      <c r="BK120" s="15">
        <v>1174.200265772301</v>
      </c>
      <c r="BL120" s="15">
        <v>1.222487811227021</v>
      </c>
      <c r="BM120" s="15">
        <v>5.5292563325919906</v>
      </c>
    </row>
    <row r="121" spans="1:65" x14ac:dyDescent="0.35">
      <c r="A121" s="15" t="s">
        <v>10625</v>
      </c>
      <c r="B121" s="15" t="s">
        <v>10320</v>
      </c>
      <c r="C121" s="15" t="s">
        <v>10566</v>
      </c>
      <c r="D121" s="15" t="s">
        <v>10327</v>
      </c>
      <c r="E121" s="15" t="s">
        <v>10726</v>
      </c>
      <c r="F121" s="15">
        <v>92598</v>
      </c>
      <c r="G121" s="15">
        <v>0.8971289950639485</v>
      </c>
      <c r="H121" s="15">
        <v>200</v>
      </c>
      <c r="I121" s="80">
        <v>1106.4930576401371</v>
      </c>
      <c r="J121" s="81">
        <v>2.7347354201594898E-2</v>
      </c>
      <c r="K121" s="15">
        <v>30</v>
      </c>
      <c r="L121" s="15">
        <v>72.996880831989259</v>
      </c>
      <c r="M121" s="15">
        <v>22.225813280024298</v>
      </c>
      <c r="N121" s="15">
        <v>32.481405643347827</v>
      </c>
      <c r="O121" s="15">
        <v>23.737403245472567</v>
      </c>
      <c r="P121" s="15">
        <v>5.9782027086581673</v>
      </c>
      <c r="Q121" s="15">
        <v>2.7657996892170917</v>
      </c>
      <c r="R121" s="15">
        <v>2.7657996892170917</v>
      </c>
      <c r="S121" s="15">
        <v>0</v>
      </c>
      <c r="T121" s="15">
        <v>0</v>
      </c>
      <c r="U121" s="15">
        <v>20595.449596864855</v>
      </c>
      <c r="V121" s="15">
        <v>0</v>
      </c>
      <c r="W121" s="15">
        <v>0</v>
      </c>
      <c r="X121" s="15">
        <v>0</v>
      </c>
      <c r="Y121" s="15">
        <v>1519.8377413464748</v>
      </c>
      <c r="Z121" s="15">
        <v>0</v>
      </c>
      <c r="AA121" s="15">
        <v>0</v>
      </c>
      <c r="AB121" s="15">
        <v>0</v>
      </c>
      <c r="AC121" s="15">
        <v>1519.8377413464748</v>
      </c>
      <c r="AD121" s="15">
        <v>413.34468370633772</v>
      </c>
      <c r="AE121" s="15">
        <v>28.162335569746823</v>
      </c>
      <c r="AF121" s="15">
        <v>0</v>
      </c>
      <c r="AG121" s="15">
        <v>0</v>
      </c>
      <c r="AH121" s="15">
        <v>262.18198990714831</v>
      </c>
      <c r="AI121" s="15">
        <v>123.00035822944251</v>
      </c>
      <c r="AJ121" s="15">
        <v>0</v>
      </c>
      <c r="AK121" s="15">
        <v>0</v>
      </c>
      <c r="AL121" s="15">
        <v>0</v>
      </c>
      <c r="AM121" s="15">
        <v>0</v>
      </c>
      <c r="AN121" s="15">
        <v>0.27196632407624116</v>
      </c>
      <c r="AO121" s="15">
        <v>1106.4930576401371</v>
      </c>
      <c r="AP121" s="15">
        <v>290.34432547689511</v>
      </c>
      <c r="AQ121" s="15">
        <v>28.162335569746823</v>
      </c>
      <c r="AR121" s="15">
        <v>0</v>
      </c>
      <c r="AS121" s="15">
        <v>0</v>
      </c>
      <c r="AT121" s="15">
        <v>262.18198990714831</v>
      </c>
      <c r="AU121" s="15">
        <v>646.4083897321326</v>
      </c>
      <c r="AV121" s="15">
        <v>81.594999999999999</v>
      </c>
      <c r="AW121" s="15">
        <v>81.594999999999999</v>
      </c>
      <c r="AX121" s="15">
        <v>0</v>
      </c>
      <c r="AY121" s="15">
        <v>0</v>
      </c>
      <c r="AZ121" s="15">
        <v>388.02744499443764</v>
      </c>
      <c r="BA121" s="15">
        <v>82.718698010625403</v>
      </c>
      <c r="BB121" s="15">
        <v>127.21197790992176</v>
      </c>
      <c r="BC121" s="15">
        <v>178.09676907389047</v>
      </c>
      <c r="BD121" s="15">
        <v>0</v>
      </c>
      <c r="BE121" s="15">
        <v>176.78594473769502</v>
      </c>
      <c r="BF121" s="15">
        <v>61.474670793478985</v>
      </c>
      <c r="BG121" s="15">
        <v>1.583132976279912</v>
      </c>
      <c r="BH121" s="15">
        <v>113.72814096793611</v>
      </c>
      <c r="BI121" s="15">
        <v>0</v>
      </c>
      <c r="BJ121" s="15">
        <v>936.75271520902766</v>
      </c>
      <c r="BK121" s="15">
        <v>1350.0973989153654</v>
      </c>
      <c r="BL121" s="15">
        <v>1.9909794806176186E-2</v>
      </c>
      <c r="BM121" s="15">
        <v>2.7347354201594898E-2</v>
      </c>
    </row>
    <row r="122" spans="1:65" s="60" customFormat="1" x14ac:dyDescent="0.35">
      <c r="A122" s="59" t="s">
        <v>10625</v>
      </c>
      <c r="B122" s="59" t="s">
        <v>10320</v>
      </c>
      <c r="C122" s="59" t="s">
        <v>10692</v>
      </c>
      <c r="D122" s="59" t="s">
        <v>10326</v>
      </c>
      <c r="E122" s="59" t="s">
        <v>10727</v>
      </c>
      <c r="F122" s="59">
        <v>92598</v>
      </c>
      <c r="G122" s="59">
        <v>0.8971289950639485</v>
      </c>
      <c r="H122" s="59">
        <v>200</v>
      </c>
      <c r="I122" s="59">
        <v>136.70627636029457</v>
      </c>
      <c r="J122" s="88">
        <v>5.5292563325919906</v>
      </c>
      <c r="K122" s="59">
        <v>30</v>
      </c>
      <c r="L122" s="59">
        <v>57.827420897788571</v>
      </c>
      <c r="M122" s="59">
        <v>13.32583253744323</v>
      </c>
      <c r="N122" s="59">
        <v>32.481405643347827</v>
      </c>
      <c r="O122" s="59">
        <v>23.737403245472567</v>
      </c>
      <c r="P122" s="59">
        <v>5.9782027086581673</v>
      </c>
      <c r="Q122" s="59">
        <v>2.7657996892170917</v>
      </c>
      <c r="R122" s="59">
        <v>2.7657996892170917</v>
      </c>
      <c r="S122" s="59">
        <v>0</v>
      </c>
      <c r="T122" s="59">
        <v>0</v>
      </c>
      <c r="U122" s="59">
        <v>20595.449596864855</v>
      </c>
      <c r="V122" s="59">
        <v>0</v>
      </c>
      <c r="W122" s="59">
        <v>0</v>
      </c>
      <c r="X122" s="59">
        <v>0</v>
      </c>
      <c r="Y122" s="59">
        <v>618.31622150207158</v>
      </c>
      <c r="Z122" s="59">
        <v>0</v>
      </c>
      <c r="AA122" s="59">
        <v>0</v>
      </c>
      <c r="AB122" s="59">
        <v>0</v>
      </c>
      <c r="AC122" s="59">
        <v>618.31622150207158</v>
      </c>
      <c r="AD122" s="59">
        <v>481.60994514177702</v>
      </c>
      <c r="AE122" s="59">
        <v>11.067222733417033</v>
      </c>
      <c r="AF122" s="59">
        <v>0</v>
      </c>
      <c r="AG122" s="59">
        <v>0</v>
      </c>
      <c r="AH122" s="59">
        <v>347.54236417891752</v>
      </c>
      <c r="AI122" s="59">
        <v>123.00035822944251</v>
      </c>
      <c r="AJ122" s="59">
        <v>0</v>
      </c>
      <c r="AK122" s="59">
        <v>0</v>
      </c>
      <c r="AL122" s="59">
        <v>0</v>
      </c>
      <c r="AM122" s="59">
        <v>0</v>
      </c>
      <c r="AN122" s="59">
        <v>0.77890556384208243</v>
      </c>
      <c r="AO122" s="59">
        <v>136.70627636029457</v>
      </c>
      <c r="AP122" s="59">
        <v>358.60958691233458</v>
      </c>
      <c r="AQ122" s="59">
        <v>11.067222733417033</v>
      </c>
      <c r="AR122" s="59">
        <v>0</v>
      </c>
      <c r="AS122" s="59">
        <v>0</v>
      </c>
      <c r="AT122" s="59">
        <v>347.54236417891752</v>
      </c>
      <c r="AU122" s="59">
        <v>333.98073371818953</v>
      </c>
      <c r="AV122" s="59">
        <v>81.594999999999999</v>
      </c>
      <c r="AW122" s="59">
        <v>81.594999999999999</v>
      </c>
      <c r="AX122" s="59">
        <v>0</v>
      </c>
      <c r="AY122" s="59">
        <v>0</v>
      </c>
      <c r="AZ122" s="59">
        <v>213.79440531287207</v>
      </c>
      <c r="BA122" s="59">
        <v>82.718698010625403</v>
      </c>
      <c r="BB122" s="59">
        <v>54.614878042602768</v>
      </c>
      <c r="BC122" s="59">
        <v>76.460829259643887</v>
      </c>
      <c r="BD122" s="59">
        <v>0</v>
      </c>
      <c r="BE122" s="59">
        <v>38.591328405317441</v>
      </c>
      <c r="BF122" s="59">
        <v>12.985331729486854</v>
      </c>
      <c r="BG122" s="59">
        <v>1.583132976279912</v>
      </c>
      <c r="BH122" s="59">
        <v>24.02286369955068</v>
      </c>
      <c r="BI122" s="59">
        <v>0</v>
      </c>
      <c r="BJ122" s="59">
        <v>692.59032063052405</v>
      </c>
      <c r="BK122" s="59">
        <v>1174.200265772301</v>
      </c>
      <c r="BL122" s="59">
        <v>1.222487811227021</v>
      </c>
      <c r="BM122" s="59">
        <v>5.5292563325919906</v>
      </c>
    </row>
    <row r="123" spans="1:65" s="60" customFormat="1" x14ac:dyDescent="0.35">
      <c r="A123" s="15" t="s">
        <v>10625</v>
      </c>
      <c r="B123" s="15" t="s">
        <v>10320</v>
      </c>
      <c r="C123" s="15" t="s">
        <v>10586</v>
      </c>
      <c r="D123" s="15" t="s">
        <v>10321</v>
      </c>
      <c r="E123" s="15" t="s">
        <v>10728</v>
      </c>
      <c r="F123" s="15">
        <v>28529</v>
      </c>
      <c r="G123" s="15">
        <v>0.89713125361024126</v>
      </c>
      <c r="H123" s="15">
        <v>200</v>
      </c>
      <c r="I123" s="78">
        <v>146.63798289729402</v>
      </c>
      <c r="J123" s="79">
        <v>2.09174359096493</v>
      </c>
      <c r="K123" s="15">
        <v>30</v>
      </c>
      <c r="L123" s="15">
        <v>11.510622531453267</v>
      </c>
      <c r="M123" s="15">
        <v>6.0185419076649369</v>
      </c>
      <c r="N123" s="15">
        <v>10.007390596941073</v>
      </c>
      <c r="O123" s="15">
        <v>1.6694278956864119</v>
      </c>
      <c r="P123" s="15">
        <v>3.8747740744678594</v>
      </c>
      <c r="Q123" s="15">
        <v>4.4631886267868</v>
      </c>
      <c r="R123" s="15">
        <v>0.99398407104117203</v>
      </c>
      <c r="S123" s="15">
        <v>1.6723775740648594</v>
      </c>
      <c r="T123" s="15">
        <v>1.7968269816807687</v>
      </c>
      <c r="U123" s="15">
        <v>0</v>
      </c>
      <c r="V123" s="15">
        <v>1215.2534815738975</v>
      </c>
      <c r="W123" s="15">
        <v>0</v>
      </c>
      <c r="X123" s="15">
        <v>0</v>
      </c>
      <c r="Y123" s="15">
        <v>288.89808559445322</v>
      </c>
      <c r="Z123" s="15">
        <v>0</v>
      </c>
      <c r="AA123" s="15">
        <v>0</v>
      </c>
      <c r="AB123" s="15">
        <v>0</v>
      </c>
      <c r="AC123" s="15">
        <v>288.89808559445322</v>
      </c>
      <c r="AD123" s="15">
        <v>142.2601026971592</v>
      </c>
      <c r="AE123" s="15">
        <v>0.54994788619329271</v>
      </c>
      <c r="AF123" s="15">
        <v>0</v>
      </c>
      <c r="AG123" s="15">
        <v>0</v>
      </c>
      <c r="AH123" s="15">
        <v>40.249386060965904</v>
      </c>
      <c r="AI123" s="15">
        <v>101.46076875</v>
      </c>
      <c r="AJ123" s="15">
        <v>-1.557757283945386E-15</v>
      </c>
      <c r="AK123" s="15">
        <v>0</v>
      </c>
      <c r="AL123" s="15">
        <v>0</v>
      </c>
      <c r="AM123" s="15">
        <v>0</v>
      </c>
      <c r="AN123" s="15">
        <v>0.49242314086102951</v>
      </c>
      <c r="AO123" s="15">
        <v>146.63798289729402</v>
      </c>
      <c r="AP123" s="15">
        <v>40.799333947159198</v>
      </c>
      <c r="AQ123" s="15">
        <v>0.54994788619329271</v>
      </c>
      <c r="AR123" s="15">
        <v>0</v>
      </c>
      <c r="AS123" s="15">
        <v>0</v>
      </c>
      <c r="AT123" s="15">
        <v>40.249386060965904</v>
      </c>
      <c r="AU123" s="15">
        <v>212.56770986757456</v>
      </c>
      <c r="AV123" s="15">
        <v>61.280875000000016</v>
      </c>
      <c r="AW123" s="15">
        <v>61.280875000000016</v>
      </c>
      <c r="AX123" s="15">
        <v>0</v>
      </c>
      <c r="AY123" s="15">
        <v>0</v>
      </c>
      <c r="AZ123" s="15">
        <v>114.46040144840983</v>
      </c>
      <c r="BA123" s="15">
        <v>76.930878417473096</v>
      </c>
      <c r="BB123" s="15">
        <v>15.637301262890306</v>
      </c>
      <c r="BC123" s="15">
        <v>21.892221768046426</v>
      </c>
      <c r="BD123" s="15">
        <v>0</v>
      </c>
      <c r="BE123" s="15">
        <v>36.826433419164722</v>
      </c>
      <c r="BF123" s="15">
        <v>12.404937582364703</v>
      </c>
      <c r="BG123" s="15">
        <v>1.4723613094253223</v>
      </c>
      <c r="BH123" s="15">
        <v>22.949134527374696</v>
      </c>
      <c r="BI123" s="15">
        <v>0</v>
      </c>
      <c r="BJ123" s="15">
        <v>253.36704381473376</v>
      </c>
      <c r="BK123" s="59">
        <v>395.62714651189299</v>
      </c>
      <c r="BL123" s="59">
        <v>1.0617206420260505</v>
      </c>
      <c r="BM123" s="59">
        <v>2.09174359096493</v>
      </c>
    </row>
    <row r="124" spans="1:65" s="56" customFormat="1" x14ac:dyDescent="0.35">
      <c r="A124" s="15" t="s">
        <v>10625</v>
      </c>
      <c r="B124" s="15" t="s">
        <v>10320</v>
      </c>
      <c r="C124" s="15" t="s">
        <v>10586</v>
      </c>
      <c r="D124" s="15" t="s">
        <v>10322</v>
      </c>
      <c r="E124" s="15" t="s">
        <v>10729</v>
      </c>
      <c r="F124" s="15">
        <v>28529</v>
      </c>
      <c r="G124" s="15">
        <v>0.89713125361024126</v>
      </c>
      <c r="H124" s="15">
        <v>200</v>
      </c>
      <c r="I124" s="80">
        <v>850.31044963648856</v>
      </c>
      <c r="J124" s="81">
        <v>-0.40114417926009677</v>
      </c>
      <c r="K124" s="15">
        <v>30</v>
      </c>
      <c r="L124" s="15">
        <v>11.510622531453267</v>
      </c>
      <c r="M124" s="15">
        <v>6.0185419076649369</v>
      </c>
      <c r="N124" s="15">
        <v>10.007390596941073</v>
      </c>
      <c r="O124" s="15">
        <v>1.6694278956864119</v>
      </c>
      <c r="P124" s="15">
        <v>3.8747740744678594</v>
      </c>
      <c r="Q124" s="15">
        <v>4.4631886267868</v>
      </c>
      <c r="R124" s="15">
        <v>0.99398407104117203</v>
      </c>
      <c r="S124" s="15">
        <v>1.6723775740648594</v>
      </c>
      <c r="T124" s="15">
        <v>1.7968269816807687</v>
      </c>
      <c r="U124" s="15">
        <v>0</v>
      </c>
      <c r="V124" s="15">
        <v>0</v>
      </c>
      <c r="W124" s="15">
        <v>303.81337039347437</v>
      </c>
      <c r="X124" s="15">
        <v>0</v>
      </c>
      <c r="Y124" s="15">
        <v>288.89808559445322</v>
      </c>
      <c r="Z124" s="15">
        <v>0</v>
      </c>
      <c r="AA124" s="15">
        <v>0</v>
      </c>
      <c r="AB124" s="15">
        <v>0</v>
      </c>
      <c r="AC124" s="15">
        <v>288.89808559445322</v>
      </c>
      <c r="AD124" s="15">
        <v>-561.41236404203528</v>
      </c>
      <c r="AE124" s="15">
        <v>-0.62490944247001956</v>
      </c>
      <c r="AF124" s="15">
        <v>60.60066461972572</v>
      </c>
      <c r="AG124" s="15">
        <v>-697.39152532273442</v>
      </c>
      <c r="AH124" s="15">
        <v>0</v>
      </c>
      <c r="AI124" s="15">
        <v>101.46076875</v>
      </c>
      <c r="AJ124" s="15">
        <v>0</v>
      </c>
      <c r="AK124" s="15">
        <v>-25.457362646556486</v>
      </c>
      <c r="AL124" s="15">
        <v>0</v>
      </c>
      <c r="AM124" s="15">
        <v>0</v>
      </c>
      <c r="AN124" s="15">
        <v>-1.9432886268070662</v>
      </c>
      <c r="AO124" s="15">
        <v>850.31044963648856</v>
      </c>
      <c r="AP124" s="15">
        <v>0</v>
      </c>
      <c r="AQ124" s="15">
        <v>0</v>
      </c>
      <c r="AR124" s="15">
        <v>0</v>
      </c>
      <c r="AS124" s="15">
        <v>0</v>
      </c>
      <c r="AT124" s="15">
        <v>0</v>
      </c>
      <c r="AU124" s="15">
        <v>309.21336220077546</v>
      </c>
      <c r="AV124" s="15">
        <v>61.280875000000016</v>
      </c>
      <c r="AW124" s="15">
        <v>61.280875000000016</v>
      </c>
      <c r="AX124" s="15">
        <v>0</v>
      </c>
      <c r="AY124" s="15">
        <v>0</v>
      </c>
      <c r="AZ124" s="15">
        <v>114.46040144840983</v>
      </c>
      <c r="BA124" s="15">
        <v>76.930878417473096</v>
      </c>
      <c r="BB124" s="15">
        <v>15.637301262890306</v>
      </c>
      <c r="BC124" s="15">
        <v>21.892221768046426</v>
      </c>
      <c r="BD124" s="15">
        <v>0</v>
      </c>
      <c r="BE124" s="15">
        <v>133.47208575236564</v>
      </c>
      <c r="BF124" s="15">
        <v>46.315692786996607</v>
      </c>
      <c r="BG124" s="15">
        <v>1.4723613094253223</v>
      </c>
      <c r="BH124" s="15">
        <v>85.684031655943713</v>
      </c>
      <c r="BI124" s="15">
        <v>0</v>
      </c>
      <c r="BJ124" s="15">
        <v>309.21336220077546</v>
      </c>
      <c r="BK124" s="55">
        <v>-252.19900184125981</v>
      </c>
      <c r="BL124" s="55">
        <v>-1.1806831005260978</v>
      </c>
      <c r="BM124" s="55">
        <v>-0.40114417926009677</v>
      </c>
    </row>
    <row r="125" spans="1:65" x14ac:dyDescent="0.35">
      <c r="A125" s="15" t="s">
        <v>10625</v>
      </c>
      <c r="B125" s="15" t="s">
        <v>10320</v>
      </c>
      <c r="C125" s="15" t="s">
        <v>10586</v>
      </c>
      <c r="D125" s="15" t="s">
        <v>10323</v>
      </c>
      <c r="E125" s="15" t="s">
        <v>10730</v>
      </c>
      <c r="F125" s="15">
        <v>28529</v>
      </c>
      <c r="G125" s="15">
        <v>0.89713125361024126</v>
      </c>
      <c r="H125" s="15">
        <v>200</v>
      </c>
      <c r="I125" s="78">
        <v>188.75928646157911</v>
      </c>
      <c r="J125" s="79">
        <v>1.2169540497588927</v>
      </c>
      <c r="K125" s="15">
        <v>30</v>
      </c>
      <c r="L125" s="15">
        <v>11.510622531453267</v>
      </c>
      <c r="M125" s="15">
        <v>6.0185419076649369</v>
      </c>
      <c r="N125" s="15">
        <v>10.007390596941073</v>
      </c>
      <c r="O125" s="15">
        <v>1.6694278956864119</v>
      </c>
      <c r="P125" s="15">
        <v>3.8747740744678594</v>
      </c>
      <c r="Q125" s="15">
        <v>4.4631886267868</v>
      </c>
      <c r="R125" s="15">
        <v>0.99398407104117203</v>
      </c>
      <c r="S125" s="15">
        <v>1.6723775740648594</v>
      </c>
      <c r="T125" s="15">
        <v>1.7968269816807687</v>
      </c>
      <c r="U125" s="15">
        <v>0</v>
      </c>
      <c r="V125" s="15">
        <v>0</v>
      </c>
      <c r="W125" s="15">
        <v>0</v>
      </c>
      <c r="X125" s="15">
        <v>303813.37039347435</v>
      </c>
      <c r="Y125" s="15">
        <v>288.89808559445322</v>
      </c>
      <c r="Z125" s="15">
        <v>0</v>
      </c>
      <c r="AA125" s="15">
        <v>0</v>
      </c>
      <c r="AB125" s="15">
        <v>0</v>
      </c>
      <c r="AC125" s="15">
        <v>288.89808559445322</v>
      </c>
      <c r="AD125" s="15">
        <v>100.13879913287411</v>
      </c>
      <c r="AE125" s="15">
        <v>-0.62490944247001956</v>
      </c>
      <c r="AF125" s="15">
        <v>0</v>
      </c>
      <c r="AG125" s="15">
        <v>0</v>
      </c>
      <c r="AH125" s="15">
        <v>0</v>
      </c>
      <c r="AI125" s="15">
        <v>101.46076875</v>
      </c>
      <c r="AJ125" s="15">
        <v>0</v>
      </c>
      <c r="AK125" s="15">
        <v>-0.69706017465588044</v>
      </c>
      <c r="AL125" s="15">
        <v>0</v>
      </c>
      <c r="AM125" s="15">
        <v>0</v>
      </c>
      <c r="AN125" s="15">
        <v>0.34662327002556209</v>
      </c>
      <c r="AO125" s="15">
        <v>188.75928646157911</v>
      </c>
      <c r="AP125" s="15">
        <v>0</v>
      </c>
      <c r="AQ125" s="15">
        <v>0</v>
      </c>
      <c r="AR125" s="15">
        <v>0</v>
      </c>
      <c r="AS125" s="15">
        <v>0</v>
      </c>
      <c r="AT125" s="15">
        <v>0</v>
      </c>
      <c r="AU125" s="15">
        <v>218.47066455059672</v>
      </c>
      <c r="AV125" s="15">
        <v>61.280875000000016</v>
      </c>
      <c r="AW125" s="15">
        <v>61.280875000000016</v>
      </c>
      <c r="AX125" s="15">
        <v>0</v>
      </c>
      <c r="AY125" s="15">
        <v>0</v>
      </c>
      <c r="AZ125" s="15">
        <v>114.46040144840983</v>
      </c>
      <c r="BA125" s="15">
        <v>76.930878417473096</v>
      </c>
      <c r="BB125" s="15">
        <v>15.637301262890306</v>
      </c>
      <c r="BC125" s="15">
        <v>21.892221768046426</v>
      </c>
      <c r="BD125" s="15">
        <v>0</v>
      </c>
      <c r="BE125" s="15">
        <v>42.729388102186888</v>
      </c>
      <c r="BF125" s="15">
        <v>14.476149751846163</v>
      </c>
      <c r="BG125" s="15">
        <v>1.4723613094253223</v>
      </c>
      <c r="BH125" s="15">
        <v>26.780877040915399</v>
      </c>
      <c r="BI125" s="15">
        <v>0</v>
      </c>
      <c r="BJ125" s="15">
        <v>218.47066455059672</v>
      </c>
      <c r="BK125" s="15">
        <v>318.60946368347084</v>
      </c>
      <c r="BL125" s="15">
        <v>0.79512945756061471</v>
      </c>
      <c r="BM125" s="15">
        <v>1.2169540497588927</v>
      </c>
    </row>
    <row r="126" spans="1:65" x14ac:dyDescent="0.35">
      <c r="A126" s="15" t="s">
        <v>10625</v>
      </c>
      <c r="B126" s="15" t="s">
        <v>10320</v>
      </c>
      <c r="C126" s="15" t="s">
        <v>10586</v>
      </c>
      <c r="D126" s="15" t="s">
        <v>10324</v>
      </c>
      <c r="E126" s="15" t="s">
        <v>10731</v>
      </c>
      <c r="F126" s="15">
        <v>28529</v>
      </c>
      <c r="G126" s="15">
        <v>0.89713125361024126</v>
      </c>
      <c r="H126" s="15">
        <v>200</v>
      </c>
      <c r="I126" s="78">
        <v>154.73505049950842</v>
      </c>
      <c r="J126" s="79">
        <v>1.695406812885665</v>
      </c>
      <c r="K126" s="15">
        <v>30</v>
      </c>
      <c r="L126" s="15">
        <v>11.732959481744373</v>
      </c>
      <c r="M126" s="15">
        <v>6.0853041532358993</v>
      </c>
      <c r="N126" s="15">
        <v>10.007390596941073</v>
      </c>
      <c r="O126" s="15">
        <v>1.210343855747039</v>
      </c>
      <c r="P126" s="15">
        <v>4.038732660160492</v>
      </c>
      <c r="Q126" s="15">
        <v>4.7583140810335394</v>
      </c>
      <c r="R126" s="15">
        <v>0.99398407104117203</v>
      </c>
      <c r="S126" s="15">
        <v>1.9675030283115993</v>
      </c>
      <c r="T126" s="15">
        <v>1.7968269816807687</v>
      </c>
      <c r="U126" s="15">
        <v>0</v>
      </c>
      <c r="V126" s="15">
        <v>0</v>
      </c>
      <c r="W126" s="15">
        <v>0</v>
      </c>
      <c r="X126" s="15">
        <v>0</v>
      </c>
      <c r="Y126" s="15">
        <v>255.40215083995423</v>
      </c>
      <c r="Z126" s="15">
        <v>0</v>
      </c>
      <c r="AA126" s="15">
        <v>0</v>
      </c>
      <c r="AB126" s="15">
        <v>0</v>
      </c>
      <c r="AC126" s="15">
        <v>255.40215083995423</v>
      </c>
      <c r="AD126" s="15">
        <v>100.66710034044581</v>
      </c>
      <c r="AE126" s="15">
        <v>-0.79366840955416906</v>
      </c>
      <c r="AF126" s="15">
        <v>0</v>
      </c>
      <c r="AG126" s="15">
        <v>0</v>
      </c>
      <c r="AH126" s="15">
        <v>0</v>
      </c>
      <c r="AI126" s="15">
        <v>101.46076875</v>
      </c>
      <c r="AJ126" s="15">
        <v>0</v>
      </c>
      <c r="AK126" s="15">
        <v>0</v>
      </c>
      <c r="AL126" s="15">
        <v>0</v>
      </c>
      <c r="AM126" s="15">
        <v>0</v>
      </c>
      <c r="AN126" s="15">
        <v>0.39415134136254032</v>
      </c>
      <c r="AO126" s="15">
        <v>154.73505049950842</v>
      </c>
      <c r="AP126" s="15">
        <v>0</v>
      </c>
      <c r="AQ126" s="15">
        <v>0</v>
      </c>
      <c r="AR126" s="15">
        <v>0</v>
      </c>
      <c r="AS126" s="15">
        <v>0</v>
      </c>
      <c r="AT126" s="15">
        <v>0</v>
      </c>
      <c r="AU126" s="15">
        <v>217.07390930858242</v>
      </c>
      <c r="AV126" s="15">
        <v>59.642500000000005</v>
      </c>
      <c r="AW126" s="15">
        <v>59.642500000000005</v>
      </c>
      <c r="AX126" s="15">
        <v>0</v>
      </c>
      <c r="AY126" s="15">
        <v>0</v>
      </c>
      <c r="AZ126" s="15">
        <v>119.45114375610214</v>
      </c>
      <c r="BA126" s="15">
        <v>76.930878417473096</v>
      </c>
      <c r="BB126" s="15">
        <v>17.716777224428768</v>
      </c>
      <c r="BC126" s="15">
        <v>24.803488114200274</v>
      </c>
      <c r="BD126" s="15">
        <v>0</v>
      </c>
      <c r="BE126" s="15">
        <v>37.980265552480269</v>
      </c>
      <c r="BF126" s="15">
        <v>12.809790962475422</v>
      </c>
      <c r="BG126" s="15">
        <v>1.4723613094253223</v>
      </c>
      <c r="BH126" s="15">
        <v>23.698113280579527</v>
      </c>
      <c r="BI126" s="15">
        <v>0</v>
      </c>
      <c r="BJ126" s="15">
        <v>217.07390930858242</v>
      </c>
      <c r="BK126" s="15">
        <v>317.74100964902823</v>
      </c>
      <c r="BL126" s="15">
        <v>1.0271599434315908</v>
      </c>
      <c r="BM126" s="15">
        <v>1.695406812885665</v>
      </c>
    </row>
    <row r="127" spans="1:65" x14ac:dyDescent="0.35">
      <c r="A127" s="15" t="s">
        <v>10625</v>
      </c>
      <c r="B127" s="15" t="s">
        <v>10320</v>
      </c>
      <c r="C127" s="15" t="s">
        <v>10586</v>
      </c>
      <c r="D127" s="15" t="s">
        <v>10325</v>
      </c>
      <c r="E127" s="15" t="s">
        <v>10732</v>
      </c>
      <c r="F127" s="15">
        <v>28529</v>
      </c>
      <c r="G127" s="15">
        <v>0.89713125361024126</v>
      </c>
      <c r="H127" s="15">
        <v>200</v>
      </c>
      <c r="I127" s="78">
        <v>217.39285852861343</v>
      </c>
      <c r="J127" s="79">
        <v>0.78873346735499616</v>
      </c>
      <c r="K127" s="15">
        <v>30</v>
      </c>
      <c r="L127" s="15">
        <v>10</v>
      </c>
      <c r="M127" s="15">
        <v>5.3267984857280029</v>
      </c>
      <c r="N127" s="15">
        <v>10.007390596941073</v>
      </c>
      <c r="O127" s="15">
        <v>2.046736543362881</v>
      </c>
      <c r="P127" s="15">
        <v>3.5007853786219263</v>
      </c>
      <c r="Q127" s="15">
        <v>4.4598686749562653</v>
      </c>
      <c r="R127" s="15">
        <v>0.99398407104117203</v>
      </c>
      <c r="S127" s="15">
        <v>0</v>
      </c>
      <c r="T127" s="15">
        <v>3.465884603915093</v>
      </c>
      <c r="U127" s="15">
        <v>0</v>
      </c>
      <c r="V127" s="15">
        <v>0</v>
      </c>
      <c r="W127" s="15">
        <v>0</v>
      </c>
      <c r="X127" s="15">
        <v>0</v>
      </c>
      <c r="Y127" s="15">
        <v>318.85362727861343</v>
      </c>
      <c r="Z127" s="15">
        <v>0</v>
      </c>
      <c r="AA127" s="15">
        <v>0</v>
      </c>
      <c r="AB127" s="15">
        <v>0</v>
      </c>
      <c r="AC127" s="15">
        <v>318.85362727861343</v>
      </c>
      <c r="AD127" s="15">
        <v>101.46076875</v>
      </c>
      <c r="AE127" s="15">
        <v>0</v>
      </c>
      <c r="AF127" s="15">
        <v>0</v>
      </c>
      <c r="AG127" s="15">
        <v>0</v>
      </c>
      <c r="AH127" s="15">
        <v>0</v>
      </c>
      <c r="AI127" s="15">
        <v>101.46076875</v>
      </c>
      <c r="AJ127" s="15">
        <v>0</v>
      </c>
      <c r="AK127" s="15">
        <v>0</v>
      </c>
      <c r="AL127" s="15">
        <v>0</v>
      </c>
      <c r="AM127" s="15">
        <v>0</v>
      </c>
      <c r="AN127" s="15">
        <v>0.31820484407205396</v>
      </c>
      <c r="AO127" s="15">
        <v>217.39285852861343</v>
      </c>
      <c r="AP127" s="15">
        <v>0</v>
      </c>
      <c r="AQ127" s="15">
        <v>0</v>
      </c>
      <c r="AR127" s="15">
        <v>0</v>
      </c>
      <c r="AS127" s="15">
        <v>0</v>
      </c>
      <c r="AT127" s="15">
        <v>0</v>
      </c>
      <c r="AU127" s="15">
        <v>188.85788161410085</v>
      </c>
      <c r="AV127" s="15">
        <v>65.018000000000001</v>
      </c>
      <c r="AW127" s="15">
        <v>65.018000000000001</v>
      </c>
      <c r="AX127" s="15">
        <v>0</v>
      </c>
      <c r="AY127" s="15">
        <v>0</v>
      </c>
      <c r="AZ127" s="15">
        <v>76.930878417473096</v>
      </c>
      <c r="BA127" s="15">
        <v>76.930878417473096</v>
      </c>
      <c r="BB127" s="15">
        <v>0</v>
      </c>
      <c r="BC127" s="15">
        <v>0</v>
      </c>
      <c r="BD127" s="15">
        <v>0</v>
      </c>
      <c r="BE127" s="15">
        <v>46.909003196627737</v>
      </c>
      <c r="BF127" s="15">
        <v>15.942681363930673</v>
      </c>
      <c r="BG127" s="15">
        <v>1.4723613094253223</v>
      </c>
      <c r="BH127" s="15">
        <v>29.493960523271742</v>
      </c>
      <c r="BI127" s="15">
        <v>0</v>
      </c>
      <c r="BJ127" s="15">
        <v>188.85788161410085</v>
      </c>
      <c r="BK127" s="15">
        <v>290.31865036410085</v>
      </c>
      <c r="BL127" s="15">
        <v>0.53775465736088912</v>
      </c>
      <c r="BM127" s="15">
        <v>0.78873346735499616</v>
      </c>
    </row>
    <row r="128" spans="1:65" x14ac:dyDescent="0.35">
      <c r="A128" s="15" t="s">
        <v>10625</v>
      </c>
      <c r="B128" s="15" t="s">
        <v>10320</v>
      </c>
      <c r="C128" s="15" t="s">
        <v>10586</v>
      </c>
      <c r="D128" s="15" t="s">
        <v>10326</v>
      </c>
      <c r="E128" s="15" t="s">
        <v>10733</v>
      </c>
      <c r="F128" s="15">
        <v>28529</v>
      </c>
      <c r="G128" s="15">
        <v>0.89713125361024126</v>
      </c>
      <c r="H128" s="15">
        <v>200</v>
      </c>
      <c r="I128" s="78">
        <v>-566.74705254973401</v>
      </c>
      <c r="J128" s="81">
        <v>-3.3884705073369963</v>
      </c>
      <c r="K128" s="15">
        <v>30</v>
      </c>
      <c r="L128" s="15">
        <v>10</v>
      </c>
      <c r="M128" s="15">
        <v>5.1719377431199982</v>
      </c>
      <c r="N128" s="15">
        <v>10.007390596941073</v>
      </c>
      <c r="O128" s="15">
        <v>7.3133985838815043</v>
      </c>
      <c r="P128" s="15">
        <v>1.8418602393670047</v>
      </c>
      <c r="Q128" s="15">
        <v>0.85213177369256465</v>
      </c>
      <c r="R128" s="15">
        <v>0.85213177369256465</v>
      </c>
      <c r="S128" s="15">
        <v>0</v>
      </c>
      <c r="T128" s="15">
        <v>0</v>
      </c>
      <c r="U128" s="15">
        <v>6345.3752863570944</v>
      </c>
      <c r="V128" s="15">
        <v>0</v>
      </c>
      <c r="W128" s="15">
        <v>0</v>
      </c>
      <c r="X128" s="15">
        <v>0</v>
      </c>
      <c r="Y128" s="15">
        <v>607.24899876865459</v>
      </c>
      <c r="Z128" s="15">
        <v>0</v>
      </c>
      <c r="AA128" s="15">
        <v>0</v>
      </c>
      <c r="AB128" s="15">
        <v>0</v>
      </c>
      <c r="AC128" s="15">
        <v>607.24899876865459</v>
      </c>
      <c r="AD128" s="15">
        <v>1173.9960513183887</v>
      </c>
      <c r="AE128" s="15">
        <v>0</v>
      </c>
      <c r="AF128" s="15">
        <v>0</v>
      </c>
      <c r="AG128" s="15">
        <v>0</v>
      </c>
      <c r="AH128" s="15">
        <v>1050.9956930889462</v>
      </c>
      <c r="AI128" s="15">
        <v>123.0003582294425</v>
      </c>
      <c r="AJ128" s="15">
        <v>0</v>
      </c>
      <c r="AK128" s="15">
        <v>0</v>
      </c>
      <c r="AL128" s="15">
        <v>0</v>
      </c>
      <c r="AM128" s="15">
        <v>0</v>
      </c>
      <c r="AN128" s="15">
        <v>1.9333025722544657</v>
      </c>
      <c r="AO128" s="15">
        <v>-566.74705254973401</v>
      </c>
      <c r="AP128" s="15">
        <v>1050.9956930889462</v>
      </c>
      <c r="AQ128" s="15">
        <v>0</v>
      </c>
      <c r="AR128" s="15">
        <v>0</v>
      </c>
      <c r="AS128" s="15">
        <v>0</v>
      </c>
      <c r="AT128" s="15">
        <v>1050.9956930889462</v>
      </c>
      <c r="AU128" s="15">
        <v>102.66292704626382</v>
      </c>
      <c r="AV128" s="15">
        <v>81.594999999999999</v>
      </c>
      <c r="AW128" s="15">
        <v>81.594999999999999</v>
      </c>
      <c r="AX128" s="15">
        <v>0</v>
      </c>
      <c r="AY128" s="15">
        <v>0</v>
      </c>
      <c r="AZ128" s="15">
        <v>82.718698010625445</v>
      </c>
      <c r="BA128" s="15">
        <v>82.718698010625445</v>
      </c>
      <c r="BB128" s="15">
        <v>0</v>
      </c>
      <c r="BC128" s="15">
        <v>0</v>
      </c>
      <c r="BD128" s="15">
        <v>0</v>
      </c>
      <c r="BE128" s="15">
        <v>-61.650770964361627</v>
      </c>
      <c r="BF128" s="15">
        <v>-22.187334716014576</v>
      </c>
      <c r="BG128" s="15">
        <v>1.5831329762799129</v>
      </c>
      <c r="BH128" s="15">
        <v>-41.046569224626964</v>
      </c>
      <c r="BI128" s="15">
        <v>0</v>
      </c>
      <c r="BJ128" s="15">
        <v>1153.65862013521</v>
      </c>
      <c r="BK128" s="15">
        <v>2327.6546714535989</v>
      </c>
      <c r="BL128" s="15">
        <v>3.1624682405060121</v>
      </c>
      <c r="BM128" s="15">
        <v>-3.3884705073369963</v>
      </c>
    </row>
    <row r="129" spans="1:65" x14ac:dyDescent="0.35">
      <c r="A129" s="15" t="s">
        <v>10625</v>
      </c>
      <c r="B129" s="15" t="s">
        <v>10320</v>
      </c>
      <c r="C129" s="15" t="s">
        <v>10586</v>
      </c>
      <c r="D129" s="15" t="s">
        <v>10327</v>
      </c>
      <c r="E129" s="15" t="s">
        <v>10734</v>
      </c>
      <c r="F129" s="15">
        <v>28529</v>
      </c>
      <c r="G129" s="15">
        <v>0.89713125361024126</v>
      </c>
      <c r="H129" s="15">
        <v>200</v>
      </c>
      <c r="I129" s="80">
        <v>1753.2653986798214</v>
      </c>
      <c r="J129" s="81">
        <v>-0.31805415617146704</v>
      </c>
      <c r="K129" s="15">
        <v>30</v>
      </c>
      <c r="L129" s="15">
        <v>37.944540420514436</v>
      </c>
      <c r="M129" s="15">
        <v>19.255712890338661</v>
      </c>
      <c r="N129" s="15">
        <v>10.007390596941073</v>
      </c>
      <c r="O129" s="15">
        <v>7.3133985838815043</v>
      </c>
      <c r="P129" s="15">
        <v>1.8418602393670047</v>
      </c>
      <c r="Q129" s="15">
        <v>0.85213177369256465</v>
      </c>
      <c r="R129" s="15">
        <v>0.85213177369256465</v>
      </c>
      <c r="S129" s="15">
        <v>0</v>
      </c>
      <c r="T129" s="15">
        <v>0</v>
      </c>
      <c r="U129" s="15">
        <v>6345.3752863570944</v>
      </c>
      <c r="V129" s="15">
        <v>0</v>
      </c>
      <c r="W129" s="15">
        <v>0</v>
      </c>
      <c r="X129" s="15">
        <v>0</v>
      </c>
      <c r="Y129" s="15">
        <v>1475.8088150688016</v>
      </c>
      <c r="Z129" s="15">
        <v>0</v>
      </c>
      <c r="AA129" s="15">
        <v>0</v>
      </c>
      <c r="AB129" s="15">
        <v>0</v>
      </c>
      <c r="AC129" s="15">
        <v>1475.8088150688016</v>
      </c>
      <c r="AD129" s="15">
        <v>-277.45658361101982</v>
      </c>
      <c r="AE129" s="15">
        <v>-15.866590707926445</v>
      </c>
      <c r="AF129" s="15">
        <v>0</v>
      </c>
      <c r="AG129" s="15">
        <v>0</v>
      </c>
      <c r="AH129" s="15">
        <v>-384.59035113253589</v>
      </c>
      <c r="AI129" s="15">
        <v>123.0003582294425</v>
      </c>
      <c r="AJ129" s="15">
        <v>0</v>
      </c>
      <c r="AK129" s="15">
        <v>0</v>
      </c>
      <c r="AL129" s="15">
        <v>0</v>
      </c>
      <c r="AM129" s="15">
        <v>0</v>
      </c>
      <c r="AN129" s="15">
        <v>-0.18800306704909125</v>
      </c>
      <c r="AO129" s="15">
        <v>1753.2653986798214</v>
      </c>
      <c r="AP129" s="15">
        <v>-400.45694184046232</v>
      </c>
      <c r="AQ129" s="15">
        <v>-15.866590707926445</v>
      </c>
      <c r="AR129" s="15">
        <v>0</v>
      </c>
      <c r="AS129" s="15">
        <v>0</v>
      </c>
      <c r="AT129" s="15">
        <v>-384.59035113253589</v>
      </c>
      <c r="AU129" s="15">
        <v>1396.0889935985424</v>
      </c>
      <c r="AV129" s="15">
        <v>81.594999999999999</v>
      </c>
      <c r="AW129" s="15">
        <v>81.594999999999999</v>
      </c>
      <c r="AX129" s="15">
        <v>0</v>
      </c>
      <c r="AY129" s="15">
        <v>0</v>
      </c>
      <c r="AZ129" s="15">
        <v>1045.5429902626922</v>
      </c>
      <c r="BA129" s="15">
        <v>82.718698010625445</v>
      </c>
      <c r="BB129" s="15">
        <v>401.17678843836114</v>
      </c>
      <c r="BC129" s="15">
        <v>561.64750381370561</v>
      </c>
      <c r="BD129" s="15">
        <v>0</v>
      </c>
      <c r="BE129" s="15">
        <v>268.95100333585003</v>
      </c>
      <c r="BF129" s="15">
        <v>93.813287845463208</v>
      </c>
      <c r="BG129" s="15">
        <v>1.5831329762799129</v>
      </c>
      <c r="BH129" s="15">
        <v>173.5545825141069</v>
      </c>
      <c r="BI129" s="15">
        <v>0</v>
      </c>
      <c r="BJ129" s="15">
        <v>995.63205175808002</v>
      </c>
      <c r="BK129" s="15">
        <v>718.1754681470602</v>
      </c>
      <c r="BL129" s="15">
        <v>-0.37784931301941349</v>
      </c>
      <c r="BM129" s="15">
        <v>-0.31805415617146704</v>
      </c>
    </row>
    <row r="130" spans="1:65" s="60" customFormat="1" x14ac:dyDescent="0.35">
      <c r="A130" s="59" t="s">
        <v>10625</v>
      </c>
      <c r="B130" s="59" t="s">
        <v>10320</v>
      </c>
      <c r="C130" s="59" t="s">
        <v>10701</v>
      </c>
      <c r="D130" s="59" t="s">
        <v>10326</v>
      </c>
      <c r="E130" s="59" t="s">
        <v>10735</v>
      </c>
      <c r="F130" s="59">
        <v>28529</v>
      </c>
      <c r="G130" s="59">
        <v>0.89713125361024126</v>
      </c>
      <c r="H130" s="59">
        <v>200</v>
      </c>
      <c r="I130" s="59">
        <v>-566.74705254973401</v>
      </c>
      <c r="J130" s="88">
        <v>-3.3884705073369963</v>
      </c>
      <c r="K130" s="59">
        <v>30</v>
      </c>
      <c r="L130" s="59">
        <v>10</v>
      </c>
      <c r="M130" s="59">
        <v>5.1719377431199982</v>
      </c>
      <c r="N130" s="59">
        <v>10.007390596941073</v>
      </c>
      <c r="O130" s="59">
        <v>7.3133985838815043</v>
      </c>
      <c r="P130" s="59">
        <v>1.8418602393670047</v>
      </c>
      <c r="Q130" s="59">
        <v>0.85213177369256465</v>
      </c>
      <c r="R130" s="59">
        <v>0.85213177369256465</v>
      </c>
      <c r="S130" s="59">
        <v>0</v>
      </c>
      <c r="T130" s="59">
        <v>0</v>
      </c>
      <c r="U130" s="59">
        <v>6345.3752863570944</v>
      </c>
      <c r="V130" s="59">
        <v>0</v>
      </c>
      <c r="W130" s="59">
        <v>0</v>
      </c>
      <c r="X130" s="59">
        <v>0</v>
      </c>
      <c r="Y130" s="59">
        <v>607.24899876865459</v>
      </c>
      <c r="Z130" s="59">
        <v>0</v>
      </c>
      <c r="AA130" s="59">
        <v>0</v>
      </c>
      <c r="AB130" s="59">
        <v>0</v>
      </c>
      <c r="AC130" s="59">
        <v>607.24899876865459</v>
      </c>
      <c r="AD130" s="59">
        <v>1173.9960513183887</v>
      </c>
      <c r="AE130" s="59">
        <v>0</v>
      </c>
      <c r="AF130" s="59">
        <v>0</v>
      </c>
      <c r="AG130" s="59">
        <v>0</v>
      </c>
      <c r="AH130" s="59">
        <v>1050.9956930889462</v>
      </c>
      <c r="AI130" s="59">
        <v>123.0003582294425</v>
      </c>
      <c r="AJ130" s="59">
        <v>0</v>
      </c>
      <c r="AK130" s="59">
        <v>0</v>
      </c>
      <c r="AL130" s="59">
        <v>0</v>
      </c>
      <c r="AM130" s="59">
        <v>0</v>
      </c>
      <c r="AN130" s="59">
        <v>1.9333025722544657</v>
      </c>
      <c r="AO130" s="59">
        <v>-566.74705254973401</v>
      </c>
      <c r="AP130" s="59">
        <v>1050.9956930889462</v>
      </c>
      <c r="AQ130" s="59">
        <v>0</v>
      </c>
      <c r="AR130" s="59">
        <v>0</v>
      </c>
      <c r="AS130" s="59">
        <v>0</v>
      </c>
      <c r="AT130" s="59">
        <v>1050.9956930889462</v>
      </c>
      <c r="AU130" s="59">
        <v>102.66292704626382</v>
      </c>
      <c r="AV130" s="59">
        <v>81.594999999999999</v>
      </c>
      <c r="AW130" s="59">
        <v>81.594999999999999</v>
      </c>
      <c r="AX130" s="59">
        <v>0</v>
      </c>
      <c r="AY130" s="59">
        <v>0</v>
      </c>
      <c r="AZ130" s="59">
        <v>82.718698010625445</v>
      </c>
      <c r="BA130" s="59">
        <v>82.718698010625445</v>
      </c>
      <c r="BB130" s="59">
        <v>0</v>
      </c>
      <c r="BC130" s="59">
        <v>0</v>
      </c>
      <c r="BD130" s="59">
        <v>0</v>
      </c>
      <c r="BE130" s="59">
        <v>-61.650770964361627</v>
      </c>
      <c r="BF130" s="59">
        <v>-22.187334716014576</v>
      </c>
      <c r="BG130" s="59">
        <v>1.5831329762799129</v>
      </c>
      <c r="BH130" s="59">
        <v>-41.046569224626964</v>
      </c>
      <c r="BI130" s="59">
        <v>0</v>
      </c>
      <c r="BJ130" s="59">
        <v>1153.65862013521</v>
      </c>
      <c r="BK130" s="59">
        <v>2327.6546714535989</v>
      </c>
      <c r="BL130" s="59">
        <v>3.1624682405060121</v>
      </c>
      <c r="BM130" s="59">
        <v>-3.3884705073369963</v>
      </c>
    </row>
    <row r="131" spans="1:65" s="56" customFormat="1" x14ac:dyDescent="0.35">
      <c r="A131" s="55" t="s">
        <v>10625</v>
      </c>
      <c r="B131" s="55" t="s">
        <v>10703</v>
      </c>
      <c r="C131" s="55" t="s">
        <v>9780</v>
      </c>
      <c r="D131" s="55" t="s">
        <v>9780</v>
      </c>
      <c r="E131" s="55" t="s">
        <v>10016</v>
      </c>
      <c r="F131" s="55">
        <f>F122</f>
        <v>92598</v>
      </c>
      <c r="G131" s="55">
        <f>G122</f>
        <v>0.8971289950639485</v>
      </c>
      <c r="H131" s="55">
        <f>(H122*N122+H130*N130)/(N122+N130)</f>
        <v>200.00000000000003</v>
      </c>
      <c r="I131" s="55">
        <f>(I122*N122+I130*N130)/(N122+N130)</f>
        <v>-28.978159350921757</v>
      </c>
      <c r="J131" s="89">
        <f>(J122*N122+J130*N130)/(N122+N130)</f>
        <v>3.4288632026173684</v>
      </c>
      <c r="K131" s="55">
        <f>K122</f>
        <v>30</v>
      </c>
      <c r="L131" s="55">
        <f t="shared" ref="L131:W131" si="8">L122+L130</f>
        <v>67.827420897788571</v>
      </c>
      <c r="M131" s="55">
        <f t="shared" si="8"/>
        <v>18.497770280563227</v>
      </c>
      <c r="N131" s="55">
        <f t="shared" si="8"/>
        <v>42.488796240288899</v>
      </c>
      <c r="O131" s="55">
        <f t="shared" si="8"/>
        <v>31.050801829354072</v>
      </c>
      <c r="P131" s="55">
        <f t="shared" si="8"/>
        <v>7.8200629480251722</v>
      </c>
      <c r="Q131" s="55">
        <f t="shared" si="8"/>
        <v>3.6179314629096564</v>
      </c>
      <c r="R131" s="55">
        <f t="shared" si="8"/>
        <v>3.6179314629096564</v>
      </c>
      <c r="S131" s="55">
        <f t="shared" si="8"/>
        <v>0</v>
      </c>
      <c r="T131" s="55">
        <f t="shared" si="8"/>
        <v>0</v>
      </c>
      <c r="U131" s="55">
        <f t="shared" si="8"/>
        <v>26940.824883221951</v>
      </c>
      <c r="V131" s="55">
        <f t="shared" si="8"/>
        <v>0</v>
      </c>
      <c r="W131" s="55">
        <f t="shared" si="8"/>
        <v>0</v>
      </c>
      <c r="X131" s="55">
        <f>(X122*N122+X130*N130)/(N122+N130)</f>
        <v>0</v>
      </c>
      <c r="Y131" s="55">
        <f>(Y122*N122+Y130*N130)/(N122+N130)</f>
        <v>615.70955738077487</v>
      </c>
      <c r="Z131" s="55">
        <f>(Z122*N122+Z130*N130)/(N122+N130)</f>
        <v>0</v>
      </c>
      <c r="AA131" s="55">
        <f>(AA122*N122+AA130*N130)/(N122+N130)</f>
        <v>0</v>
      </c>
      <c r="AB131" s="55">
        <f>(AB122*N122+AB130*N130)/(N122+N130)</f>
        <v>0</v>
      </c>
      <c r="AC131" s="55">
        <f>(AC122*N122+AC130*N130)/(N122+N130)</f>
        <v>615.70955738077487</v>
      </c>
      <c r="AD131" s="55">
        <f>(AD122*N122+AD130*N130)/(N122+N130)</f>
        <v>644.68771673169658</v>
      </c>
      <c r="AE131" s="55">
        <f>(AE122*N122+AE130*N130)/(N122+N130)</f>
        <v>8.4605586121202663</v>
      </c>
      <c r="AF131" s="55">
        <f>(AF122*N122+AF130*N130)/(N122+N130)</f>
        <v>0</v>
      </c>
      <c r="AG131" s="55">
        <f>(AG122*N122+AG130*N130)/(N122+N130)</f>
        <v>0</v>
      </c>
      <c r="AH131" s="55">
        <f>(AH122*N122+AH130*N130)/(N122+N130)</f>
        <v>513.22679989013386</v>
      </c>
      <c r="AI131" s="55">
        <f>(AI122*N122+AI130*N130)/(N122+N130)</f>
        <v>123.0003582294425</v>
      </c>
      <c r="AJ131" s="55">
        <f>(AJ122*N122+AJ130*N130)/(N122+N130)</f>
        <v>0</v>
      </c>
      <c r="AK131" s="55">
        <f>(AK122*N122+AK130*N130)/(N122+N130)</f>
        <v>0</v>
      </c>
      <c r="AL131" s="55">
        <f>(AL122*N122+AL130*N130)/(N122+N130)</f>
        <v>0</v>
      </c>
      <c r="AM131" s="55">
        <f>(AM122*N122+AM130*N130)/(N122+N130)</f>
        <v>0</v>
      </c>
      <c r="AN131" s="55">
        <f>(AN122*N122+AN130*N130)/(N122+N130)</f>
        <v>1.050800811280715</v>
      </c>
      <c r="AO131" s="55">
        <f>(AO122*N122+AO130*N130)/(N122+N130)</f>
        <v>-28.978159350921757</v>
      </c>
      <c r="AP131" s="55">
        <f>(AP122*N122+AP130*N130)/(N122+N130)</f>
        <v>521.68735850225414</v>
      </c>
      <c r="AQ131" s="55">
        <f>(AQ122*N122+AQ130*N130)/(N122+N130)</f>
        <v>8.4605586121202663</v>
      </c>
      <c r="AR131" s="55">
        <f>(AR122*N122+AR130*N130)/(N122+N130)</f>
        <v>0</v>
      </c>
      <c r="AS131" s="55">
        <f>(AS122*N122+AS130*N130)/(N122+N130)</f>
        <v>0</v>
      </c>
      <c r="AT131" s="55">
        <f>(AT122*N122+AT130*N130)/(N122+N130)</f>
        <v>513.22679989013386</v>
      </c>
      <c r="AU131" s="55">
        <f>(AU122*N122+AU130*N130)/(N122+N130)</f>
        <v>279.49842665770774</v>
      </c>
      <c r="AV131" s="55">
        <f>(AV122*N122+AV130*N130)/(N122+N130)</f>
        <v>81.594999999999985</v>
      </c>
      <c r="AW131" s="55">
        <f>(AW122*N122+AW130*N130)/(N122+N130)</f>
        <v>81.594999999999985</v>
      </c>
      <c r="AX131" s="55">
        <f>(AX122*N122+AX130*N130)/(N122+N130)</f>
        <v>0</v>
      </c>
      <c r="AY131" s="55">
        <f>(AY122*N122+AY130*N130)/(N122+N130)</f>
        <v>0</v>
      </c>
      <c r="AZ131" s="55">
        <f>(AZ122*N122+AZ130*N130)/(N122+N130)</f>
        <v>182.92213034123867</v>
      </c>
      <c r="BA131" s="55">
        <f>(BA122*N122+BA130*N130)/(N122+N130)</f>
        <v>82.718698010625417</v>
      </c>
      <c r="BB131" s="55">
        <f>(BB122*N122+BB130*N130)/(N122+N130)</f>
        <v>41.751430137755513</v>
      </c>
      <c r="BC131" s="55">
        <f>(BC122*N122+BC130*N130)/(N122+N130)</f>
        <v>58.452002192857726</v>
      </c>
      <c r="BD131" s="55">
        <f>(BD122*N122+BD130*N130)/(N122+N130)</f>
        <v>0</v>
      </c>
      <c r="BE131" s="55">
        <f>(BE122*N122+BE130*N130)/(N122+N130)</f>
        <v>14.981296316469114</v>
      </c>
      <c r="BF131" s="55">
        <f>(BF122*N122+BF130*N130)/(N122+N130)</f>
        <v>4.7011099439260384</v>
      </c>
      <c r="BG131" s="55">
        <f>(BG122*N122+BG130*N130)/(N122+N130)</f>
        <v>1.5831329762799122</v>
      </c>
      <c r="BH131" s="55">
        <f>(BH122*N122+BH130*N130)/(N122+N130)</f>
        <v>8.6970533962631702</v>
      </c>
      <c r="BI131" s="55">
        <f>(BI122*N122+BI130*N130)/(N122+N130)</f>
        <v>0</v>
      </c>
      <c r="BJ131" s="55">
        <f>(BJ122*N122+BJ130*N130)/(N122+N130)</f>
        <v>801.18578515996194</v>
      </c>
      <c r="BK131" s="55">
        <f>(BK122*N122+BK130*N130)/(N122+N130)</f>
        <v>1445.8735018916584</v>
      </c>
      <c r="BL131" s="55">
        <f>(BL122*N122+BL130*N130)/(N122+N130)</f>
        <v>1.6794116034762192</v>
      </c>
      <c r="BM131" s="55">
        <f>(BM122*N122+BM130*N130)/(N122+N130)</f>
        <v>3.4288632026173684</v>
      </c>
    </row>
    <row r="132" spans="1:65" s="60" customFormat="1" x14ac:dyDescent="0.35">
      <c r="A132" s="15" t="s">
        <v>10605</v>
      </c>
      <c r="B132" s="15" t="s">
        <v>10599</v>
      </c>
      <c r="C132" s="15" t="s">
        <v>10601</v>
      </c>
      <c r="D132" s="15" t="s">
        <v>10321</v>
      </c>
      <c r="E132" s="15" t="s">
        <v>10736</v>
      </c>
      <c r="F132" s="15">
        <v>54624</v>
      </c>
      <c r="G132" s="15">
        <v>0.8971242506680791</v>
      </c>
      <c r="H132" s="15">
        <v>200</v>
      </c>
      <c r="I132" s="78">
        <v>158.56995212485788</v>
      </c>
      <c r="J132" s="79">
        <v>3.9538184924939248</v>
      </c>
      <c r="K132" s="15">
        <v>30</v>
      </c>
      <c r="L132" s="15">
        <v>87.505716625445885</v>
      </c>
      <c r="M132" s="15">
        <v>16.671707950626065</v>
      </c>
      <c r="N132" s="15">
        <v>19.160834130386576</v>
      </c>
      <c r="O132" s="15">
        <v>3.1964007692140224</v>
      </c>
      <c r="P132" s="15">
        <v>7.4189073179870393</v>
      </c>
      <c r="Q132" s="15">
        <v>8.5455260431855091</v>
      </c>
      <c r="R132" s="15">
        <v>1.9031498500006458</v>
      </c>
      <c r="S132" s="15">
        <v>3.2020484250739529</v>
      </c>
      <c r="T132" s="15">
        <v>3.4403277681109103</v>
      </c>
      <c r="U132" s="15">
        <v>0</v>
      </c>
      <c r="V132" s="15">
        <v>2326.8073891239719</v>
      </c>
      <c r="W132" s="15">
        <v>0</v>
      </c>
      <c r="X132" s="15">
        <v>0</v>
      </c>
      <c r="Y132" s="15">
        <v>300.20101355741713</v>
      </c>
      <c r="Z132" s="15">
        <v>0</v>
      </c>
      <c r="AA132" s="15">
        <v>0</v>
      </c>
      <c r="AB132" s="15">
        <v>0</v>
      </c>
      <c r="AC132" s="15">
        <v>300.20101355741713</v>
      </c>
      <c r="AD132" s="15">
        <v>141.63106143255925</v>
      </c>
      <c r="AE132" s="15">
        <v>10.497023283962296</v>
      </c>
      <c r="AF132" s="15">
        <v>0</v>
      </c>
      <c r="AG132" s="15">
        <v>0</v>
      </c>
      <c r="AH132" s="15">
        <v>29.673269398596965</v>
      </c>
      <c r="AI132" s="15">
        <v>101.46076874999999</v>
      </c>
      <c r="AJ132" s="15">
        <v>0</v>
      </c>
      <c r="AK132" s="15">
        <v>0</v>
      </c>
      <c r="AL132" s="15">
        <v>0</v>
      </c>
      <c r="AM132" s="15">
        <v>0</v>
      </c>
      <c r="AN132" s="15">
        <v>0.47178741921692602</v>
      </c>
      <c r="AO132" s="15">
        <v>158.56995212485788</v>
      </c>
      <c r="AP132" s="15">
        <v>40.170292682559264</v>
      </c>
      <c r="AQ132" s="15">
        <v>10.497023283962296</v>
      </c>
      <c r="AR132" s="15">
        <v>0</v>
      </c>
      <c r="AS132" s="15">
        <v>0</v>
      </c>
      <c r="AT132" s="15">
        <v>29.673269398596965</v>
      </c>
      <c r="AU132" s="15">
        <v>545.35646850743797</v>
      </c>
      <c r="AV132" s="15">
        <v>111.93371050896521</v>
      </c>
      <c r="AW132" s="15">
        <v>111.93371050896521</v>
      </c>
      <c r="AX132" s="15">
        <v>0</v>
      </c>
      <c r="AY132" s="15">
        <v>0</v>
      </c>
      <c r="AZ132" s="15">
        <v>373.801016960727</v>
      </c>
      <c r="BA132" s="15">
        <v>76.930878417473096</v>
      </c>
      <c r="BB132" s="15">
        <v>123.69589105968915</v>
      </c>
      <c r="BC132" s="15">
        <v>173.17424748356478</v>
      </c>
      <c r="BD132" s="15">
        <v>0</v>
      </c>
      <c r="BE132" s="15">
        <v>59.62174103774575</v>
      </c>
      <c r="BF132" s="15">
        <v>20.403291132744009</v>
      </c>
      <c r="BG132" s="15">
        <v>1.4723613094253225</v>
      </c>
      <c r="BH132" s="15">
        <v>37.746088595576417</v>
      </c>
      <c r="BI132" s="15">
        <v>0</v>
      </c>
      <c r="BJ132" s="15">
        <v>585.52676118999727</v>
      </c>
      <c r="BK132" s="59">
        <v>727.15782262255652</v>
      </c>
      <c r="BL132" s="59">
        <v>2.0884566698680591</v>
      </c>
      <c r="BM132" s="59">
        <v>3.9538184924939248</v>
      </c>
    </row>
    <row r="133" spans="1:65" x14ac:dyDescent="0.35">
      <c r="A133" s="15" t="s">
        <v>10605</v>
      </c>
      <c r="B133" s="15" t="s">
        <v>10599</v>
      </c>
      <c r="C133" s="15" t="s">
        <v>10601</v>
      </c>
      <c r="D133" s="15" t="s">
        <v>10322</v>
      </c>
      <c r="E133" s="15" t="s">
        <v>10737</v>
      </c>
      <c r="F133" s="15">
        <v>54624</v>
      </c>
      <c r="G133" s="15">
        <v>0.8971242506680791</v>
      </c>
      <c r="H133" s="15">
        <v>200</v>
      </c>
      <c r="I133" s="80">
        <v>536.99235835924685</v>
      </c>
      <c r="J133" s="79">
        <v>0.49010291845733955</v>
      </c>
      <c r="K133" s="15">
        <v>30</v>
      </c>
      <c r="L133" s="15">
        <v>87.505716625445885</v>
      </c>
      <c r="M133" s="15">
        <v>16.671707950626065</v>
      </c>
      <c r="N133" s="15">
        <v>19.160834130386576</v>
      </c>
      <c r="O133" s="15">
        <v>3.1964007692140224</v>
      </c>
      <c r="P133" s="15">
        <v>7.4189073179870393</v>
      </c>
      <c r="Q133" s="15">
        <v>8.5455260431855091</v>
      </c>
      <c r="R133" s="15">
        <v>1.9031498500006458</v>
      </c>
      <c r="S133" s="15">
        <v>3.2020484250739529</v>
      </c>
      <c r="T133" s="15">
        <v>3.4403277681109103</v>
      </c>
      <c r="U133" s="15">
        <v>0</v>
      </c>
      <c r="V133" s="15">
        <v>0</v>
      </c>
      <c r="W133" s="15">
        <v>581.70184728099298</v>
      </c>
      <c r="X133" s="15">
        <v>0</v>
      </c>
      <c r="Y133" s="15">
        <v>300.20101355741713</v>
      </c>
      <c r="Z133" s="15">
        <v>0</v>
      </c>
      <c r="AA133" s="15">
        <v>0</v>
      </c>
      <c r="AB133" s="15">
        <v>0</v>
      </c>
      <c r="AC133" s="15">
        <v>300.20101355741713</v>
      </c>
      <c r="AD133" s="15">
        <v>-236.79134480182972</v>
      </c>
      <c r="AE133" s="15">
        <v>-11.927837405433953</v>
      </c>
      <c r="AF133" s="15">
        <v>31.650736975070686</v>
      </c>
      <c r="AG133" s="15">
        <v>-364.23619897806196</v>
      </c>
      <c r="AH133" s="15">
        <v>0</v>
      </c>
      <c r="AI133" s="15">
        <v>101.46076874999999</v>
      </c>
      <c r="AJ133" s="15">
        <v>0</v>
      </c>
      <c r="AK133" s="15">
        <v>6.2611858565955396</v>
      </c>
      <c r="AL133" s="15">
        <v>0</v>
      </c>
      <c r="AM133" s="15">
        <v>0</v>
      </c>
      <c r="AN133" s="15">
        <v>-0.78877596712890674</v>
      </c>
      <c r="AO133" s="15">
        <v>536.99235835924685</v>
      </c>
      <c r="AP133" s="15">
        <v>0</v>
      </c>
      <c r="AQ133" s="15">
        <v>0</v>
      </c>
      <c r="AR133" s="15">
        <v>0</v>
      </c>
      <c r="AS133" s="15">
        <v>0</v>
      </c>
      <c r="AT133" s="15">
        <v>0</v>
      </c>
      <c r="AU133" s="15">
        <v>600.17388038040326</v>
      </c>
      <c r="AV133" s="15">
        <v>111.93371050896521</v>
      </c>
      <c r="AW133" s="15">
        <v>111.93371050896521</v>
      </c>
      <c r="AX133" s="15">
        <v>0</v>
      </c>
      <c r="AY133" s="15">
        <v>0</v>
      </c>
      <c r="AZ133" s="15">
        <v>373.801016960727</v>
      </c>
      <c r="BA133" s="15">
        <v>76.930878417473096</v>
      </c>
      <c r="BB133" s="15">
        <v>123.69589105968915</v>
      </c>
      <c r="BC133" s="15">
        <v>173.17424748356478</v>
      </c>
      <c r="BD133" s="15">
        <v>0</v>
      </c>
      <c r="BE133" s="15">
        <v>114.43915291071104</v>
      </c>
      <c r="BF133" s="15">
        <v>39.637470737293235</v>
      </c>
      <c r="BG133" s="15">
        <v>1.4723613094253225</v>
      </c>
      <c r="BH133" s="15">
        <v>73.329320863992479</v>
      </c>
      <c r="BI133" s="15">
        <v>0</v>
      </c>
      <c r="BJ133" s="15">
        <v>600.17388038040326</v>
      </c>
      <c r="BK133" s="15">
        <v>363.38253557857354</v>
      </c>
      <c r="BL133" s="15">
        <v>0.87668432195622725</v>
      </c>
      <c r="BM133" s="15">
        <v>0.49010291845733955</v>
      </c>
    </row>
    <row r="134" spans="1:65" x14ac:dyDescent="0.35">
      <c r="A134" s="15" t="s">
        <v>10605</v>
      </c>
      <c r="B134" s="15" t="s">
        <v>10599</v>
      </c>
      <c r="C134" s="15" t="s">
        <v>10601</v>
      </c>
      <c r="D134" s="15" t="s">
        <v>10323</v>
      </c>
      <c r="E134" s="15" t="s">
        <v>10738</v>
      </c>
      <c r="F134" s="15">
        <v>54624</v>
      </c>
      <c r="G134" s="15">
        <v>0.8971242506680791</v>
      </c>
      <c r="H134" s="15">
        <v>200</v>
      </c>
      <c r="I134" s="78">
        <v>191.47499493439835</v>
      </c>
      <c r="J134" s="79">
        <v>2.9314817702587672</v>
      </c>
      <c r="K134" s="15">
        <v>30</v>
      </c>
      <c r="L134" s="15">
        <v>87.505716625445885</v>
      </c>
      <c r="M134" s="15">
        <v>16.671707950626065</v>
      </c>
      <c r="N134" s="15">
        <v>19.160834130386576</v>
      </c>
      <c r="O134" s="15">
        <v>3.1964007692140224</v>
      </c>
      <c r="P134" s="15">
        <v>7.4189073179870393</v>
      </c>
      <c r="Q134" s="15">
        <v>8.5455260431855091</v>
      </c>
      <c r="R134" s="15">
        <v>1.9031498500006458</v>
      </c>
      <c r="S134" s="15">
        <v>3.2020484250739529</v>
      </c>
      <c r="T134" s="15">
        <v>3.4403277681109103</v>
      </c>
      <c r="U134" s="15">
        <v>0</v>
      </c>
      <c r="V134" s="15">
        <v>0</v>
      </c>
      <c r="W134" s="15">
        <v>0</v>
      </c>
      <c r="X134" s="15">
        <v>581701.84728099301</v>
      </c>
      <c r="Y134" s="15">
        <v>300.20101355741713</v>
      </c>
      <c r="Z134" s="15">
        <v>0</v>
      </c>
      <c r="AA134" s="15">
        <v>0</v>
      </c>
      <c r="AB134" s="15">
        <v>0</v>
      </c>
      <c r="AC134" s="15">
        <v>300.20101355741713</v>
      </c>
      <c r="AD134" s="15">
        <v>108.72601862301877</v>
      </c>
      <c r="AE134" s="15">
        <v>-11.927837405433953</v>
      </c>
      <c r="AF134" s="15">
        <v>0</v>
      </c>
      <c r="AG134" s="15">
        <v>0</v>
      </c>
      <c r="AH134" s="15">
        <v>0</v>
      </c>
      <c r="AI134" s="15">
        <v>101.46076874999999</v>
      </c>
      <c r="AJ134" s="15">
        <v>0</v>
      </c>
      <c r="AK134" s="15">
        <v>19.193087278452683</v>
      </c>
      <c r="AL134" s="15">
        <v>0</v>
      </c>
      <c r="AM134" s="15">
        <v>0</v>
      </c>
      <c r="AN134" s="15">
        <v>0.36217738686023321</v>
      </c>
      <c r="AO134" s="15">
        <v>191.47499493439835</v>
      </c>
      <c r="AP134" s="15">
        <v>0</v>
      </c>
      <c r="AQ134" s="15">
        <v>0</v>
      </c>
      <c r="AR134" s="15">
        <v>0</v>
      </c>
      <c r="AS134" s="15">
        <v>0</v>
      </c>
      <c r="AT134" s="15">
        <v>0</v>
      </c>
      <c r="AU134" s="15">
        <v>552.78045204497698</v>
      </c>
      <c r="AV134" s="15">
        <v>111.93371050896521</v>
      </c>
      <c r="AW134" s="15">
        <v>111.93371050896521</v>
      </c>
      <c r="AX134" s="15">
        <v>0</v>
      </c>
      <c r="AY134" s="15">
        <v>0</v>
      </c>
      <c r="AZ134" s="15">
        <v>373.801016960727</v>
      </c>
      <c r="BA134" s="15">
        <v>76.930878417473096</v>
      </c>
      <c r="BB134" s="15">
        <v>123.69589105968915</v>
      </c>
      <c r="BC134" s="15">
        <v>173.17424748356478</v>
      </c>
      <c r="BD134" s="15">
        <v>0</v>
      </c>
      <c r="BE134" s="15">
        <v>67.045724575284765</v>
      </c>
      <c r="BF134" s="15">
        <v>23.008197637143663</v>
      </c>
      <c r="BG134" s="15">
        <v>1.4723613094253225</v>
      </c>
      <c r="BH134" s="15">
        <v>42.565165628715775</v>
      </c>
      <c r="BI134" s="15">
        <v>0</v>
      </c>
      <c r="BJ134" s="15">
        <v>552.78045204497698</v>
      </c>
      <c r="BK134" s="15">
        <v>661.5064706679957</v>
      </c>
      <c r="BL134" s="15">
        <v>1.8697653630780364</v>
      </c>
      <c r="BM134" s="15">
        <v>2.9314817702587672</v>
      </c>
    </row>
    <row r="135" spans="1:65" x14ac:dyDescent="0.35">
      <c r="A135" s="15" t="s">
        <v>10605</v>
      </c>
      <c r="B135" s="15" t="s">
        <v>10599</v>
      </c>
      <c r="C135" s="15" t="s">
        <v>10601</v>
      </c>
      <c r="D135" s="15" t="s">
        <v>10324</v>
      </c>
      <c r="E135" s="15" t="s">
        <v>10739</v>
      </c>
      <c r="F135" s="15">
        <v>54624</v>
      </c>
      <c r="G135" s="15">
        <v>0.8971242506680791</v>
      </c>
      <c r="H135" s="15">
        <v>200</v>
      </c>
      <c r="I135" s="78">
        <v>179.13909951045326</v>
      </c>
      <c r="J135" s="79">
        <v>3.1844653047076079</v>
      </c>
      <c r="K135" s="15">
        <v>30</v>
      </c>
      <c r="L135" s="15">
        <v>88.071347114022913</v>
      </c>
      <c r="M135" s="15">
        <v>16.792478343669497</v>
      </c>
      <c r="N135" s="15">
        <v>19.160834130386576</v>
      </c>
      <c r="O135" s="15">
        <v>2.3174070838996044</v>
      </c>
      <c r="P135" s="15">
        <v>7.7328336341707598</v>
      </c>
      <c r="Q135" s="15">
        <v>9.1105934123162058</v>
      </c>
      <c r="R135" s="15">
        <v>1.9031498500006458</v>
      </c>
      <c r="S135" s="15">
        <v>3.76711579420465</v>
      </c>
      <c r="T135" s="15">
        <v>3.4403277681109103</v>
      </c>
      <c r="U135" s="15">
        <v>0</v>
      </c>
      <c r="V135" s="15">
        <v>0</v>
      </c>
      <c r="W135" s="15">
        <v>0</v>
      </c>
      <c r="X135" s="15">
        <v>0</v>
      </c>
      <c r="Y135" s="15">
        <v>267.60417534542665</v>
      </c>
      <c r="Z135" s="15">
        <v>0</v>
      </c>
      <c r="AA135" s="15">
        <v>0</v>
      </c>
      <c r="AB135" s="15">
        <v>0</v>
      </c>
      <c r="AC135" s="15">
        <v>267.60417534542665</v>
      </c>
      <c r="AD135" s="15">
        <v>88.465075834973391</v>
      </c>
      <c r="AE135" s="15">
        <v>-12.995692915026597</v>
      </c>
      <c r="AF135" s="15">
        <v>0</v>
      </c>
      <c r="AG135" s="15">
        <v>0</v>
      </c>
      <c r="AH135" s="15">
        <v>0</v>
      </c>
      <c r="AI135" s="15">
        <v>101.46076874999999</v>
      </c>
      <c r="AJ135" s="15">
        <v>0</v>
      </c>
      <c r="AK135" s="15">
        <v>0</v>
      </c>
      <c r="AL135" s="15">
        <v>0</v>
      </c>
      <c r="AM135" s="15">
        <v>0</v>
      </c>
      <c r="AN135" s="15">
        <v>0.33058182190461571</v>
      </c>
      <c r="AO135" s="15">
        <v>179.13909951045326</v>
      </c>
      <c r="AP135" s="15">
        <v>0</v>
      </c>
      <c r="AQ135" s="15">
        <v>0</v>
      </c>
      <c r="AR135" s="15">
        <v>0</v>
      </c>
      <c r="AS135" s="15">
        <v>0</v>
      </c>
      <c r="AT135" s="15">
        <v>0</v>
      </c>
      <c r="AU135" s="15">
        <v>549.60134661805523</v>
      </c>
      <c r="AV135" s="15">
        <v>108.2485139398613</v>
      </c>
      <c r="AW135" s="15">
        <v>108.2485139398613</v>
      </c>
      <c r="AX135" s="15">
        <v>0</v>
      </c>
      <c r="AY135" s="15">
        <v>0</v>
      </c>
      <c r="AZ135" s="15">
        <v>378.93490488442012</v>
      </c>
      <c r="BA135" s="15">
        <v>76.930878417473096</v>
      </c>
      <c r="BB135" s="15">
        <v>125.83501102789461</v>
      </c>
      <c r="BC135" s="15">
        <v>176.16901543905243</v>
      </c>
      <c r="BD135" s="15">
        <v>0</v>
      </c>
      <c r="BE135" s="15">
        <v>62.417927793773771</v>
      </c>
      <c r="BF135" s="15">
        <v>21.384409292753844</v>
      </c>
      <c r="BG135" s="15">
        <v>1.4723613094253225</v>
      </c>
      <c r="BH135" s="15">
        <v>39.561157191594603</v>
      </c>
      <c r="BI135" s="15">
        <v>0</v>
      </c>
      <c r="BJ135" s="15">
        <v>549.60134661805523</v>
      </c>
      <c r="BK135" s="15">
        <v>638.06642245302862</v>
      </c>
      <c r="BL135" s="15">
        <v>2.1317389624853296</v>
      </c>
      <c r="BM135" s="15">
        <v>3.1844653047076079</v>
      </c>
    </row>
    <row r="136" spans="1:65" x14ac:dyDescent="0.35">
      <c r="A136" s="15" t="s">
        <v>10605</v>
      </c>
      <c r="B136" s="15" t="s">
        <v>10599</v>
      </c>
      <c r="C136" s="15" t="s">
        <v>10601</v>
      </c>
      <c r="D136" s="15" t="s">
        <v>10325</v>
      </c>
      <c r="E136" s="15" t="s">
        <v>10740</v>
      </c>
      <c r="F136" s="15">
        <v>54624</v>
      </c>
      <c r="G136" s="15">
        <v>0.8971242506680791</v>
      </c>
      <c r="H136" s="15">
        <v>200</v>
      </c>
      <c r="I136" s="78">
        <v>241.79690753955828</v>
      </c>
      <c r="J136" s="79">
        <v>2.0303249910726011</v>
      </c>
      <c r="K136" s="15">
        <v>30</v>
      </c>
      <c r="L136" s="15">
        <v>84.295066076320268</v>
      </c>
      <c r="M136" s="15">
        <v>15.697422806493329</v>
      </c>
      <c r="N136" s="15">
        <v>19.160834130386576</v>
      </c>
      <c r="O136" s="15">
        <v>3.9188216984319895</v>
      </c>
      <c r="P136" s="15">
        <v>6.7028429954918289</v>
      </c>
      <c r="Q136" s="15">
        <v>8.5391694364627533</v>
      </c>
      <c r="R136" s="15">
        <v>1.9031498500006458</v>
      </c>
      <c r="S136" s="15">
        <v>0</v>
      </c>
      <c r="T136" s="15">
        <v>6.6360195864621057</v>
      </c>
      <c r="U136" s="15">
        <v>0</v>
      </c>
      <c r="V136" s="15">
        <v>0</v>
      </c>
      <c r="W136" s="15">
        <v>0</v>
      </c>
      <c r="X136" s="15">
        <v>0</v>
      </c>
      <c r="Y136" s="15">
        <v>331.05565178408585</v>
      </c>
      <c r="Z136" s="15">
        <v>0</v>
      </c>
      <c r="AA136" s="15">
        <v>0</v>
      </c>
      <c r="AB136" s="15">
        <v>0</v>
      </c>
      <c r="AC136" s="15">
        <v>331.05565178408585</v>
      </c>
      <c r="AD136" s="15">
        <v>89.258744244527577</v>
      </c>
      <c r="AE136" s="15">
        <v>-12.202024505472426</v>
      </c>
      <c r="AF136" s="15">
        <v>0</v>
      </c>
      <c r="AG136" s="15">
        <v>0</v>
      </c>
      <c r="AH136" s="15">
        <v>0</v>
      </c>
      <c r="AI136" s="15">
        <v>101.46076874999999</v>
      </c>
      <c r="AJ136" s="15">
        <v>0</v>
      </c>
      <c r="AK136" s="15">
        <v>0</v>
      </c>
      <c r="AL136" s="15">
        <v>0</v>
      </c>
      <c r="AM136" s="15">
        <v>0</v>
      </c>
      <c r="AN136" s="15">
        <v>0.2696185483120585</v>
      </c>
      <c r="AO136" s="15">
        <v>241.79690753955828</v>
      </c>
      <c r="AP136" s="15">
        <v>0</v>
      </c>
      <c r="AQ136" s="15">
        <v>0</v>
      </c>
      <c r="AR136" s="15">
        <v>0</v>
      </c>
      <c r="AS136" s="15">
        <v>0</v>
      </c>
      <c r="AT136" s="15">
        <v>0</v>
      </c>
      <c r="AU136" s="15">
        <v>532.72321168119447</v>
      </c>
      <c r="AV136" s="15">
        <v>120.55723260369068</v>
      </c>
      <c r="AW136" s="15">
        <v>120.55723260369068</v>
      </c>
      <c r="AX136" s="15">
        <v>0</v>
      </c>
      <c r="AY136" s="15">
        <v>0</v>
      </c>
      <c r="AZ136" s="15">
        <v>340.3632107083813</v>
      </c>
      <c r="BA136" s="15">
        <v>76.930878417473096</v>
      </c>
      <c r="BB136" s="15">
        <v>109.76347178787842</v>
      </c>
      <c r="BC136" s="15">
        <v>153.66886050302978</v>
      </c>
      <c r="BD136" s="15">
        <v>0</v>
      </c>
      <c r="BE136" s="15">
        <v>71.802768369122518</v>
      </c>
      <c r="BF136" s="15">
        <v>24.677335810420072</v>
      </c>
      <c r="BG136" s="15">
        <v>1.4723613094253225</v>
      </c>
      <c r="BH136" s="15">
        <v>45.653071249277126</v>
      </c>
      <c r="BI136" s="15">
        <v>0</v>
      </c>
      <c r="BJ136" s="15">
        <v>532.72321168119447</v>
      </c>
      <c r="BK136" s="15">
        <v>621.9819559257221</v>
      </c>
      <c r="BL136" s="15">
        <v>1.4829117143779134</v>
      </c>
      <c r="BM136" s="15">
        <v>2.0303249910726011</v>
      </c>
    </row>
    <row r="137" spans="1:65" x14ac:dyDescent="0.35">
      <c r="A137" s="15" t="s">
        <v>10605</v>
      </c>
      <c r="B137" s="15" t="s">
        <v>10599</v>
      </c>
      <c r="C137" s="15" t="s">
        <v>10601</v>
      </c>
      <c r="D137" s="15" t="s">
        <v>10326</v>
      </c>
      <c r="E137" s="15" t="s">
        <v>10741</v>
      </c>
      <c r="F137" s="15">
        <v>54624</v>
      </c>
      <c r="G137" s="15">
        <v>0.8971242506680791</v>
      </c>
      <c r="H137" s="15">
        <v>200</v>
      </c>
      <c r="I137" s="78">
        <v>135.99565331753314</v>
      </c>
      <c r="J137" s="79">
        <v>7.2653517475633551</v>
      </c>
      <c r="K137" s="15">
        <v>30</v>
      </c>
      <c r="L137" s="15">
        <v>82.878744383279283</v>
      </c>
      <c r="M137" s="15">
        <v>15.472319912298767</v>
      </c>
      <c r="N137" s="15">
        <v>19.160834130386576</v>
      </c>
      <c r="O137" s="15">
        <v>14.002732864048587</v>
      </c>
      <c r="P137" s="15">
        <v>3.5265515216976491</v>
      </c>
      <c r="Q137" s="15">
        <v>1.6315497446403397</v>
      </c>
      <c r="R137" s="15">
        <v>1.6315497446403397</v>
      </c>
      <c r="S137" s="15">
        <v>0</v>
      </c>
      <c r="T137" s="15">
        <v>0</v>
      </c>
      <c r="U137" s="15">
        <v>12149.289285671164</v>
      </c>
      <c r="V137" s="15">
        <v>0</v>
      </c>
      <c r="W137" s="15">
        <v>0</v>
      </c>
      <c r="X137" s="15">
        <v>0</v>
      </c>
      <c r="Y137" s="15">
        <v>613.5337104676812</v>
      </c>
      <c r="Z137" s="15">
        <v>0</v>
      </c>
      <c r="AA137" s="15">
        <v>0</v>
      </c>
      <c r="AB137" s="15">
        <v>0</v>
      </c>
      <c r="AC137" s="15">
        <v>613.5337104676812</v>
      </c>
      <c r="AD137" s="15">
        <v>477.53805715014806</v>
      </c>
      <c r="AE137" s="15">
        <v>6.2847116990266283</v>
      </c>
      <c r="AF137" s="15">
        <v>0</v>
      </c>
      <c r="AG137" s="15">
        <v>0</v>
      </c>
      <c r="AH137" s="15">
        <v>348.25298722167895</v>
      </c>
      <c r="AI137" s="15">
        <v>123.00035822944248</v>
      </c>
      <c r="AJ137" s="15">
        <v>0</v>
      </c>
      <c r="AK137" s="15">
        <v>0</v>
      </c>
      <c r="AL137" s="15">
        <v>0</v>
      </c>
      <c r="AM137" s="15">
        <v>0</v>
      </c>
      <c r="AN137" s="15">
        <v>0.7783403731575449</v>
      </c>
      <c r="AO137" s="15">
        <v>135.99565331753314</v>
      </c>
      <c r="AP137" s="15">
        <v>354.53769892070557</v>
      </c>
      <c r="AQ137" s="15">
        <v>6.2847116990266283</v>
      </c>
      <c r="AR137" s="15">
        <v>0</v>
      </c>
      <c r="AS137" s="15">
        <v>0</v>
      </c>
      <c r="AT137" s="15">
        <v>348.25298722167895</v>
      </c>
      <c r="AU137" s="15">
        <v>569.51421188838708</v>
      </c>
      <c r="AV137" s="15">
        <v>163.20879324575532</v>
      </c>
      <c r="AW137" s="15">
        <v>163.20879324575532</v>
      </c>
      <c r="AX137" s="15">
        <v>0</v>
      </c>
      <c r="AY137" s="15">
        <v>0</v>
      </c>
      <c r="AZ137" s="15">
        <v>344.70268979557807</v>
      </c>
      <c r="BA137" s="15">
        <v>82.718698010625431</v>
      </c>
      <c r="BB137" s="15">
        <v>109.15999657706362</v>
      </c>
      <c r="BC137" s="15">
        <v>152.82399520788906</v>
      </c>
      <c r="BD137" s="15">
        <v>0</v>
      </c>
      <c r="BE137" s="15">
        <v>61.602728847053726</v>
      </c>
      <c r="BF137" s="15">
        <v>21.059507323078531</v>
      </c>
      <c r="BG137" s="15">
        <v>1.5831329762799129</v>
      </c>
      <c r="BH137" s="15">
        <v>38.960088547695278</v>
      </c>
      <c r="BI137" s="15">
        <v>0</v>
      </c>
      <c r="BJ137" s="15">
        <v>924.05191080909265</v>
      </c>
      <c r="BK137" s="15">
        <v>1401.5899679592408</v>
      </c>
      <c r="BL137" s="15">
        <v>1.6104351572440727</v>
      </c>
      <c r="BM137" s="15">
        <v>7.2653517475633551</v>
      </c>
    </row>
    <row r="138" spans="1:65" x14ac:dyDescent="0.35">
      <c r="A138" s="15" t="s">
        <v>10605</v>
      </c>
      <c r="B138" s="15" t="s">
        <v>10599</v>
      </c>
      <c r="C138" s="15" t="s">
        <v>10601</v>
      </c>
      <c r="D138" s="15" t="s">
        <v>10327</v>
      </c>
      <c r="E138" s="15" t="s">
        <v>10742</v>
      </c>
      <c r="F138" s="15">
        <v>54624</v>
      </c>
      <c r="G138" s="15">
        <v>0.8971242506680791</v>
      </c>
      <c r="H138" s="15">
        <v>200</v>
      </c>
      <c r="I138" s="80">
        <v>1222.7944602657149</v>
      </c>
      <c r="J138" s="81">
        <v>0.11605573208768362</v>
      </c>
      <c r="K138" s="15">
        <v>30</v>
      </c>
      <c r="L138" s="15">
        <v>80.76096552164752</v>
      </c>
      <c r="M138" s="15">
        <v>23.30256064503406</v>
      </c>
      <c r="N138" s="15">
        <v>19.160834130386576</v>
      </c>
      <c r="O138" s="15">
        <v>14.002732864048587</v>
      </c>
      <c r="P138" s="15">
        <v>3.5265515216976491</v>
      </c>
      <c r="Q138" s="15">
        <v>1.6315497446403397</v>
      </c>
      <c r="R138" s="15">
        <v>1.6315497446403397</v>
      </c>
      <c r="S138" s="15">
        <v>0</v>
      </c>
      <c r="T138" s="15">
        <v>0</v>
      </c>
      <c r="U138" s="15">
        <v>12149.289285671164</v>
      </c>
      <c r="V138" s="15">
        <v>0</v>
      </c>
      <c r="W138" s="15">
        <v>0</v>
      </c>
      <c r="X138" s="15">
        <v>0</v>
      </c>
      <c r="Y138" s="15">
        <v>1499.4667692213638</v>
      </c>
      <c r="Z138" s="15">
        <v>0</v>
      </c>
      <c r="AA138" s="15">
        <v>0</v>
      </c>
      <c r="AB138" s="15">
        <v>0</v>
      </c>
      <c r="AC138" s="15">
        <v>1499.4667692213638</v>
      </c>
      <c r="AD138" s="15">
        <v>276.67230895564899</v>
      </c>
      <c r="AE138" s="15">
        <v>7.7913634446358691</v>
      </c>
      <c r="AF138" s="15">
        <v>0</v>
      </c>
      <c r="AG138" s="15">
        <v>0</v>
      </c>
      <c r="AH138" s="15">
        <v>145.8805872815706</v>
      </c>
      <c r="AI138" s="15">
        <v>123.00035822944248</v>
      </c>
      <c r="AJ138" s="15">
        <v>0</v>
      </c>
      <c r="AK138" s="15">
        <v>0</v>
      </c>
      <c r="AL138" s="15">
        <v>0</v>
      </c>
      <c r="AM138" s="15">
        <v>0</v>
      </c>
      <c r="AN138" s="15">
        <v>0.18451379826130998</v>
      </c>
      <c r="AO138" s="15">
        <v>1222.7944602657149</v>
      </c>
      <c r="AP138" s="15">
        <v>153.67195072620646</v>
      </c>
      <c r="AQ138" s="15">
        <v>7.7913634446358691</v>
      </c>
      <c r="AR138" s="15">
        <v>0</v>
      </c>
      <c r="AS138" s="15">
        <v>0</v>
      </c>
      <c r="AT138" s="15">
        <v>145.8805872815706</v>
      </c>
      <c r="AU138" s="15">
        <v>1011.0348158184099</v>
      </c>
      <c r="AV138" s="15">
        <v>163.20879324575532</v>
      </c>
      <c r="AW138" s="15">
        <v>163.20879324575532</v>
      </c>
      <c r="AX138" s="15">
        <v>0</v>
      </c>
      <c r="AY138" s="15">
        <v>0</v>
      </c>
      <c r="AZ138" s="15">
        <v>631.35446373548496</v>
      </c>
      <c r="BA138" s="15">
        <v>82.718698010625431</v>
      </c>
      <c r="BB138" s="15">
        <v>228.59823571869148</v>
      </c>
      <c r="BC138" s="15">
        <v>320.03753000616803</v>
      </c>
      <c r="BD138" s="15">
        <v>0</v>
      </c>
      <c r="BE138" s="15">
        <v>216.47155883716962</v>
      </c>
      <c r="BF138" s="15">
        <v>75.399447670487618</v>
      </c>
      <c r="BG138" s="15">
        <v>1.5831329762799129</v>
      </c>
      <c r="BH138" s="15">
        <v>139.48897819040209</v>
      </c>
      <c r="BI138" s="15">
        <v>0</v>
      </c>
      <c r="BJ138" s="15">
        <v>1164.7067665446164</v>
      </c>
      <c r="BK138" s="15">
        <v>1441.3790755002653</v>
      </c>
      <c r="BL138" s="15">
        <v>9.4641848150188126E-2</v>
      </c>
      <c r="BM138" s="15">
        <v>0.11605573208768362</v>
      </c>
    </row>
    <row r="139" spans="1:65" s="60" customFormat="1" x14ac:dyDescent="0.35">
      <c r="A139" s="59" t="s">
        <v>10605</v>
      </c>
      <c r="B139" s="59" t="s">
        <v>10599</v>
      </c>
      <c r="C139" s="59" t="s">
        <v>10743</v>
      </c>
      <c r="D139" s="59" t="s">
        <v>10326</v>
      </c>
      <c r="E139" s="59" t="s">
        <v>10744</v>
      </c>
      <c r="F139" s="59">
        <v>54624</v>
      </c>
      <c r="G139" s="59">
        <v>0.8971242506680791</v>
      </c>
      <c r="H139" s="59">
        <v>200</v>
      </c>
      <c r="I139" s="59">
        <v>135.99565331753314</v>
      </c>
      <c r="J139" s="88">
        <v>7.2653517475633551</v>
      </c>
      <c r="K139" s="59">
        <v>30</v>
      </c>
      <c r="L139" s="59">
        <v>82.878744383279283</v>
      </c>
      <c r="M139" s="59">
        <v>15.472319912298767</v>
      </c>
      <c r="N139" s="59">
        <v>19.160834130386576</v>
      </c>
      <c r="O139" s="59">
        <v>14.002732864048587</v>
      </c>
      <c r="P139" s="59">
        <v>3.5265515216976491</v>
      </c>
      <c r="Q139" s="59">
        <v>1.6315497446403397</v>
      </c>
      <c r="R139" s="59">
        <v>1.6315497446403397</v>
      </c>
      <c r="S139" s="59">
        <v>0</v>
      </c>
      <c r="T139" s="59">
        <v>0</v>
      </c>
      <c r="U139" s="59">
        <v>12149.289285671164</v>
      </c>
      <c r="V139" s="59">
        <v>0</v>
      </c>
      <c r="W139" s="59">
        <v>0</v>
      </c>
      <c r="X139" s="59">
        <v>0</v>
      </c>
      <c r="Y139" s="59">
        <v>613.5337104676812</v>
      </c>
      <c r="Z139" s="59">
        <v>0</v>
      </c>
      <c r="AA139" s="59">
        <v>0</v>
      </c>
      <c r="AB139" s="59">
        <v>0</v>
      </c>
      <c r="AC139" s="59">
        <v>613.5337104676812</v>
      </c>
      <c r="AD139" s="59">
        <v>477.53805715014806</v>
      </c>
      <c r="AE139" s="59">
        <v>6.2847116990266283</v>
      </c>
      <c r="AF139" s="59">
        <v>0</v>
      </c>
      <c r="AG139" s="59">
        <v>0</v>
      </c>
      <c r="AH139" s="59">
        <v>348.25298722167895</v>
      </c>
      <c r="AI139" s="59">
        <v>123.00035822944248</v>
      </c>
      <c r="AJ139" s="59">
        <v>0</v>
      </c>
      <c r="AK139" s="59">
        <v>0</v>
      </c>
      <c r="AL139" s="59">
        <v>0</v>
      </c>
      <c r="AM139" s="59">
        <v>0</v>
      </c>
      <c r="AN139" s="59">
        <v>0.7783403731575449</v>
      </c>
      <c r="AO139" s="59">
        <v>135.99565331753314</v>
      </c>
      <c r="AP139" s="59">
        <v>354.53769892070557</v>
      </c>
      <c r="AQ139" s="59">
        <v>6.2847116990266283</v>
      </c>
      <c r="AR139" s="59">
        <v>0</v>
      </c>
      <c r="AS139" s="59">
        <v>0</v>
      </c>
      <c r="AT139" s="59">
        <v>348.25298722167895</v>
      </c>
      <c r="AU139" s="59">
        <v>569.51421188838708</v>
      </c>
      <c r="AV139" s="59">
        <v>163.20879324575532</v>
      </c>
      <c r="AW139" s="59">
        <v>163.20879324575532</v>
      </c>
      <c r="AX139" s="59">
        <v>0</v>
      </c>
      <c r="AY139" s="59">
        <v>0</v>
      </c>
      <c r="AZ139" s="59">
        <v>344.70268979557807</v>
      </c>
      <c r="BA139" s="59">
        <v>82.718698010625431</v>
      </c>
      <c r="BB139" s="59">
        <v>109.15999657706362</v>
      </c>
      <c r="BC139" s="59">
        <v>152.82399520788906</v>
      </c>
      <c r="BD139" s="59">
        <v>0</v>
      </c>
      <c r="BE139" s="59">
        <v>61.602728847053726</v>
      </c>
      <c r="BF139" s="59">
        <v>21.059507323078531</v>
      </c>
      <c r="BG139" s="59">
        <v>1.5831329762799129</v>
      </c>
      <c r="BH139" s="59">
        <v>38.960088547695278</v>
      </c>
      <c r="BI139" s="59">
        <v>0</v>
      </c>
      <c r="BJ139" s="59">
        <v>924.05191080909265</v>
      </c>
      <c r="BK139" s="59">
        <v>1401.5899679592408</v>
      </c>
      <c r="BL139" s="59">
        <v>1.6104351572440727</v>
      </c>
      <c r="BM139" s="59">
        <v>7.2653517475633551</v>
      </c>
    </row>
    <row r="140" spans="1:65" s="60" customFormat="1" x14ac:dyDescent="0.35">
      <c r="A140" s="15" t="s">
        <v>10605</v>
      </c>
      <c r="B140" s="15" t="s">
        <v>10599</v>
      </c>
      <c r="C140" s="15" t="s">
        <v>10603</v>
      </c>
      <c r="D140" s="15" t="s">
        <v>10321</v>
      </c>
      <c r="E140" s="15" t="s">
        <v>10745</v>
      </c>
      <c r="F140" s="15">
        <v>66503</v>
      </c>
      <c r="G140" s="15">
        <v>0.89713386088875591</v>
      </c>
      <c r="H140" s="15">
        <v>200</v>
      </c>
      <c r="I140" s="78">
        <v>158.56995212485788</v>
      </c>
      <c r="J140" s="79">
        <v>3.6059738713878904</v>
      </c>
      <c r="K140" s="15">
        <v>30</v>
      </c>
      <c r="L140" s="15">
        <v>90.074254687684999</v>
      </c>
      <c r="M140" s="15">
        <v>17.055438472294682</v>
      </c>
      <c r="N140" s="15">
        <v>23.327962109902344</v>
      </c>
      <c r="O140" s="15">
        <v>4.3482038334941926</v>
      </c>
      <c r="P140" s="15">
        <v>9.0323828092857283</v>
      </c>
      <c r="Q140" s="15">
        <v>9.947375467122427</v>
      </c>
      <c r="R140" s="15">
        <v>1.8604049782647123</v>
      </c>
      <c r="S140" s="15">
        <v>3.8984348920247482</v>
      </c>
      <c r="T140" s="15">
        <v>4.1885355968329661</v>
      </c>
      <c r="U140" s="15">
        <v>0</v>
      </c>
      <c r="V140" s="15">
        <v>2832.8450755932572</v>
      </c>
      <c r="W140" s="15">
        <v>0</v>
      </c>
      <c r="X140" s="15">
        <v>0</v>
      </c>
      <c r="Y140" s="15">
        <v>300.20101355741713</v>
      </c>
      <c r="Z140" s="15">
        <v>0</v>
      </c>
      <c r="AA140" s="15">
        <v>0</v>
      </c>
      <c r="AB140" s="15">
        <v>0</v>
      </c>
      <c r="AC140" s="15">
        <v>300.20101355741713</v>
      </c>
      <c r="AD140" s="15">
        <v>141.63106143255925</v>
      </c>
      <c r="AE140" s="15">
        <v>10.497023283962294</v>
      </c>
      <c r="AF140" s="15">
        <v>0</v>
      </c>
      <c r="AG140" s="15">
        <v>0</v>
      </c>
      <c r="AH140" s="15">
        <v>29.673269398596965</v>
      </c>
      <c r="AI140" s="15">
        <v>101.46076874999999</v>
      </c>
      <c r="AJ140" s="15">
        <v>0</v>
      </c>
      <c r="AK140" s="15">
        <v>0</v>
      </c>
      <c r="AL140" s="15">
        <v>0</v>
      </c>
      <c r="AM140" s="15">
        <v>0</v>
      </c>
      <c r="AN140" s="15">
        <v>0.47178741921692602</v>
      </c>
      <c r="AO140" s="15">
        <v>158.56995212485788</v>
      </c>
      <c r="AP140" s="15">
        <v>40.170292682559257</v>
      </c>
      <c r="AQ140" s="15">
        <v>10.497023283962294</v>
      </c>
      <c r="AR140" s="15">
        <v>0</v>
      </c>
      <c r="AS140" s="15">
        <v>0</v>
      </c>
      <c r="AT140" s="15">
        <v>29.673269398596965</v>
      </c>
      <c r="AU140" s="15">
        <v>490.19876359176476</v>
      </c>
      <c r="AV140" s="15">
        <v>108.45967353588209</v>
      </c>
      <c r="AW140" s="15">
        <v>108.45967353588209</v>
      </c>
      <c r="AX140" s="15">
        <v>0</v>
      </c>
      <c r="AY140" s="15">
        <v>0</v>
      </c>
      <c r="AZ140" s="15">
        <v>326.42659031654534</v>
      </c>
      <c r="BA140" s="15">
        <v>76.930878417473096</v>
      </c>
      <c r="BB140" s="15">
        <v>103.95654662461342</v>
      </c>
      <c r="BC140" s="15">
        <v>145.53916527445878</v>
      </c>
      <c r="BD140" s="15">
        <v>0</v>
      </c>
      <c r="BE140" s="15">
        <v>55.312499739337355</v>
      </c>
      <c r="BF140" s="15">
        <v>18.891276642074398</v>
      </c>
      <c r="BG140" s="15">
        <v>1.4723613094253225</v>
      </c>
      <c r="BH140" s="15">
        <v>34.948861787837636</v>
      </c>
      <c r="BI140" s="15">
        <v>0</v>
      </c>
      <c r="BJ140" s="15">
        <v>530.36905627432407</v>
      </c>
      <c r="BK140" s="59">
        <v>672.00011770688332</v>
      </c>
      <c r="BL140" s="59">
        <v>1.90472076484213</v>
      </c>
      <c r="BM140" s="59">
        <v>3.6059738713878904</v>
      </c>
    </row>
    <row r="141" spans="1:65" s="56" customFormat="1" x14ac:dyDescent="0.35">
      <c r="A141" s="15" t="s">
        <v>10605</v>
      </c>
      <c r="B141" s="15" t="s">
        <v>10599</v>
      </c>
      <c r="C141" s="15" t="s">
        <v>10603</v>
      </c>
      <c r="D141" s="15" t="s">
        <v>10322</v>
      </c>
      <c r="E141" s="15" t="s">
        <v>10746</v>
      </c>
      <c r="F141" s="15">
        <v>66503</v>
      </c>
      <c r="G141" s="15">
        <v>0.89713386088875591</v>
      </c>
      <c r="H141" s="15">
        <v>200</v>
      </c>
      <c r="I141" s="80">
        <v>471.38729695588125</v>
      </c>
      <c r="J141" s="79">
        <v>0.56251596551585503</v>
      </c>
      <c r="K141" s="15">
        <v>30</v>
      </c>
      <c r="L141" s="15">
        <v>90.074254687684999</v>
      </c>
      <c r="M141" s="15">
        <v>17.055438472294682</v>
      </c>
      <c r="N141" s="15">
        <v>23.327962109902344</v>
      </c>
      <c r="O141" s="15">
        <v>4.3482038334941926</v>
      </c>
      <c r="P141" s="15">
        <v>9.0323828092857283</v>
      </c>
      <c r="Q141" s="15">
        <v>9.947375467122427</v>
      </c>
      <c r="R141" s="15">
        <v>1.8604049782647123</v>
      </c>
      <c r="S141" s="15">
        <v>3.8984348920247482</v>
      </c>
      <c r="T141" s="15">
        <v>4.1885355968329661</v>
      </c>
      <c r="U141" s="15">
        <v>0</v>
      </c>
      <c r="V141" s="15">
        <v>0</v>
      </c>
      <c r="W141" s="15">
        <v>708.2112688983143</v>
      </c>
      <c r="X141" s="15">
        <v>0</v>
      </c>
      <c r="Y141" s="15">
        <v>300.20101355741713</v>
      </c>
      <c r="Z141" s="15">
        <v>0</v>
      </c>
      <c r="AA141" s="15">
        <v>0</v>
      </c>
      <c r="AB141" s="15">
        <v>0</v>
      </c>
      <c r="AC141" s="15">
        <v>300.20101355741713</v>
      </c>
      <c r="AD141" s="15">
        <v>-171.18628339846413</v>
      </c>
      <c r="AE141" s="15">
        <v>-11.927837405433955</v>
      </c>
      <c r="AF141" s="15">
        <v>25.996892417207441</v>
      </c>
      <c r="AG141" s="15">
        <v>-299.17184193035968</v>
      </c>
      <c r="AH141" s="15">
        <v>0</v>
      </c>
      <c r="AI141" s="15">
        <v>101.46076874999999</v>
      </c>
      <c r="AJ141" s="15">
        <v>0</v>
      </c>
      <c r="AK141" s="15">
        <v>12.455734770122</v>
      </c>
      <c r="AL141" s="15">
        <v>0</v>
      </c>
      <c r="AM141" s="15">
        <v>0</v>
      </c>
      <c r="AN141" s="15">
        <v>-0.57023885885622649</v>
      </c>
      <c r="AO141" s="15">
        <v>471.38729695588125</v>
      </c>
      <c r="AP141" s="15">
        <v>0</v>
      </c>
      <c r="AQ141" s="15">
        <v>0</v>
      </c>
      <c r="AR141" s="15">
        <v>0</v>
      </c>
      <c r="AS141" s="15">
        <v>0</v>
      </c>
      <c r="AT141" s="15">
        <v>0</v>
      </c>
      <c r="AU141" s="15">
        <v>536.55017743492795</v>
      </c>
      <c r="AV141" s="15">
        <v>108.45967353588209</v>
      </c>
      <c r="AW141" s="15">
        <v>108.45967353588209</v>
      </c>
      <c r="AX141" s="15">
        <v>0</v>
      </c>
      <c r="AY141" s="15">
        <v>0</v>
      </c>
      <c r="AZ141" s="15">
        <v>326.42659031654534</v>
      </c>
      <c r="BA141" s="15">
        <v>76.930878417473096</v>
      </c>
      <c r="BB141" s="15">
        <v>103.95654662461342</v>
      </c>
      <c r="BC141" s="15">
        <v>145.53916527445878</v>
      </c>
      <c r="BD141" s="15">
        <v>0</v>
      </c>
      <c r="BE141" s="15">
        <v>101.66391358250058</v>
      </c>
      <c r="BF141" s="15">
        <v>35.154930622131666</v>
      </c>
      <c r="BG141" s="15">
        <v>1.4723613094253225</v>
      </c>
      <c r="BH141" s="15">
        <v>65.036621650943587</v>
      </c>
      <c r="BI141" s="15">
        <v>0</v>
      </c>
      <c r="BJ141" s="15">
        <v>536.55017743492795</v>
      </c>
      <c r="BK141" s="55">
        <v>365.36389403646382</v>
      </c>
      <c r="BL141" s="55">
        <v>0.88328442778002469</v>
      </c>
      <c r="BM141" s="55">
        <v>0.56251596551585503</v>
      </c>
    </row>
    <row r="142" spans="1:65" x14ac:dyDescent="0.35">
      <c r="A142" s="15" t="s">
        <v>10605</v>
      </c>
      <c r="B142" s="15" t="s">
        <v>10599</v>
      </c>
      <c r="C142" s="15" t="s">
        <v>10603</v>
      </c>
      <c r="D142" s="15" t="s">
        <v>10323</v>
      </c>
      <c r="E142" s="15" t="s">
        <v>10747</v>
      </c>
      <c r="F142" s="15">
        <v>66503</v>
      </c>
      <c r="G142" s="15">
        <v>0.89713386088875591</v>
      </c>
      <c r="H142" s="15">
        <v>200</v>
      </c>
      <c r="I142" s="78">
        <v>187.59050156663631</v>
      </c>
      <c r="J142" s="79">
        <v>2.7188596506923495</v>
      </c>
      <c r="K142" s="15">
        <v>30</v>
      </c>
      <c r="L142" s="15">
        <v>90.074254687684999</v>
      </c>
      <c r="M142" s="15">
        <v>17.055438472294682</v>
      </c>
      <c r="N142" s="15">
        <v>23.327962109902344</v>
      </c>
      <c r="O142" s="15">
        <v>4.3482038334941926</v>
      </c>
      <c r="P142" s="15">
        <v>9.0323828092857283</v>
      </c>
      <c r="Q142" s="15">
        <v>9.947375467122427</v>
      </c>
      <c r="R142" s="15">
        <v>1.8604049782647123</v>
      </c>
      <c r="S142" s="15">
        <v>3.8984348920247482</v>
      </c>
      <c r="T142" s="15">
        <v>4.1885355968329661</v>
      </c>
      <c r="U142" s="15">
        <v>0</v>
      </c>
      <c r="V142" s="15">
        <v>0</v>
      </c>
      <c r="W142" s="15">
        <v>0</v>
      </c>
      <c r="X142" s="15">
        <v>708211.26889831433</v>
      </c>
      <c r="Y142" s="15">
        <v>300.20101355741713</v>
      </c>
      <c r="Z142" s="15">
        <v>0</v>
      </c>
      <c r="AA142" s="15">
        <v>0</v>
      </c>
      <c r="AB142" s="15">
        <v>0</v>
      </c>
      <c r="AC142" s="15">
        <v>300.20101355741713</v>
      </c>
      <c r="AD142" s="15">
        <v>112.61051199078082</v>
      </c>
      <c r="AE142" s="15">
        <v>-11.927837405433955</v>
      </c>
      <c r="AF142" s="15">
        <v>0</v>
      </c>
      <c r="AG142" s="15">
        <v>0</v>
      </c>
      <c r="AH142" s="15">
        <v>0</v>
      </c>
      <c r="AI142" s="15">
        <v>101.46076874999999</v>
      </c>
      <c r="AJ142" s="15">
        <v>0</v>
      </c>
      <c r="AK142" s="15">
        <v>23.077580646214784</v>
      </c>
      <c r="AL142" s="15">
        <v>0</v>
      </c>
      <c r="AM142" s="15">
        <v>0</v>
      </c>
      <c r="AN142" s="15">
        <v>0.37511702794182167</v>
      </c>
      <c r="AO142" s="15">
        <v>187.59050156663631</v>
      </c>
      <c r="AP142" s="15">
        <v>0</v>
      </c>
      <c r="AQ142" s="15">
        <v>0</v>
      </c>
      <c r="AR142" s="15">
        <v>0</v>
      </c>
      <c r="AS142" s="15">
        <v>0</v>
      </c>
      <c r="AT142" s="15">
        <v>0</v>
      </c>
      <c r="AU142" s="15">
        <v>497.62274712930378</v>
      </c>
      <c r="AV142" s="15">
        <v>108.45967353588209</v>
      </c>
      <c r="AW142" s="15">
        <v>108.45967353588209</v>
      </c>
      <c r="AX142" s="15">
        <v>0</v>
      </c>
      <c r="AY142" s="15">
        <v>0</v>
      </c>
      <c r="AZ142" s="15">
        <v>326.42659031654534</v>
      </c>
      <c r="BA142" s="15">
        <v>76.930878417473096</v>
      </c>
      <c r="BB142" s="15">
        <v>103.95654662461342</v>
      </c>
      <c r="BC142" s="15">
        <v>145.53916527445878</v>
      </c>
      <c r="BD142" s="15">
        <v>0</v>
      </c>
      <c r="BE142" s="15">
        <v>62.736483276876385</v>
      </c>
      <c r="BF142" s="15">
        <v>21.496183146474056</v>
      </c>
      <c r="BG142" s="15">
        <v>1.4723613094253225</v>
      </c>
      <c r="BH142" s="15">
        <v>39.767938820977001</v>
      </c>
      <c r="BI142" s="15">
        <v>0</v>
      </c>
      <c r="BJ142" s="15">
        <v>497.62274712930378</v>
      </c>
      <c r="BK142" s="15">
        <v>610.23325912008454</v>
      </c>
      <c r="BL142" s="15">
        <v>1.6989690991336959</v>
      </c>
      <c r="BM142" s="15">
        <v>2.7188596506923495</v>
      </c>
    </row>
    <row r="143" spans="1:65" x14ac:dyDescent="0.35">
      <c r="A143" s="15" t="s">
        <v>10605</v>
      </c>
      <c r="B143" s="15" t="s">
        <v>10599</v>
      </c>
      <c r="C143" s="15" t="s">
        <v>10603</v>
      </c>
      <c r="D143" s="15" t="s">
        <v>10324</v>
      </c>
      <c r="E143" s="15" t="s">
        <v>10748</v>
      </c>
      <c r="F143" s="15">
        <v>66503</v>
      </c>
      <c r="G143" s="15">
        <v>0.89713386088875591</v>
      </c>
      <c r="H143" s="15">
        <v>200</v>
      </c>
      <c r="I143" s="78">
        <v>179.13909951045326</v>
      </c>
      <c r="J143" s="79">
        <v>2.7268357870179472</v>
      </c>
      <c r="K143" s="15">
        <v>30</v>
      </c>
      <c r="L143" s="15">
        <v>91.141232723795738</v>
      </c>
      <c r="M143" s="15">
        <v>16.595133505806611</v>
      </c>
      <c r="N143" s="15">
        <v>23.327962109902344</v>
      </c>
      <c r="O143" s="15">
        <v>3.2780452356834777</v>
      </c>
      <c r="P143" s="15">
        <v>9.4145823085038387</v>
      </c>
      <c r="Q143" s="15">
        <v>10.635334565715029</v>
      </c>
      <c r="R143" s="15">
        <v>1.8604049782647123</v>
      </c>
      <c r="S143" s="15">
        <v>4.586393990617351</v>
      </c>
      <c r="T143" s="15">
        <v>4.1885355968329661</v>
      </c>
      <c r="U143" s="15">
        <v>0</v>
      </c>
      <c r="V143" s="15">
        <v>0</v>
      </c>
      <c r="W143" s="15">
        <v>0</v>
      </c>
      <c r="X143" s="15">
        <v>0</v>
      </c>
      <c r="Y143" s="15">
        <v>267.60417534542665</v>
      </c>
      <c r="Z143" s="15">
        <v>0</v>
      </c>
      <c r="AA143" s="15">
        <v>0</v>
      </c>
      <c r="AB143" s="15">
        <v>0</v>
      </c>
      <c r="AC143" s="15">
        <v>267.60417534542665</v>
      </c>
      <c r="AD143" s="15">
        <v>88.465075834973391</v>
      </c>
      <c r="AE143" s="15">
        <v>-12.995692915026599</v>
      </c>
      <c r="AF143" s="15">
        <v>0</v>
      </c>
      <c r="AG143" s="15">
        <v>0</v>
      </c>
      <c r="AH143" s="15">
        <v>0</v>
      </c>
      <c r="AI143" s="15">
        <v>101.46076874999999</v>
      </c>
      <c r="AJ143" s="15">
        <v>0</v>
      </c>
      <c r="AK143" s="15">
        <v>0</v>
      </c>
      <c r="AL143" s="15">
        <v>0</v>
      </c>
      <c r="AM143" s="15">
        <v>0</v>
      </c>
      <c r="AN143" s="15">
        <v>0.33058182190461571</v>
      </c>
      <c r="AO143" s="15">
        <v>179.13909951045326</v>
      </c>
      <c r="AP143" s="15">
        <v>0</v>
      </c>
      <c r="AQ143" s="15">
        <v>0</v>
      </c>
      <c r="AR143" s="15">
        <v>0</v>
      </c>
      <c r="AS143" s="15">
        <v>0</v>
      </c>
      <c r="AT143" s="15">
        <v>0</v>
      </c>
      <c r="AU143" s="15">
        <v>467.62200690972645</v>
      </c>
      <c r="AV143" s="15">
        <v>104.81981392032752</v>
      </c>
      <c r="AW143" s="15">
        <v>104.81981392032752</v>
      </c>
      <c r="AX143" s="15">
        <v>0</v>
      </c>
      <c r="AY143" s="15">
        <v>0</v>
      </c>
      <c r="AZ143" s="15">
        <v>304.67701300946919</v>
      </c>
      <c r="BA143" s="15">
        <v>76.930878417473096</v>
      </c>
      <c r="BB143" s="15">
        <v>94.894222746665051</v>
      </c>
      <c r="BC143" s="15">
        <v>132.85191184533107</v>
      </c>
      <c r="BD143" s="15">
        <v>0</v>
      </c>
      <c r="BE143" s="15">
        <v>58.125179979929712</v>
      </c>
      <c r="BF143" s="15">
        <v>19.878181989650663</v>
      </c>
      <c r="BG143" s="15">
        <v>1.4723613094253225</v>
      </c>
      <c r="BH143" s="15">
        <v>36.774636680853725</v>
      </c>
      <c r="BI143" s="15">
        <v>0</v>
      </c>
      <c r="BJ143" s="15">
        <v>467.62200690972645</v>
      </c>
      <c r="BK143" s="15">
        <v>556.08708274469984</v>
      </c>
      <c r="BL143" s="15">
        <v>1.8253934445108475</v>
      </c>
      <c r="BM143" s="15">
        <v>2.7268357870179472</v>
      </c>
    </row>
    <row r="144" spans="1:65" x14ac:dyDescent="0.35">
      <c r="A144" s="15" t="s">
        <v>10605</v>
      </c>
      <c r="B144" s="15" t="s">
        <v>10599</v>
      </c>
      <c r="C144" s="15" t="s">
        <v>10603</v>
      </c>
      <c r="D144" s="15" t="s">
        <v>10325</v>
      </c>
      <c r="E144" s="15" t="s">
        <v>10749</v>
      </c>
      <c r="F144" s="15">
        <v>66503</v>
      </c>
      <c r="G144" s="15">
        <v>0.89713386088875591</v>
      </c>
      <c r="H144" s="15">
        <v>200</v>
      </c>
      <c r="I144" s="78">
        <v>241.79690753955828</v>
      </c>
      <c r="J144" s="79">
        <v>1.805305313721542</v>
      </c>
      <c r="K144" s="15">
        <v>30</v>
      </c>
      <c r="L144" s="15">
        <v>86.165625246578543</v>
      </c>
      <c r="M144" s="15">
        <v>15.948698020671058</v>
      </c>
      <c r="N144" s="15">
        <v>23.327962109902344</v>
      </c>
      <c r="O144" s="15">
        <v>5.2277379889238418</v>
      </c>
      <c r="P144" s="15">
        <v>8.1605877052860372</v>
      </c>
      <c r="Q144" s="15">
        <v>9.9396364156924708</v>
      </c>
      <c r="R144" s="15">
        <v>1.8604049782647123</v>
      </c>
      <c r="S144" s="15">
        <v>0</v>
      </c>
      <c r="T144" s="15">
        <v>8.0792314374277563</v>
      </c>
      <c r="U144" s="15">
        <v>0</v>
      </c>
      <c r="V144" s="15">
        <v>0</v>
      </c>
      <c r="W144" s="15">
        <v>0</v>
      </c>
      <c r="X144" s="15">
        <v>0</v>
      </c>
      <c r="Y144" s="15">
        <v>331.05565178408585</v>
      </c>
      <c r="Z144" s="15">
        <v>0</v>
      </c>
      <c r="AA144" s="15">
        <v>0</v>
      </c>
      <c r="AB144" s="15">
        <v>0</v>
      </c>
      <c r="AC144" s="15">
        <v>331.05565178408585</v>
      </c>
      <c r="AD144" s="15">
        <v>89.258744244527577</v>
      </c>
      <c r="AE144" s="15">
        <v>-12.202024505472428</v>
      </c>
      <c r="AF144" s="15">
        <v>0</v>
      </c>
      <c r="AG144" s="15">
        <v>0</v>
      </c>
      <c r="AH144" s="15">
        <v>0</v>
      </c>
      <c r="AI144" s="15">
        <v>101.46076874999999</v>
      </c>
      <c r="AJ144" s="15">
        <v>0</v>
      </c>
      <c r="AK144" s="15">
        <v>0</v>
      </c>
      <c r="AL144" s="15">
        <v>0</v>
      </c>
      <c r="AM144" s="15">
        <v>0</v>
      </c>
      <c r="AN144" s="15">
        <v>0.2696185483120585</v>
      </c>
      <c r="AO144" s="15">
        <v>241.79690753955828</v>
      </c>
      <c r="AP144" s="15">
        <v>0</v>
      </c>
      <c r="AQ144" s="15">
        <v>0</v>
      </c>
      <c r="AR144" s="15">
        <v>0</v>
      </c>
      <c r="AS144" s="15">
        <v>0</v>
      </c>
      <c r="AT144" s="15">
        <v>0</v>
      </c>
      <c r="AU144" s="15">
        <v>478.31414956215917</v>
      </c>
      <c r="AV144" s="15">
        <v>117.00650464701444</v>
      </c>
      <c r="AW144" s="15">
        <v>117.00650464701444</v>
      </c>
      <c r="AX144" s="15">
        <v>0</v>
      </c>
      <c r="AY144" s="15">
        <v>0</v>
      </c>
      <c r="AZ144" s="15">
        <v>293.85165297064157</v>
      </c>
      <c r="BA144" s="15">
        <v>76.930878417473096</v>
      </c>
      <c r="BB144" s="15">
        <v>90.383656063820197</v>
      </c>
      <c r="BC144" s="15">
        <v>126.53711848934827</v>
      </c>
      <c r="BD144" s="15">
        <v>0</v>
      </c>
      <c r="BE144" s="15">
        <v>67.455991944503211</v>
      </c>
      <c r="BF144" s="15">
        <v>23.152151100027332</v>
      </c>
      <c r="BG144" s="15">
        <v>1.4723613094253225</v>
      </c>
      <c r="BH144" s="15">
        <v>42.831479535050562</v>
      </c>
      <c r="BI144" s="15">
        <v>0</v>
      </c>
      <c r="BJ144" s="15">
        <v>478.31414956215917</v>
      </c>
      <c r="BK144" s="15">
        <v>567.57289380668681</v>
      </c>
      <c r="BL144" s="15">
        <v>1.3185615157758945</v>
      </c>
      <c r="BM144" s="15">
        <v>1.805305313721542</v>
      </c>
    </row>
    <row r="145" spans="1:65" x14ac:dyDescent="0.35">
      <c r="A145" s="15" t="s">
        <v>10605</v>
      </c>
      <c r="B145" s="15" t="s">
        <v>10599</v>
      </c>
      <c r="C145" s="15" t="s">
        <v>10603</v>
      </c>
      <c r="D145" s="15" t="s">
        <v>10326</v>
      </c>
      <c r="E145" s="15" t="s">
        <v>10750</v>
      </c>
      <c r="F145" s="15">
        <v>66503</v>
      </c>
      <c r="G145" s="15">
        <v>0.89713386088875591</v>
      </c>
      <c r="H145" s="15">
        <v>200</v>
      </c>
      <c r="I145" s="78">
        <v>132.9042320294439</v>
      </c>
      <c r="J145" s="79">
        <v>7.081472607108533</v>
      </c>
      <c r="K145" s="15">
        <v>30</v>
      </c>
      <c r="L145" s="15">
        <v>84.441279710999993</v>
      </c>
      <c r="M145" s="15">
        <v>15.674639399273559</v>
      </c>
      <c r="N145" s="15">
        <v>23.327962109902344</v>
      </c>
      <c r="O145" s="15">
        <v>17.0480689653055</v>
      </c>
      <c r="P145" s="15">
        <v>4.2935114263275267</v>
      </c>
      <c r="Q145" s="15">
        <v>1.9863817182693193</v>
      </c>
      <c r="R145" s="15">
        <v>1.9863817182693193</v>
      </c>
      <c r="S145" s="15">
        <v>0</v>
      </c>
      <c r="T145" s="15">
        <v>0</v>
      </c>
      <c r="U145" s="15">
        <v>14791.535597550805</v>
      </c>
      <c r="V145" s="15">
        <v>0</v>
      </c>
      <c r="W145" s="15">
        <v>0</v>
      </c>
      <c r="X145" s="15">
        <v>0</v>
      </c>
      <c r="Y145" s="15">
        <v>615.11204467427581</v>
      </c>
      <c r="Z145" s="15">
        <v>0</v>
      </c>
      <c r="AA145" s="15">
        <v>0</v>
      </c>
      <c r="AB145" s="15">
        <v>0</v>
      </c>
      <c r="AC145" s="15">
        <v>615.11204467427581</v>
      </c>
      <c r="AD145" s="15">
        <v>482.2078126448319</v>
      </c>
      <c r="AE145" s="15">
        <v>7.8630459056212638</v>
      </c>
      <c r="AF145" s="15">
        <v>0</v>
      </c>
      <c r="AG145" s="15">
        <v>0</v>
      </c>
      <c r="AH145" s="15">
        <v>351.34440850976813</v>
      </c>
      <c r="AI145" s="15">
        <v>123.00035822944255</v>
      </c>
      <c r="AJ145" s="15">
        <v>0</v>
      </c>
      <c r="AK145" s="15">
        <v>0</v>
      </c>
      <c r="AL145" s="15">
        <v>0</v>
      </c>
      <c r="AM145" s="15">
        <v>0</v>
      </c>
      <c r="AN145" s="15">
        <v>0.7839349218079098</v>
      </c>
      <c r="AO145" s="15">
        <v>132.9042320294439</v>
      </c>
      <c r="AP145" s="15">
        <v>359.20745441538941</v>
      </c>
      <c r="AQ145" s="15">
        <v>7.8630459056212638</v>
      </c>
      <c r="AR145" s="15">
        <v>0</v>
      </c>
      <c r="AS145" s="15">
        <v>0</v>
      </c>
      <c r="AT145" s="15">
        <v>351.34440850976813</v>
      </c>
      <c r="AU145" s="15">
        <v>514.854456099358</v>
      </c>
      <c r="AV145" s="15">
        <v>160.00454381015189</v>
      </c>
      <c r="AW145" s="15">
        <v>160.00454381015189</v>
      </c>
      <c r="AX145" s="15">
        <v>0</v>
      </c>
      <c r="AY145" s="15">
        <v>0</v>
      </c>
      <c r="AZ145" s="15">
        <v>298.19113205783833</v>
      </c>
      <c r="BA145" s="15">
        <v>82.718698010625445</v>
      </c>
      <c r="BB145" s="15">
        <v>89.780180853005376</v>
      </c>
      <c r="BC145" s="15">
        <v>125.69225319420751</v>
      </c>
      <c r="BD145" s="15">
        <v>0</v>
      </c>
      <c r="BE145" s="15">
        <v>56.658780231367828</v>
      </c>
      <c r="BF145" s="15">
        <v>19.324788510557166</v>
      </c>
      <c r="BG145" s="15">
        <v>1.5831329762799127</v>
      </c>
      <c r="BH145" s="15">
        <v>35.750858744530753</v>
      </c>
      <c r="BI145" s="15">
        <v>0</v>
      </c>
      <c r="BJ145" s="15">
        <v>874.06191051474741</v>
      </c>
      <c r="BK145" s="15">
        <v>1356.2697231595794</v>
      </c>
      <c r="BL145" s="15">
        <v>1.5300589325700504</v>
      </c>
      <c r="BM145" s="15">
        <v>7.081472607108533</v>
      </c>
    </row>
    <row r="146" spans="1:65" x14ac:dyDescent="0.35">
      <c r="A146" s="15" t="s">
        <v>10605</v>
      </c>
      <c r="B146" s="15" t="s">
        <v>10599</v>
      </c>
      <c r="C146" s="15" t="s">
        <v>10603</v>
      </c>
      <c r="D146" s="15" t="s">
        <v>10327</v>
      </c>
      <c r="E146" s="15" t="s">
        <v>10751</v>
      </c>
      <c r="F146" s="15">
        <v>66503</v>
      </c>
      <c r="G146" s="15">
        <v>0.89713386088875591</v>
      </c>
      <c r="H146" s="15">
        <v>200</v>
      </c>
      <c r="I146" s="80">
        <v>1162.7827527726679</v>
      </c>
      <c r="J146" s="81">
        <v>0.1353190394155937</v>
      </c>
      <c r="K146" s="15">
        <v>30</v>
      </c>
      <c r="L146" s="15">
        <v>87.602355051921222</v>
      </c>
      <c r="M146" s="15">
        <v>23.836034636003433</v>
      </c>
      <c r="N146" s="15">
        <v>23.327962109902344</v>
      </c>
      <c r="O146" s="15">
        <v>17.0480689653055</v>
      </c>
      <c r="P146" s="15">
        <v>4.2935114263275267</v>
      </c>
      <c r="Q146" s="15">
        <v>1.9863817182693193</v>
      </c>
      <c r="R146" s="15">
        <v>1.9863817182693193</v>
      </c>
      <c r="S146" s="15">
        <v>0</v>
      </c>
      <c r="T146" s="15">
        <v>0</v>
      </c>
      <c r="U146" s="15">
        <v>14791.535597550805</v>
      </c>
      <c r="V146" s="15">
        <v>0</v>
      </c>
      <c r="W146" s="15">
        <v>0</v>
      </c>
      <c r="X146" s="15">
        <v>0</v>
      </c>
      <c r="Y146" s="15">
        <v>1506.6164001244058</v>
      </c>
      <c r="Z146" s="15">
        <v>0</v>
      </c>
      <c r="AA146" s="15">
        <v>0</v>
      </c>
      <c r="AB146" s="15">
        <v>0</v>
      </c>
      <c r="AC146" s="15">
        <v>1506.6164001244058</v>
      </c>
      <c r="AD146" s="15">
        <v>343.83364735173791</v>
      </c>
      <c r="AE146" s="15">
        <v>14.940994347677835</v>
      </c>
      <c r="AF146" s="15">
        <v>0</v>
      </c>
      <c r="AG146" s="15">
        <v>0</v>
      </c>
      <c r="AH146" s="15">
        <v>205.89229477461754</v>
      </c>
      <c r="AI146" s="15">
        <v>123.00035822944255</v>
      </c>
      <c r="AJ146" s="15">
        <v>0</v>
      </c>
      <c r="AK146" s="15">
        <v>0</v>
      </c>
      <c r="AL146" s="15">
        <v>0</v>
      </c>
      <c r="AM146" s="15">
        <v>0</v>
      </c>
      <c r="AN146" s="15">
        <v>0.22821578692714783</v>
      </c>
      <c r="AO146" s="15">
        <v>1162.7827527726679</v>
      </c>
      <c r="AP146" s="15">
        <v>220.83328912229538</v>
      </c>
      <c r="AQ146" s="15">
        <v>14.940994347677835</v>
      </c>
      <c r="AR146" s="15">
        <v>0</v>
      </c>
      <c r="AS146" s="15">
        <v>0</v>
      </c>
      <c r="AT146" s="15">
        <v>205.89229477461754</v>
      </c>
      <c r="AU146" s="15">
        <v>899.29610880458972</v>
      </c>
      <c r="AV146" s="15">
        <v>160.00454381015189</v>
      </c>
      <c r="AW146" s="15">
        <v>160.00454381015189</v>
      </c>
      <c r="AX146" s="15">
        <v>0</v>
      </c>
      <c r="AY146" s="15">
        <v>0</v>
      </c>
      <c r="AZ146" s="15">
        <v>535.87509555716053</v>
      </c>
      <c r="BA146" s="15">
        <v>82.718698010625445</v>
      </c>
      <c r="BB146" s="15">
        <v>188.81516564438962</v>
      </c>
      <c r="BC146" s="15">
        <v>264.34123190214547</v>
      </c>
      <c r="BD146" s="15">
        <v>0</v>
      </c>
      <c r="BE146" s="15">
        <v>203.41646943727727</v>
      </c>
      <c r="BF146" s="15">
        <v>70.818714547718372</v>
      </c>
      <c r="BG146" s="15">
        <v>1.5831329762799127</v>
      </c>
      <c r="BH146" s="15">
        <v>131.01462191327897</v>
      </c>
      <c r="BI146" s="15">
        <v>0</v>
      </c>
      <c r="BJ146" s="15">
        <v>1120.1293979268851</v>
      </c>
      <c r="BK146" s="15">
        <v>1463.963045278623</v>
      </c>
      <c r="BL146" s="15">
        <v>0.10443709834913824</v>
      </c>
      <c r="BM146" s="15">
        <v>0.1353190394155937</v>
      </c>
    </row>
    <row r="147" spans="1:65" s="60" customFormat="1" x14ac:dyDescent="0.35">
      <c r="A147" s="59" t="s">
        <v>10605</v>
      </c>
      <c r="B147" s="59" t="s">
        <v>10599</v>
      </c>
      <c r="C147" s="59" t="s">
        <v>10752</v>
      </c>
      <c r="D147" s="59" t="s">
        <v>10326</v>
      </c>
      <c r="E147" s="59" t="s">
        <v>10753</v>
      </c>
      <c r="F147" s="59">
        <v>66503</v>
      </c>
      <c r="G147" s="59">
        <v>0.89713386088875591</v>
      </c>
      <c r="H147" s="59">
        <v>200</v>
      </c>
      <c r="I147" s="59">
        <v>132.9042320294439</v>
      </c>
      <c r="J147" s="88">
        <v>7.081472607108533</v>
      </c>
      <c r="K147" s="59">
        <v>30</v>
      </c>
      <c r="L147" s="59">
        <v>84.441279710999993</v>
      </c>
      <c r="M147" s="59">
        <v>15.674639399273559</v>
      </c>
      <c r="N147" s="59">
        <v>23.327962109902344</v>
      </c>
      <c r="O147" s="59">
        <v>17.0480689653055</v>
      </c>
      <c r="P147" s="59">
        <v>4.2935114263275267</v>
      </c>
      <c r="Q147" s="59">
        <v>1.9863817182693193</v>
      </c>
      <c r="R147" s="59">
        <v>1.9863817182693193</v>
      </c>
      <c r="S147" s="59">
        <v>0</v>
      </c>
      <c r="T147" s="59">
        <v>0</v>
      </c>
      <c r="U147" s="59">
        <v>14791.535597550805</v>
      </c>
      <c r="V147" s="59">
        <v>0</v>
      </c>
      <c r="W147" s="59">
        <v>0</v>
      </c>
      <c r="X147" s="59">
        <v>0</v>
      </c>
      <c r="Y147" s="59">
        <v>615.11204467427581</v>
      </c>
      <c r="Z147" s="59">
        <v>0</v>
      </c>
      <c r="AA147" s="59">
        <v>0</v>
      </c>
      <c r="AB147" s="59">
        <v>0</v>
      </c>
      <c r="AC147" s="59">
        <v>615.11204467427581</v>
      </c>
      <c r="AD147" s="59">
        <v>482.2078126448319</v>
      </c>
      <c r="AE147" s="59">
        <v>7.8630459056212638</v>
      </c>
      <c r="AF147" s="59">
        <v>0</v>
      </c>
      <c r="AG147" s="59">
        <v>0</v>
      </c>
      <c r="AH147" s="59">
        <v>351.34440850976813</v>
      </c>
      <c r="AI147" s="59">
        <v>123.00035822944255</v>
      </c>
      <c r="AJ147" s="59">
        <v>0</v>
      </c>
      <c r="AK147" s="59">
        <v>0</v>
      </c>
      <c r="AL147" s="59">
        <v>0</v>
      </c>
      <c r="AM147" s="59">
        <v>0</v>
      </c>
      <c r="AN147" s="59">
        <v>0.7839349218079098</v>
      </c>
      <c r="AO147" s="59">
        <v>132.9042320294439</v>
      </c>
      <c r="AP147" s="59">
        <v>359.20745441538941</v>
      </c>
      <c r="AQ147" s="59">
        <v>7.8630459056212638</v>
      </c>
      <c r="AR147" s="59">
        <v>0</v>
      </c>
      <c r="AS147" s="59">
        <v>0</v>
      </c>
      <c r="AT147" s="59">
        <v>351.34440850976813</v>
      </c>
      <c r="AU147" s="59">
        <v>514.854456099358</v>
      </c>
      <c r="AV147" s="59">
        <v>160.00454381015189</v>
      </c>
      <c r="AW147" s="59">
        <v>160.00454381015189</v>
      </c>
      <c r="AX147" s="59">
        <v>0</v>
      </c>
      <c r="AY147" s="59">
        <v>0</v>
      </c>
      <c r="AZ147" s="59">
        <v>298.19113205783833</v>
      </c>
      <c r="BA147" s="59">
        <v>82.718698010625445</v>
      </c>
      <c r="BB147" s="59">
        <v>89.780180853005376</v>
      </c>
      <c r="BC147" s="59">
        <v>125.69225319420751</v>
      </c>
      <c r="BD147" s="59">
        <v>0</v>
      </c>
      <c r="BE147" s="59">
        <v>56.658780231367828</v>
      </c>
      <c r="BF147" s="59">
        <v>19.324788510557166</v>
      </c>
      <c r="BG147" s="59">
        <v>1.5831329762799127</v>
      </c>
      <c r="BH147" s="59">
        <v>35.750858744530753</v>
      </c>
      <c r="BI147" s="59">
        <v>0</v>
      </c>
      <c r="BJ147" s="59">
        <v>874.06191051474741</v>
      </c>
      <c r="BK147" s="59">
        <v>1356.2697231595794</v>
      </c>
      <c r="BL147" s="59">
        <v>1.5300589325700504</v>
      </c>
      <c r="BM147" s="59">
        <v>7.081472607108533</v>
      </c>
    </row>
    <row r="148" spans="1:65" s="56" customFormat="1" x14ac:dyDescent="0.35">
      <c r="A148" s="55" t="s">
        <v>10605</v>
      </c>
      <c r="B148" s="55" t="s">
        <v>10754</v>
      </c>
      <c r="C148" s="55" t="s">
        <v>9780</v>
      </c>
      <c r="D148" s="55" t="s">
        <v>9780</v>
      </c>
      <c r="E148" s="55" t="s">
        <v>10755</v>
      </c>
      <c r="F148" s="55">
        <f>F139</f>
        <v>54624</v>
      </c>
      <c r="G148" s="55">
        <f>G139</f>
        <v>0.8971242506680791</v>
      </c>
      <c r="H148" s="55">
        <f>(H139*N139+H147*N147)/(N139+N147)</f>
        <v>200</v>
      </c>
      <c r="I148" s="55">
        <f>(I139*N139+I147*N147)/(N139+N147)</f>
        <v>134.2983456727967</v>
      </c>
      <c r="J148" s="89">
        <f>(J139*N139+J147*N147)/(N139+N147)</f>
        <v>7.1643951189718384</v>
      </c>
      <c r="K148" s="55">
        <f>K139</f>
        <v>30</v>
      </c>
      <c r="L148" s="55">
        <f t="shared" ref="L148:W148" si="9">L139+L147</f>
        <v>167.32002409427929</v>
      </c>
      <c r="M148" s="55">
        <f t="shared" si="9"/>
        <v>31.146959311572324</v>
      </c>
      <c r="N148" s="55">
        <f t="shared" si="9"/>
        <v>42.48879624028892</v>
      </c>
      <c r="O148" s="55">
        <f t="shared" si="9"/>
        <v>31.050801829354086</v>
      </c>
      <c r="P148" s="55">
        <f t="shared" si="9"/>
        <v>7.8200629480251758</v>
      </c>
      <c r="Q148" s="55">
        <f t="shared" si="9"/>
        <v>3.6179314629096591</v>
      </c>
      <c r="R148" s="55">
        <f t="shared" si="9"/>
        <v>3.6179314629096591</v>
      </c>
      <c r="S148" s="55">
        <f t="shared" si="9"/>
        <v>0</v>
      </c>
      <c r="T148" s="55">
        <f t="shared" si="9"/>
        <v>0</v>
      </c>
      <c r="U148" s="55">
        <f t="shared" si="9"/>
        <v>26940.824883221969</v>
      </c>
      <c r="V148" s="55">
        <f t="shared" si="9"/>
        <v>0</v>
      </c>
      <c r="W148" s="55">
        <f t="shared" si="9"/>
        <v>0</v>
      </c>
      <c r="X148" s="55">
        <f>(X139*N139+X147*N147)/(N139+N147)</f>
        <v>0</v>
      </c>
      <c r="Y148" s="55">
        <f>(Y139*N139+Y147*N147)/(N139+N147)</f>
        <v>614.40027586435599</v>
      </c>
      <c r="Z148" s="55">
        <f>(Z139*N139+Z147*N147)/(N139+N147)</f>
        <v>0</v>
      </c>
      <c r="AA148" s="55">
        <f>(AA139*N139+AA147*N147)/(N139+N147)</f>
        <v>0</v>
      </c>
      <c r="AB148" s="55">
        <f>(AB139*N139+AB147*N147)/(N139+N147)</f>
        <v>0</v>
      </c>
      <c r="AC148" s="55">
        <f>(AC139*N139+AC147*N147)/(N139+N147)</f>
        <v>614.40027586435599</v>
      </c>
      <c r="AD148" s="55">
        <f>(AD139*N139+AD147*N147)/(N139+N147)</f>
        <v>480.10193019155929</v>
      </c>
      <c r="AE148" s="55">
        <f>(AE139*N139+AE147*N147)/(N139+N147)</f>
        <v>7.1512770957014684</v>
      </c>
      <c r="AF148" s="55">
        <f>(AF139*N139+AF147*N147)/(N139+N147)</f>
        <v>0</v>
      </c>
      <c r="AG148" s="55">
        <f>(AG139*N139+AG147*N147)/(N139+N147)</f>
        <v>0</v>
      </c>
      <c r="AH148" s="55">
        <f>(AH139*N139+AH147*N147)/(N139+N147)</f>
        <v>349.95029486641533</v>
      </c>
      <c r="AI148" s="55">
        <f>(AI139*N139+AI147*N147)/(N139+N147)</f>
        <v>123.00035822944253</v>
      </c>
      <c r="AJ148" s="55">
        <f>(AJ139*N139+AJ147*N147)/(N139+N147)</f>
        <v>0</v>
      </c>
      <c r="AK148" s="55">
        <f>(AK139*N139+AK147*N147)/(N139+N147)</f>
        <v>0</v>
      </c>
      <c r="AL148" s="55">
        <f>(AL139*N139+AL147*N147)/(N139+N147)</f>
        <v>0</v>
      </c>
      <c r="AM148" s="55">
        <f>(AM139*N139+AM147*N147)/(N139+N147)</f>
        <v>0</v>
      </c>
      <c r="AN148" s="55">
        <f>(AN139*N139+AN147*N147)/(N139+N147)</f>
        <v>0.78141199274873419</v>
      </c>
      <c r="AO148" s="55">
        <f>(AO139*N139+AO147*N147)/(N139+N147)</f>
        <v>134.2983456727967</v>
      </c>
      <c r="AP148" s="55">
        <f>(AP139*N139+AP147*N147)/(N139+N147)</f>
        <v>357.10157196211685</v>
      </c>
      <c r="AQ148" s="55">
        <f>(AQ139*N139+AQ147*N147)/(N139+N147)</f>
        <v>7.1512770957014684</v>
      </c>
      <c r="AR148" s="55">
        <f>(AR139*N139+AR147*N147)/(N139+N147)</f>
        <v>0</v>
      </c>
      <c r="AS148" s="55">
        <f>(AS139*N139+AS147*N147)/(N139+N147)</f>
        <v>0</v>
      </c>
      <c r="AT148" s="55">
        <f>(AT139*N139+AT147*N147)/(N139+N147)</f>
        <v>349.95029486641533</v>
      </c>
      <c r="AU148" s="55">
        <f>(AU139*N139+AU147*N147)/(N139+N147)</f>
        <v>539.50393094816343</v>
      </c>
      <c r="AV148" s="55">
        <f>(AV139*N139+AV147*N147)/(N139+N147)</f>
        <v>161.44953866481347</v>
      </c>
      <c r="AW148" s="55">
        <f>(AW139*N139+AW147*N147)/(N139+N147)</f>
        <v>161.44953866481347</v>
      </c>
      <c r="AX148" s="55">
        <f>(AX139*N139+AX147*N147)/(N139+N147)</f>
        <v>0</v>
      </c>
      <c r="AY148" s="55">
        <f>(AY139*N139+AY147*N147)/(N139+N147)</f>
        <v>0</v>
      </c>
      <c r="AZ148" s="55">
        <f>(AZ139*N139+AZ147*N147)/(N139+N147)</f>
        <v>319.16607891014928</v>
      </c>
      <c r="BA148" s="55">
        <f>(BA139*N139+BA147*N147)/(N139+N147)</f>
        <v>82.718698010625445</v>
      </c>
      <c r="BB148" s="55">
        <f>(BB139*N139+BB147*N147)/(N139+N147)</f>
        <v>98.519742041468277</v>
      </c>
      <c r="BC148" s="55">
        <f>(BC139*N139+BC147*N147)/(N139+N147)</f>
        <v>137.92763885805559</v>
      </c>
      <c r="BD148" s="55">
        <f>(BD139*N139+BD147*N147)/(N139+N147)</f>
        <v>0</v>
      </c>
      <c r="BE148" s="55">
        <f>(BE139*N139+BE147*N147)/(N139+N147)</f>
        <v>58.888313373200795</v>
      </c>
      <c r="BF148" s="55">
        <f>(BF139*N139+BF147*N147)/(N139+N147)</f>
        <v>20.107080841024867</v>
      </c>
      <c r="BG148" s="55">
        <f>(BG139*N139+BG147*N147)/(N139+N147)</f>
        <v>1.5831329762799127</v>
      </c>
      <c r="BH148" s="55">
        <f>(BH139*N139+BH147*N147)/(N139+N147)</f>
        <v>37.198099555896007</v>
      </c>
      <c r="BI148" s="55">
        <f>(BI139*N139+BI147*N147)/(N139+N147)</f>
        <v>0</v>
      </c>
      <c r="BJ148" s="55">
        <f>(BJ139*N139+BJ147*N147)/(N139+N147)</f>
        <v>896.60550291028039</v>
      </c>
      <c r="BK148" s="55">
        <f>(BK139*N139+BK147*N147)/(N139+N147)</f>
        <v>1376.7074331018396</v>
      </c>
      <c r="BL148" s="55">
        <f>(BL139*N139+BL147*N147)/(N139+N147)</f>
        <v>1.5663055586287404</v>
      </c>
      <c r="BM148" s="55">
        <f>(BM139*N139+BM147*N147)/(N139+N147)</f>
        <v>7.1643951189718384</v>
      </c>
    </row>
    <row r="149" spans="1:65" s="60" customFormat="1" x14ac:dyDescent="0.35">
      <c r="A149" s="15" t="s">
        <v>10616</v>
      </c>
      <c r="B149" s="15" t="s">
        <v>10599</v>
      </c>
      <c r="C149" s="15" t="s">
        <v>10601</v>
      </c>
      <c r="D149" s="15" t="s">
        <v>10321</v>
      </c>
      <c r="E149" s="15" t="s">
        <v>10756</v>
      </c>
      <c r="F149" s="15">
        <v>54624</v>
      </c>
      <c r="G149" s="15">
        <v>0.8971242506680791</v>
      </c>
      <c r="H149" s="15">
        <v>200</v>
      </c>
      <c r="I149" s="78">
        <v>139.2124870748579</v>
      </c>
      <c r="J149" s="79">
        <v>4.6426458408691502</v>
      </c>
      <c r="K149" s="15">
        <v>30</v>
      </c>
      <c r="L149" s="15">
        <v>87.505716625445885</v>
      </c>
      <c r="M149" s="15">
        <v>16.671707950626065</v>
      </c>
      <c r="N149" s="15">
        <v>19.160834130386576</v>
      </c>
      <c r="O149" s="15">
        <v>3.1964007692140224</v>
      </c>
      <c r="P149" s="15">
        <v>7.4189073179870393</v>
      </c>
      <c r="Q149" s="15">
        <v>8.5455260431855091</v>
      </c>
      <c r="R149" s="15">
        <v>1.9031498500006458</v>
      </c>
      <c r="S149" s="15">
        <v>3.2020484250739529</v>
      </c>
      <c r="T149" s="15">
        <v>3.4403277681109103</v>
      </c>
      <c r="U149" s="15">
        <v>0</v>
      </c>
      <c r="V149" s="15">
        <v>2326.8073891239719</v>
      </c>
      <c r="W149" s="15">
        <v>0</v>
      </c>
      <c r="X149" s="15">
        <v>0</v>
      </c>
      <c r="Y149" s="15">
        <v>300.20101355741713</v>
      </c>
      <c r="Z149" s="15">
        <v>0</v>
      </c>
      <c r="AA149" s="15">
        <v>0</v>
      </c>
      <c r="AB149" s="15">
        <v>0</v>
      </c>
      <c r="AC149" s="15">
        <v>300.20101355741713</v>
      </c>
      <c r="AD149" s="15">
        <v>160.98852648255922</v>
      </c>
      <c r="AE149" s="15">
        <v>10.497023283962296</v>
      </c>
      <c r="AF149" s="15">
        <v>0</v>
      </c>
      <c r="AG149" s="15">
        <v>0</v>
      </c>
      <c r="AH149" s="15">
        <v>29.673269398596965</v>
      </c>
      <c r="AI149" s="15">
        <v>101.46076874999999</v>
      </c>
      <c r="AJ149" s="15">
        <v>0</v>
      </c>
      <c r="AK149" s="15">
        <v>0</v>
      </c>
      <c r="AL149" s="15">
        <v>0</v>
      </c>
      <c r="AM149" s="15">
        <v>19.357465050000009</v>
      </c>
      <c r="AN149" s="15">
        <v>0.53626909707874182</v>
      </c>
      <c r="AO149" s="15">
        <v>139.2124870748579</v>
      </c>
      <c r="AP149" s="15">
        <v>40.170292682559264</v>
      </c>
      <c r="AQ149" s="15">
        <v>10.497023283962296</v>
      </c>
      <c r="AR149" s="15">
        <v>0</v>
      </c>
      <c r="AS149" s="15">
        <v>0</v>
      </c>
      <c r="AT149" s="15">
        <v>29.673269398596965</v>
      </c>
      <c r="AU149" s="15">
        <v>545.35646850743797</v>
      </c>
      <c r="AV149" s="15">
        <v>111.93371050896521</v>
      </c>
      <c r="AW149" s="15">
        <v>111.93371050896521</v>
      </c>
      <c r="AX149" s="15">
        <v>0</v>
      </c>
      <c r="AY149" s="15">
        <v>0</v>
      </c>
      <c r="AZ149" s="15">
        <v>373.801016960727</v>
      </c>
      <c r="BA149" s="15">
        <v>76.930878417473096</v>
      </c>
      <c r="BB149" s="15">
        <v>123.69589105968915</v>
      </c>
      <c r="BC149" s="15">
        <v>173.17424748356478</v>
      </c>
      <c r="BD149" s="15">
        <v>0</v>
      </c>
      <c r="BE149" s="15">
        <v>59.62174103774575</v>
      </c>
      <c r="BF149" s="15">
        <v>20.403291132744013</v>
      </c>
      <c r="BG149" s="15">
        <v>1.4723613094253225</v>
      </c>
      <c r="BH149" s="15">
        <v>37.746088595576417</v>
      </c>
      <c r="BI149" s="15">
        <v>0</v>
      </c>
      <c r="BJ149" s="15">
        <v>585.52676118999727</v>
      </c>
      <c r="BK149" s="59">
        <v>746.5152876725565</v>
      </c>
      <c r="BL149" s="59">
        <v>2.1529383477298749</v>
      </c>
      <c r="BM149" s="59">
        <v>4.6426458408691502</v>
      </c>
    </row>
    <row r="150" spans="1:65" x14ac:dyDescent="0.35">
      <c r="A150" s="15" t="s">
        <v>10616</v>
      </c>
      <c r="B150" s="15" t="s">
        <v>10599</v>
      </c>
      <c r="C150" s="15" t="s">
        <v>10601</v>
      </c>
      <c r="D150" s="15" t="s">
        <v>10322</v>
      </c>
      <c r="E150" s="15" t="s">
        <v>10757</v>
      </c>
      <c r="F150" s="15">
        <v>54624</v>
      </c>
      <c r="G150" s="15">
        <v>0.8971242506680791</v>
      </c>
      <c r="H150" s="15">
        <v>200</v>
      </c>
      <c r="I150" s="78">
        <v>98.591069789864022</v>
      </c>
      <c r="J150" s="79">
        <v>6.4908696543397264</v>
      </c>
      <c r="K150" s="15">
        <v>30</v>
      </c>
      <c r="L150" s="15">
        <v>87.505716625445885</v>
      </c>
      <c r="M150" s="15">
        <v>16.671707950626065</v>
      </c>
      <c r="N150" s="15">
        <v>19.160834130386576</v>
      </c>
      <c r="O150" s="15">
        <v>3.1964007692140224</v>
      </c>
      <c r="P150" s="15">
        <v>7.4189073179870393</v>
      </c>
      <c r="Q150" s="15">
        <v>8.5455260431855091</v>
      </c>
      <c r="R150" s="15">
        <v>1.9031498500006458</v>
      </c>
      <c r="S150" s="15">
        <v>3.2020484250739529</v>
      </c>
      <c r="T150" s="15">
        <v>3.4403277681109103</v>
      </c>
      <c r="U150" s="15">
        <v>0</v>
      </c>
      <c r="V150" s="15">
        <v>0</v>
      </c>
      <c r="W150" s="15">
        <v>581.70184728099298</v>
      </c>
      <c r="X150" s="15">
        <v>0</v>
      </c>
      <c r="Y150" s="15">
        <v>300.20101355741713</v>
      </c>
      <c r="Z150" s="15">
        <v>0</v>
      </c>
      <c r="AA150" s="15">
        <v>0</v>
      </c>
      <c r="AB150" s="15">
        <v>0</v>
      </c>
      <c r="AC150" s="15">
        <v>300.20101355741713</v>
      </c>
      <c r="AD150" s="15">
        <v>201.60994376755309</v>
      </c>
      <c r="AE150" s="15">
        <v>-11.927837405433953</v>
      </c>
      <c r="AF150" s="15">
        <v>31.650736975070686</v>
      </c>
      <c r="AG150" s="15">
        <v>68.332415075416037</v>
      </c>
      <c r="AH150" s="15">
        <v>0</v>
      </c>
      <c r="AI150" s="15">
        <v>101.46076874999999</v>
      </c>
      <c r="AJ150" s="15">
        <v>0</v>
      </c>
      <c r="AK150" s="15">
        <v>-7.263604677499675</v>
      </c>
      <c r="AL150" s="15">
        <v>0</v>
      </c>
      <c r="AM150" s="15">
        <v>19.357465050000009</v>
      </c>
      <c r="AN150" s="15">
        <v>0.67158315482833209</v>
      </c>
      <c r="AO150" s="15">
        <v>98.591069789864022</v>
      </c>
      <c r="AP150" s="15">
        <v>0</v>
      </c>
      <c r="AQ150" s="15">
        <v>0</v>
      </c>
      <c r="AR150" s="15">
        <v>0</v>
      </c>
      <c r="AS150" s="15">
        <v>0</v>
      </c>
      <c r="AT150" s="15">
        <v>0</v>
      </c>
      <c r="AU150" s="15">
        <v>538.5328528777826</v>
      </c>
      <c r="AV150" s="15">
        <v>111.93371050896521</v>
      </c>
      <c r="AW150" s="15">
        <v>111.93371050896521</v>
      </c>
      <c r="AX150" s="15">
        <v>0</v>
      </c>
      <c r="AY150" s="15">
        <v>0</v>
      </c>
      <c r="AZ150" s="15">
        <v>373.801016960727</v>
      </c>
      <c r="BA150" s="15">
        <v>76.930878417473096</v>
      </c>
      <c r="BB150" s="15">
        <v>123.69589105968915</v>
      </c>
      <c r="BC150" s="15">
        <v>173.17424748356478</v>
      </c>
      <c r="BD150" s="15">
        <v>0</v>
      </c>
      <c r="BE150" s="15">
        <v>52.798125408090414</v>
      </c>
      <c r="BF150" s="15">
        <v>18.009040034619328</v>
      </c>
      <c r="BG150" s="15">
        <v>1.4723613094253225</v>
      </c>
      <c r="BH150" s="15">
        <v>33.316724064045758</v>
      </c>
      <c r="BI150" s="15">
        <v>0</v>
      </c>
      <c r="BJ150" s="15">
        <v>538.5328528777826</v>
      </c>
      <c r="BK150" s="15">
        <v>740.14279664533569</v>
      </c>
      <c r="BL150" s="15">
        <v>2.1317109342987672</v>
      </c>
      <c r="BM150" s="15">
        <v>6.4908696543397264</v>
      </c>
    </row>
    <row r="151" spans="1:65" x14ac:dyDescent="0.35">
      <c r="A151" s="15" t="s">
        <v>10616</v>
      </c>
      <c r="B151" s="15" t="s">
        <v>10599</v>
      </c>
      <c r="C151" s="15" t="s">
        <v>10601</v>
      </c>
      <c r="D151" s="15" t="s">
        <v>10323</v>
      </c>
      <c r="E151" s="15" t="s">
        <v>10758</v>
      </c>
      <c r="F151" s="15">
        <v>54624</v>
      </c>
      <c r="G151" s="15">
        <v>0.8971242506680791</v>
      </c>
      <c r="H151" s="15">
        <v>200</v>
      </c>
      <c r="I151" s="78">
        <v>123.62829480439841</v>
      </c>
      <c r="J151" s="79">
        <v>5.0890628090924279</v>
      </c>
      <c r="K151" s="15">
        <v>30</v>
      </c>
      <c r="L151" s="15">
        <v>87.505716625445885</v>
      </c>
      <c r="M151" s="15">
        <v>16.671707950626065</v>
      </c>
      <c r="N151" s="15">
        <v>19.160834130386576</v>
      </c>
      <c r="O151" s="15">
        <v>3.1964007692140224</v>
      </c>
      <c r="P151" s="15">
        <v>7.4189073179870393</v>
      </c>
      <c r="Q151" s="15">
        <v>8.5455260431855091</v>
      </c>
      <c r="R151" s="15">
        <v>1.9031498500006458</v>
      </c>
      <c r="S151" s="15">
        <v>3.2020484250739529</v>
      </c>
      <c r="T151" s="15">
        <v>3.4403277681109103</v>
      </c>
      <c r="U151" s="15">
        <v>0</v>
      </c>
      <c r="V151" s="15">
        <v>0</v>
      </c>
      <c r="W151" s="15">
        <v>0</v>
      </c>
      <c r="X151" s="15">
        <v>581701.84728099301</v>
      </c>
      <c r="Y151" s="15">
        <v>300.20101355741713</v>
      </c>
      <c r="Z151" s="15">
        <v>0</v>
      </c>
      <c r="AA151" s="15">
        <v>0</v>
      </c>
      <c r="AB151" s="15">
        <v>0</v>
      </c>
      <c r="AC151" s="15">
        <v>300.20101355741713</v>
      </c>
      <c r="AD151" s="15">
        <v>176.57271875301871</v>
      </c>
      <c r="AE151" s="15">
        <v>-11.927837405433953</v>
      </c>
      <c r="AF151" s="15">
        <v>0</v>
      </c>
      <c r="AG151" s="15">
        <v>0</v>
      </c>
      <c r="AH151" s="15">
        <v>0</v>
      </c>
      <c r="AI151" s="15">
        <v>101.46076874999999</v>
      </c>
      <c r="AJ151" s="15">
        <v>0</v>
      </c>
      <c r="AK151" s="15">
        <v>67.68232235845268</v>
      </c>
      <c r="AL151" s="15">
        <v>0</v>
      </c>
      <c r="AM151" s="15">
        <v>19.357465050000009</v>
      </c>
      <c r="AN151" s="15">
        <v>0.58818162090997406</v>
      </c>
      <c r="AO151" s="15">
        <v>123.62829480439841</v>
      </c>
      <c r="AP151" s="15">
        <v>0</v>
      </c>
      <c r="AQ151" s="15">
        <v>0</v>
      </c>
      <c r="AR151" s="15">
        <v>0</v>
      </c>
      <c r="AS151" s="15">
        <v>0</v>
      </c>
      <c r="AT151" s="15">
        <v>0</v>
      </c>
      <c r="AU151" s="15">
        <v>552.78045204497698</v>
      </c>
      <c r="AV151" s="15">
        <v>111.93371050896521</v>
      </c>
      <c r="AW151" s="15">
        <v>111.93371050896521</v>
      </c>
      <c r="AX151" s="15">
        <v>0</v>
      </c>
      <c r="AY151" s="15">
        <v>0</v>
      </c>
      <c r="AZ151" s="15">
        <v>373.801016960727</v>
      </c>
      <c r="BA151" s="15">
        <v>76.930878417473096</v>
      </c>
      <c r="BB151" s="15">
        <v>123.69589105968915</v>
      </c>
      <c r="BC151" s="15">
        <v>173.17424748356478</v>
      </c>
      <c r="BD151" s="15">
        <v>0</v>
      </c>
      <c r="BE151" s="15">
        <v>67.045724575284765</v>
      </c>
      <c r="BF151" s="15">
        <v>23.008197637143667</v>
      </c>
      <c r="BG151" s="15">
        <v>1.4723613094253225</v>
      </c>
      <c r="BH151" s="15">
        <v>42.565165628715782</v>
      </c>
      <c r="BI151" s="15">
        <v>0</v>
      </c>
      <c r="BJ151" s="15">
        <v>552.78045204497698</v>
      </c>
      <c r="BK151" s="15">
        <v>729.35317079799574</v>
      </c>
      <c r="BL151" s="15">
        <v>2.0957695971277777</v>
      </c>
      <c r="BM151" s="15">
        <v>5.0890628090924279</v>
      </c>
    </row>
    <row r="152" spans="1:65" x14ac:dyDescent="0.35">
      <c r="A152" s="15" t="s">
        <v>10616</v>
      </c>
      <c r="B152" s="15" t="s">
        <v>10599</v>
      </c>
      <c r="C152" s="15" t="s">
        <v>10601</v>
      </c>
      <c r="D152" s="15" t="s">
        <v>10324</v>
      </c>
      <c r="E152" s="15" t="s">
        <v>10759</v>
      </c>
      <c r="F152" s="15">
        <v>54624</v>
      </c>
      <c r="G152" s="15">
        <v>0.8971242506680791</v>
      </c>
      <c r="H152" s="15">
        <v>200</v>
      </c>
      <c r="I152" s="78">
        <v>159.78163446045323</v>
      </c>
      <c r="J152" s="79">
        <v>3.6914111822005764</v>
      </c>
      <c r="K152" s="15">
        <v>30</v>
      </c>
      <c r="L152" s="15">
        <v>88.071347114022913</v>
      </c>
      <c r="M152" s="15">
        <v>16.792478343669497</v>
      </c>
      <c r="N152" s="15">
        <v>19.160834130386576</v>
      </c>
      <c r="O152" s="15">
        <v>2.3174070838996044</v>
      </c>
      <c r="P152" s="15">
        <v>7.7328336341707598</v>
      </c>
      <c r="Q152" s="15">
        <v>9.1105934123162058</v>
      </c>
      <c r="R152" s="15">
        <v>1.9031498500006458</v>
      </c>
      <c r="S152" s="15">
        <v>3.76711579420465</v>
      </c>
      <c r="T152" s="15">
        <v>3.4403277681109103</v>
      </c>
      <c r="U152" s="15">
        <v>0</v>
      </c>
      <c r="V152" s="15">
        <v>0</v>
      </c>
      <c r="W152" s="15">
        <v>0</v>
      </c>
      <c r="X152" s="15">
        <v>0</v>
      </c>
      <c r="Y152" s="15">
        <v>267.60417534542665</v>
      </c>
      <c r="Z152" s="15">
        <v>0</v>
      </c>
      <c r="AA152" s="15">
        <v>0</v>
      </c>
      <c r="AB152" s="15">
        <v>0</v>
      </c>
      <c r="AC152" s="15">
        <v>267.60417534542665</v>
      </c>
      <c r="AD152" s="15">
        <v>107.82254088497342</v>
      </c>
      <c r="AE152" s="15">
        <v>-12.995692915026597</v>
      </c>
      <c r="AF152" s="15">
        <v>0</v>
      </c>
      <c r="AG152" s="15">
        <v>0</v>
      </c>
      <c r="AH152" s="15">
        <v>0</v>
      </c>
      <c r="AI152" s="15">
        <v>101.46076874999999</v>
      </c>
      <c r="AJ152" s="15">
        <v>0</v>
      </c>
      <c r="AK152" s="15">
        <v>0</v>
      </c>
      <c r="AL152" s="15">
        <v>0</v>
      </c>
      <c r="AM152" s="15">
        <v>19.357465050000009</v>
      </c>
      <c r="AN152" s="15">
        <v>0.40291800658862964</v>
      </c>
      <c r="AO152" s="15">
        <v>159.78163446045323</v>
      </c>
      <c r="AP152" s="15">
        <v>0</v>
      </c>
      <c r="AQ152" s="15">
        <v>0</v>
      </c>
      <c r="AR152" s="15">
        <v>0</v>
      </c>
      <c r="AS152" s="15">
        <v>0</v>
      </c>
      <c r="AT152" s="15">
        <v>0</v>
      </c>
      <c r="AU152" s="15">
        <v>549.60134661805523</v>
      </c>
      <c r="AV152" s="15">
        <v>108.2485139398613</v>
      </c>
      <c r="AW152" s="15">
        <v>108.2485139398613</v>
      </c>
      <c r="AX152" s="15">
        <v>0</v>
      </c>
      <c r="AY152" s="15">
        <v>0</v>
      </c>
      <c r="AZ152" s="15">
        <v>378.93490488442012</v>
      </c>
      <c r="BA152" s="15">
        <v>76.930878417473096</v>
      </c>
      <c r="BB152" s="15">
        <v>125.83501102789461</v>
      </c>
      <c r="BC152" s="15">
        <v>176.16901543905243</v>
      </c>
      <c r="BD152" s="15">
        <v>0</v>
      </c>
      <c r="BE152" s="15">
        <v>62.417927793773771</v>
      </c>
      <c r="BF152" s="15">
        <v>21.384409292753841</v>
      </c>
      <c r="BG152" s="15">
        <v>1.4723613094253225</v>
      </c>
      <c r="BH152" s="15">
        <v>39.561157191594603</v>
      </c>
      <c r="BI152" s="15">
        <v>0</v>
      </c>
      <c r="BJ152" s="15">
        <v>549.60134661805523</v>
      </c>
      <c r="BK152" s="15">
        <v>657.42388750302871</v>
      </c>
      <c r="BL152" s="15">
        <v>2.2040751471693434</v>
      </c>
      <c r="BM152" s="15">
        <v>3.6914111822005764</v>
      </c>
    </row>
    <row r="153" spans="1:65" x14ac:dyDescent="0.35">
      <c r="A153" s="15" t="s">
        <v>10616</v>
      </c>
      <c r="B153" s="15" t="s">
        <v>10599</v>
      </c>
      <c r="C153" s="15" t="s">
        <v>10601</v>
      </c>
      <c r="D153" s="15" t="s">
        <v>10325</v>
      </c>
      <c r="E153" s="15" t="s">
        <v>10760</v>
      </c>
      <c r="F153" s="15">
        <v>54624</v>
      </c>
      <c r="G153" s="15">
        <v>0.8971242506680791</v>
      </c>
      <c r="H153" s="15">
        <v>200</v>
      </c>
      <c r="I153" s="78">
        <v>204.45845438205828</v>
      </c>
      <c r="J153" s="79">
        <v>2.5837266494835283</v>
      </c>
      <c r="K153" s="15">
        <v>30</v>
      </c>
      <c r="L153" s="15">
        <v>84.295066076320268</v>
      </c>
      <c r="M153" s="15">
        <v>15.697422806493329</v>
      </c>
      <c r="N153" s="15">
        <v>19.160834130386576</v>
      </c>
      <c r="O153" s="15">
        <v>3.9188216984319895</v>
      </c>
      <c r="P153" s="15">
        <v>6.7028429954918289</v>
      </c>
      <c r="Q153" s="15">
        <v>8.5391694364627533</v>
      </c>
      <c r="R153" s="15">
        <v>1.9031498500006458</v>
      </c>
      <c r="S153" s="15">
        <v>0</v>
      </c>
      <c r="T153" s="15">
        <v>6.6360195864621057</v>
      </c>
      <c r="U153" s="15">
        <v>0</v>
      </c>
      <c r="V153" s="15">
        <v>0</v>
      </c>
      <c r="W153" s="15">
        <v>0</v>
      </c>
      <c r="X153" s="15">
        <v>0</v>
      </c>
      <c r="Y153" s="15">
        <v>331.05565178408585</v>
      </c>
      <c r="Z153" s="15">
        <v>0</v>
      </c>
      <c r="AA153" s="15">
        <v>0</v>
      </c>
      <c r="AB153" s="15">
        <v>0</v>
      </c>
      <c r="AC153" s="15">
        <v>331.05565178408585</v>
      </c>
      <c r="AD153" s="15">
        <v>126.59719740202758</v>
      </c>
      <c r="AE153" s="15">
        <v>-12.202024505472426</v>
      </c>
      <c r="AF153" s="15">
        <v>0</v>
      </c>
      <c r="AG153" s="15">
        <v>0</v>
      </c>
      <c r="AH153" s="15">
        <v>0</v>
      </c>
      <c r="AI153" s="15">
        <v>101.46076874999999</v>
      </c>
      <c r="AJ153" s="15">
        <v>0</v>
      </c>
      <c r="AK153" s="15">
        <v>0</v>
      </c>
      <c r="AL153" s="15">
        <v>0</v>
      </c>
      <c r="AM153" s="15">
        <v>37.338453157499991</v>
      </c>
      <c r="AN153" s="15">
        <v>0.38240457977317399</v>
      </c>
      <c r="AO153" s="15">
        <v>204.45845438205828</v>
      </c>
      <c r="AP153" s="15">
        <v>0</v>
      </c>
      <c r="AQ153" s="15">
        <v>0</v>
      </c>
      <c r="AR153" s="15">
        <v>0</v>
      </c>
      <c r="AS153" s="15">
        <v>0</v>
      </c>
      <c r="AT153" s="15">
        <v>0</v>
      </c>
      <c r="AU153" s="15">
        <v>532.72321168119447</v>
      </c>
      <c r="AV153" s="15">
        <v>120.55723260369068</v>
      </c>
      <c r="AW153" s="15">
        <v>120.55723260369068</v>
      </c>
      <c r="AX153" s="15">
        <v>0</v>
      </c>
      <c r="AY153" s="15">
        <v>0</v>
      </c>
      <c r="AZ153" s="15">
        <v>340.3632107083813</v>
      </c>
      <c r="BA153" s="15">
        <v>76.930878417473096</v>
      </c>
      <c r="BB153" s="15">
        <v>109.76347178787842</v>
      </c>
      <c r="BC153" s="15">
        <v>153.66886050302978</v>
      </c>
      <c r="BD153" s="15">
        <v>0</v>
      </c>
      <c r="BE153" s="15">
        <v>71.802768369122518</v>
      </c>
      <c r="BF153" s="15">
        <v>24.677335810420068</v>
      </c>
      <c r="BG153" s="15">
        <v>1.4723613094253225</v>
      </c>
      <c r="BH153" s="15">
        <v>45.653071249277126</v>
      </c>
      <c r="BI153" s="15">
        <v>0</v>
      </c>
      <c r="BJ153" s="15">
        <v>532.72321168119447</v>
      </c>
      <c r="BK153" s="15">
        <v>659.3204090832221</v>
      </c>
      <c r="BL153" s="15">
        <v>1.5956977458390289</v>
      </c>
      <c r="BM153" s="15">
        <v>2.5837266494835283</v>
      </c>
    </row>
    <row r="154" spans="1:65" x14ac:dyDescent="0.35">
      <c r="A154" s="15" t="s">
        <v>10616</v>
      </c>
      <c r="B154" s="15" t="s">
        <v>10599</v>
      </c>
      <c r="C154" s="15" t="s">
        <v>10601</v>
      </c>
      <c r="D154" s="15" t="s">
        <v>10326</v>
      </c>
      <c r="E154" s="15" t="s">
        <v>10761</v>
      </c>
      <c r="F154" s="15">
        <v>54624</v>
      </c>
      <c r="G154" s="15">
        <v>0.8971242506680791</v>
      </c>
      <c r="H154" s="15">
        <v>200</v>
      </c>
      <c r="I154" s="78">
        <v>135.99565331753314</v>
      </c>
      <c r="J154" s="79">
        <v>7.2653517475633551</v>
      </c>
      <c r="K154" s="15">
        <v>30</v>
      </c>
      <c r="L154" s="15">
        <v>82.878744383279283</v>
      </c>
      <c r="M154" s="15">
        <v>15.472319912298767</v>
      </c>
      <c r="N154" s="15">
        <v>19.160834130386576</v>
      </c>
      <c r="O154" s="15">
        <v>14.002732864048587</v>
      </c>
      <c r="P154" s="15">
        <v>3.5265515216976491</v>
      </c>
      <c r="Q154" s="15">
        <v>1.6315497446403397</v>
      </c>
      <c r="R154" s="15">
        <v>1.6315497446403397</v>
      </c>
      <c r="S154" s="15">
        <v>0</v>
      </c>
      <c r="T154" s="15">
        <v>0</v>
      </c>
      <c r="U154" s="15">
        <v>12149.289285671164</v>
      </c>
      <c r="V154" s="15">
        <v>0</v>
      </c>
      <c r="W154" s="15">
        <v>0</v>
      </c>
      <c r="X154" s="15">
        <v>0</v>
      </c>
      <c r="Y154" s="15">
        <v>613.5337104676812</v>
      </c>
      <c r="Z154" s="15">
        <v>0</v>
      </c>
      <c r="AA154" s="15">
        <v>0</v>
      </c>
      <c r="AB154" s="15">
        <v>0</v>
      </c>
      <c r="AC154" s="15">
        <v>613.5337104676812</v>
      </c>
      <c r="AD154" s="15">
        <v>477.53805715014806</v>
      </c>
      <c r="AE154" s="15">
        <v>6.2847116990266283</v>
      </c>
      <c r="AF154" s="15">
        <v>0</v>
      </c>
      <c r="AG154" s="15">
        <v>0</v>
      </c>
      <c r="AH154" s="15">
        <v>348.25298722167895</v>
      </c>
      <c r="AI154" s="15">
        <v>123.00035822944248</v>
      </c>
      <c r="AJ154" s="15">
        <v>0</v>
      </c>
      <c r="AK154" s="15">
        <v>0</v>
      </c>
      <c r="AL154" s="15">
        <v>0</v>
      </c>
      <c r="AM154" s="15">
        <v>0</v>
      </c>
      <c r="AN154" s="15">
        <v>0.7783403731575449</v>
      </c>
      <c r="AO154" s="15">
        <v>135.99565331753314</v>
      </c>
      <c r="AP154" s="15">
        <v>354.53769892070557</v>
      </c>
      <c r="AQ154" s="15">
        <v>6.2847116990266283</v>
      </c>
      <c r="AR154" s="15">
        <v>0</v>
      </c>
      <c r="AS154" s="15">
        <v>0</v>
      </c>
      <c r="AT154" s="15">
        <v>348.25298722167895</v>
      </c>
      <c r="AU154" s="15">
        <v>569.51421188838708</v>
      </c>
      <c r="AV154" s="15">
        <v>163.20879324575532</v>
      </c>
      <c r="AW154" s="15">
        <v>163.20879324575532</v>
      </c>
      <c r="AX154" s="15">
        <v>0</v>
      </c>
      <c r="AY154" s="15">
        <v>0</v>
      </c>
      <c r="AZ154" s="15">
        <v>344.70268979557807</v>
      </c>
      <c r="BA154" s="15">
        <v>82.718698010625431</v>
      </c>
      <c r="BB154" s="15">
        <v>109.15999657706362</v>
      </c>
      <c r="BC154" s="15">
        <v>152.82399520788906</v>
      </c>
      <c r="BD154" s="15">
        <v>0</v>
      </c>
      <c r="BE154" s="15">
        <v>61.602728847053726</v>
      </c>
      <c r="BF154" s="15">
        <v>21.059507323078531</v>
      </c>
      <c r="BG154" s="15">
        <v>1.5831329762799129</v>
      </c>
      <c r="BH154" s="15">
        <v>38.960088547695278</v>
      </c>
      <c r="BI154" s="15">
        <v>0</v>
      </c>
      <c r="BJ154" s="15">
        <v>924.05191080909265</v>
      </c>
      <c r="BK154" s="15">
        <v>1401.5899679592408</v>
      </c>
      <c r="BL154" s="15">
        <v>1.6104351572440727</v>
      </c>
      <c r="BM154" s="15">
        <v>7.2653517475633551</v>
      </c>
    </row>
    <row r="155" spans="1:65" x14ac:dyDescent="0.35">
      <c r="A155" s="15" t="s">
        <v>10616</v>
      </c>
      <c r="B155" s="15" t="s">
        <v>10599</v>
      </c>
      <c r="C155" s="15" t="s">
        <v>10601</v>
      </c>
      <c r="D155" s="15" t="s">
        <v>10327</v>
      </c>
      <c r="E155" s="15" t="s">
        <v>10762</v>
      </c>
      <c r="F155" s="15">
        <v>54624</v>
      </c>
      <c r="G155" s="15">
        <v>0.8971242506680791</v>
      </c>
      <c r="H155" s="15">
        <v>200</v>
      </c>
      <c r="I155" s="80">
        <v>1222.7944602657149</v>
      </c>
      <c r="J155" s="81">
        <v>0.11605573208768362</v>
      </c>
      <c r="K155" s="15">
        <v>30</v>
      </c>
      <c r="L155" s="15">
        <v>80.76096552164752</v>
      </c>
      <c r="M155" s="15">
        <v>23.30256064503406</v>
      </c>
      <c r="N155" s="15">
        <v>19.160834130386576</v>
      </c>
      <c r="O155" s="15">
        <v>14.002732864048587</v>
      </c>
      <c r="P155" s="15">
        <v>3.5265515216976491</v>
      </c>
      <c r="Q155" s="15">
        <v>1.6315497446403397</v>
      </c>
      <c r="R155" s="15">
        <v>1.6315497446403397</v>
      </c>
      <c r="S155" s="15">
        <v>0</v>
      </c>
      <c r="T155" s="15">
        <v>0</v>
      </c>
      <c r="U155" s="15">
        <v>12149.289285671164</v>
      </c>
      <c r="V155" s="15">
        <v>0</v>
      </c>
      <c r="W155" s="15">
        <v>0</v>
      </c>
      <c r="X155" s="15">
        <v>0</v>
      </c>
      <c r="Y155" s="15">
        <v>1499.4667692213638</v>
      </c>
      <c r="Z155" s="15">
        <v>0</v>
      </c>
      <c r="AA155" s="15">
        <v>0</v>
      </c>
      <c r="AB155" s="15">
        <v>0</v>
      </c>
      <c r="AC155" s="15">
        <v>1499.4667692213638</v>
      </c>
      <c r="AD155" s="15">
        <v>276.67230895564899</v>
      </c>
      <c r="AE155" s="15">
        <v>7.7913634446358691</v>
      </c>
      <c r="AF155" s="15">
        <v>0</v>
      </c>
      <c r="AG155" s="15">
        <v>0</v>
      </c>
      <c r="AH155" s="15">
        <v>145.8805872815706</v>
      </c>
      <c r="AI155" s="15">
        <v>123.00035822944248</v>
      </c>
      <c r="AJ155" s="15">
        <v>0</v>
      </c>
      <c r="AK155" s="15">
        <v>0</v>
      </c>
      <c r="AL155" s="15">
        <v>0</v>
      </c>
      <c r="AM155" s="15">
        <v>0</v>
      </c>
      <c r="AN155" s="15">
        <v>0.18451379826130998</v>
      </c>
      <c r="AO155" s="15">
        <v>1222.7944602657149</v>
      </c>
      <c r="AP155" s="15">
        <v>153.67195072620646</v>
      </c>
      <c r="AQ155" s="15">
        <v>7.7913634446358691</v>
      </c>
      <c r="AR155" s="15">
        <v>0</v>
      </c>
      <c r="AS155" s="15">
        <v>0</v>
      </c>
      <c r="AT155" s="15">
        <v>145.8805872815706</v>
      </c>
      <c r="AU155" s="15">
        <v>1011.0348158184099</v>
      </c>
      <c r="AV155" s="15">
        <v>163.20879324575532</v>
      </c>
      <c r="AW155" s="15">
        <v>163.20879324575532</v>
      </c>
      <c r="AX155" s="15">
        <v>0</v>
      </c>
      <c r="AY155" s="15">
        <v>0</v>
      </c>
      <c r="AZ155" s="15">
        <v>631.35446373548496</v>
      </c>
      <c r="BA155" s="15">
        <v>82.718698010625431</v>
      </c>
      <c r="BB155" s="15">
        <v>228.59823571869148</v>
      </c>
      <c r="BC155" s="15">
        <v>320.03753000616803</v>
      </c>
      <c r="BD155" s="15">
        <v>0</v>
      </c>
      <c r="BE155" s="15">
        <v>216.47155883716962</v>
      </c>
      <c r="BF155" s="15">
        <v>75.399447670487618</v>
      </c>
      <c r="BG155" s="15">
        <v>1.5831329762799129</v>
      </c>
      <c r="BH155" s="15">
        <v>139.48897819040209</v>
      </c>
      <c r="BI155" s="15">
        <v>0</v>
      </c>
      <c r="BJ155" s="15">
        <v>1164.7067665446164</v>
      </c>
      <c r="BK155" s="15">
        <v>1441.3790755002653</v>
      </c>
      <c r="BL155" s="15">
        <v>9.4641848150188126E-2</v>
      </c>
      <c r="BM155" s="15">
        <v>0.11605573208768362</v>
      </c>
    </row>
    <row r="156" spans="1:65" s="60" customFormat="1" x14ac:dyDescent="0.35">
      <c r="A156" s="59" t="s">
        <v>10616</v>
      </c>
      <c r="B156" s="59" t="s">
        <v>10599</v>
      </c>
      <c r="C156" s="59" t="s">
        <v>10743</v>
      </c>
      <c r="D156" s="59" t="s">
        <v>10322</v>
      </c>
      <c r="E156" s="59" t="s">
        <v>10763</v>
      </c>
      <c r="F156" s="59">
        <v>54624</v>
      </c>
      <c r="G156" s="59">
        <v>0.8971242506680791</v>
      </c>
      <c r="H156" s="59">
        <v>200</v>
      </c>
      <c r="I156" s="59">
        <v>98.591069789864022</v>
      </c>
      <c r="J156" s="88">
        <v>6.4908696543397264</v>
      </c>
      <c r="K156" s="59">
        <v>30</v>
      </c>
      <c r="L156" s="59">
        <v>87.505716625445885</v>
      </c>
      <c r="M156" s="59">
        <v>16.671707950626065</v>
      </c>
      <c r="N156" s="59">
        <v>19.160834130386576</v>
      </c>
      <c r="O156" s="59">
        <v>3.1964007692140224</v>
      </c>
      <c r="P156" s="59">
        <v>7.4189073179870393</v>
      </c>
      <c r="Q156" s="59">
        <v>8.5455260431855091</v>
      </c>
      <c r="R156" s="59">
        <v>1.9031498500006458</v>
      </c>
      <c r="S156" s="59">
        <v>3.2020484250739529</v>
      </c>
      <c r="T156" s="59">
        <v>3.4403277681109103</v>
      </c>
      <c r="U156" s="59">
        <v>0</v>
      </c>
      <c r="V156" s="59">
        <v>0</v>
      </c>
      <c r="W156" s="59">
        <v>581.70184728099298</v>
      </c>
      <c r="X156" s="59">
        <v>0</v>
      </c>
      <c r="Y156" s="59">
        <v>300.20101355741713</v>
      </c>
      <c r="Z156" s="59">
        <v>0</v>
      </c>
      <c r="AA156" s="59">
        <v>0</v>
      </c>
      <c r="AB156" s="59">
        <v>0</v>
      </c>
      <c r="AC156" s="59">
        <v>300.20101355741713</v>
      </c>
      <c r="AD156" s="59">
        <v>201.60994376755309</v>
      </c>
      <c r="AE156" s="59">
        <v>-11.927837405433953</v>
      </c>
      <c r="AF156" s="59">
        <v>31.650736975070686</v>
      </c>
      <c r="AG156" s="59">
        <v>68.332415075416037</v>
      </c>
      <c r="AH156" s="59">
        <v>0</v>
      </c>
      <c r="AI156" s="59">
        <v>101.46076874999999</v>
      </c>
      <c r="AJ156" s="59">
        <v>0</v>
      </c>
      <c r="AK156" s="59">
        <v>-7.263604677499675</v>
      </c>
      <c r="AL156" s="59">
        <v>0</v>
      </c>
      <c r="AM156" s="59">
        <v>19.357465050000009</v>
      </c>
      <c r="AN156" s="59">
        <v>0.67158315482833209</v>
      </c>
      <c r="AO156" s="59">
        <v>98.591069789864022</v>
      </c>
      <c r="AP156" s="59">
        <v>0</v>
      </c>
      <c r="AQ156" s="59">
        <v>0</v>
      </c>
      <c r="AR156" s="59">
        <v>0</v>
      </c>
      <c r="AS156" s="59">
        <v>0</v>
      </c>
      <c r="AT156" s="59">
        <v>0</v>
      </c>
      <c r="AU156" s="59">
        <v>538.5328528777826</v>
      </c>
      <c r="AV156" s="59">
        <v>111.93371050896521</v>
      </c>
      <c r="AW156" s="59">
        <v>111.93371050896521</v>
      </c>
      <c r="AX156" s="59">
        <v>0</v>
      </c>
      <c r="AY156" s="59">
        <v>0</v>
      </c>
      <c r="AZ156" s="59">
        <v>373.801016960727</v>
      </c>
      <c r="BA156" s="59">
        <v>76.930878417473096</v>
      </c>
      <c r="BB156" s="59">
        <v>123.69589105968915</v>
      </c>
      <c r="BC156" s="59">
        <v>173.17424748356478</v>
      </c>
      <c r="BD156" s="59">
        <v>0</v>
      </c>
      <c r="BE156" s="59">
        <v>52.798125408090414</v>
      </c>
      <c r="BF156" s="59">
        <v>18.009040034619328</v>
      </c>
      <c r="BG156" s="59">
        <v>1.4723613094253225</v>
      </c>
      <c r="BH156" s="59">
        <v>33.316724064045758</v>
      </c>
      <c r="BI156" s="59">
        <v>0</v>
      </c>
      <c r="BJ156" s="59">
        <v>538.5328528777826</v>
      </c>
      <c r="BK156" s="59">
        <v>740.14279664533569</v>
      </c>
      <c r="BL156" s="59">
        <v>2.1317109342987672</v>
      </c>
      <c r="BM156" s="59">
        <v>6.4908696543397264</v>
      </c>
    </row>
    <row r="157" spans="1:65" s="60" customFormat="1" x14ac:dyDescent="0.35">
      <c r="A157" s="15" t="s">
        <v>10616</v>
      </c>
      <c r="B157" s="15" t="s">
        <v>10599</v>
      </c>
      <c r="C157" s="15" t="s">
        <v>10603</v>
      </c>
      <c r="D157" s="15" t="s">
        <v>10321</v>
      </c>
      <c r="E157" s="15" t="s">
        <v>10764</v>
      </c>
      <c r="F157" s="15">
        <v>66503</v>
      </c>
      <c r="G157" s="15">
        <v>0.89713386088875591</v>
      </c>
      <c r="H157" s="15">
        <v>200</v>
      </c>
      <c r="I157" s="78">
        <v>139.2124870748579</v>
      </c>
      <c r="J157" s="79">
        <v>4.2464335033507954</v>
      </c>
      <c r="K157" s="15">
        <v>30</v>
      </c>
      <c r="L157" s="15">
        <v>90.074254687684999</v>
      </c>
      <c r="M157" s="15">
        <v>17.055438472294682</v>
      </c>
      <c r="N157" s="15">
        <v>23.327962109902344</v>
      </c>
      <c r="O157" s="15">
        <v>4.3482038334941926</v>
      </c>
      <c r="P157" s="15">
        <v>9.0323828092857283</v>
      </c>
      <c r="Q157" s="15">
        <v>9.947375467122427</v>
      </c>
      <c r="R157" s="15">
        <v>1.8604049782647123</v>
      </c>
      <c r="S157" s="15">
        <v>3.8984348920247482</v>
      </c>
      <c r="T157" s="15">
        <v>4.1885355968329661</v>
      </c>
      <c r="U157" s="15">
        <v>0</v>
      </c>
      <c r="V157" s="15">
        <v>2832.8450755932572</v>
      </c>
      <c r="W157" s="15">
        <v>0</v>
      </c>
      <c r="X157" s="15">
        <v>0</v>
      </c>
      <c r="Y157" s="15">
        <v>300.20101355741713</v>
      </c>
      <c r="Z157" s="15">
        <v>0</v>
      </c>
      <c r="AA157" s="15">
        <v>0</v>
      </c>
      <c r="AB157" s="15">
        <v>0</v>
      </c>
      <c r="AC157" s="15">
        <v>300.20101355741713</v>
      </c>
      <c r="AD157" s="15">
        <v>160.98852648255922</v>
      </c>
      <c r="AE157" s="15">
        <v>10.497023283962294</v>
      </c>
      <c r="AF157" s="15">
        <v>0</v>
      </c>
      <c r="AG157" s="15">
        <v>0</v>
      </c>
      <c r="AH157" s="15">
        <v>29.673269398596965</v>
      </c>
      <c r="AI157" s="15">
        <v>101.46076874999999</v>
      </c>
      <c r="AJ157" s="15">
        <v>0</v>
      </c>
      <c r="AK157" s="15">
        <v>0</v>
      </c>
      <c r="AL157" s="15">
        <v>0</v>
      </c>
      <c r="AM157" s="15">
        <v>19.357465049999998</v>
      </c>
      <c r="AN157" s="15">
        <v>0.53626909707874182</v>
      </c>
      <c r="AO157" s="15">
        <v>139.2124870748579</v>
      </c>
      <c r="AP157" s="15">
        <v>40.170292682559257</v>
      </c>
      <c r="AQ157" s="15">
        <v>10.497023283962294</v>
      </c>
      <c r="AR157" s="15">
        <v>0</v>
      </c>
      <c r="AS157" s="15">
        <v>0</v>
      </c>
      <c r="AT157" s="15">
        <v>29.673269398596965</v>
      </c>
      <c r="AU157" s="15">
        <v>490.19876359176476</v>
      </c>
      <c r="AV157" s="15">
        <v>108.45967353588209</v>
      </c>
      <c r="AW157" s="15">
        <v>108.45967353588209</v>
      </c>
      <c r="AX157" s="15">
        <v>0</v>
      </c>
      <c r="AY157" s="15">
        <v>0</v>
      </c>
      <c r="AZ157" s="15">
        <v>326.42659031654534</v>
      </c>
      <c r="BA157" s="15">
        <v>76.930878417473096</v>
      </c>
      <c r="BB157" s="15">
        <v>103.95654662461342</v>
      </c>
      <c r="BC157" s="15">
        <v>145.53916527445878</v>
      </c>
      <c r="BD157" s="15">
        <v>0</v>
      </c>
      <c r="BE157" s="15">
        <v>55.312499739337355</v>
      </c>
      <c r="BF157" s="15">
        <v>18.891276642074398</v>
      </c>
      <c r="BG157" s="15">
        <v>1.4723613094253225</v>
      </c>
      <c r="BH157" s="15">
        <v>34.948861787837636</v>
      </c>
      <c r="BI157" s="15">
        <v>0</v>
      </c>
      <c r="BJ157" s="15">
        <v>530.36905627432407</v>
      </c>
      <c r="BK157" s="59">
        <v>691.35758275688329</v>
      </c>
      <c r="BL157" s="59">
        <v>1.9692024427039458</v>
      </c>
      <c r="BM157" s="59">
        <v>4.2464335033507954</v>
      </c>
    </row>
    <row r="158" spans="1:65" s="56" customFormat="1" x14ac:dyDescent="0.35">
      <c r="A158" s="15" t="s">
        <v>10616</v>
      </c>
      <c r="B158" s="15" t="s">
        <v>10599</v>
      </c>
      <c r="C158" s="15" t="s">
        <v>10603</v>
      </c>
      <c r="D158" s="15" t="s">
        <v>10322</v>
      </c>
      <c r="E158" s="15" t="s">
        <v>10765</v>
      </c>
      <c r="F158" s="15">
        <v>66503</v>
      </c>
      <c r="G158" s="15">
        <v>0.89713386088875591</v>
      </c>
      <c r="H158" s="15">
        <v>200</v>
      </c>
      <c r="I158" s="78">
        <v>99.179033998805991</v>
      </c>
      <c r="J158" s="79">
        <v>5.915980142093983</v>
      </c>
      <c r="K158" s="15">
        <v>30</v>
      </c>
      <c r="L158" s="15">
        <v>90.074254687684999</v>
      </c>
      <c r="M158" s="15">
        <v>17.055438472294682</v>
      </c>
      <c r="N158" s="15">
        <v>23.327962109902344</v>
      </c>
      <c r="O158" s="15">
        <v>4.3482038334941926</v>
      </c>
      <c r="P158" s="15">
        <v>9.0323828092857283</v>
      </c>
      <c r="Q158" s="15">
        <v>9.947375467122427</v>
      </c>
      <c r="R158" s="15">
        <v>1.8604049782647123</v>
      </c>
      <c r="S158" s="15">
        <v>3.8984348920247482</v>
      </c>
      <c r="T158" s="15">
        <v>4.1885355968329661</v>
      </c>
      <c r="U158" s="15">
        <v>0</v>
      </c>
      <c r="V158" s="15">
        <v>0</v>
      </c>
      <c r="W158" s="15">
        <v>708.2112688983143</v>
      </c>
      <c r="X158" s="15">
        <v>0</v>
      </c>
      <c r="Y158" s="15">
        <v>300.20101355741713</v>
      </c>
      <c r="Z158" s="15">
        <v>0</v>
      </c>
      <c r="AA158" s="15">
        <v>0</v>
      </c>
      <c r="AB158" s="15">
        <v>0</v>
      </c>
      <c r="AC158" s="15">
        <v>300.20101355741713</v>
      </c>
      <c r="AD158" s="15">
        <v>201.02197955861112</v>
      </c>
      <c r="AE158" s="15">
        <v>-11.927837405433955</v>
      </c>
      <c r="AF158" s="15">
        <v>25.996892417207441</v>
      </c>
      <c r="AG158" s="15">
        <v>56.126037277512303</v>
      </c>
      <c r="AH158" s="15">
        <v>0</v>
      </c>
      <c r="AI158" s="15">
        <v>101.46076874999999</v>
      </c>
      <c r="AJ158" s="15">
        <v>0</v>
      </c>
      <c r="AK158" s="15">
        <v>10.00865346932533</v>
      </c>
      <c r="AL158" s="15">
        <v>0</v>
      </c>
      <c r="AM158" s="15">
        <v>19.357465049999998</v>
      </c>
      <c r="AN158" s="15">
        <v>0.66962458646117529</v>
      </c>
      <c r="AO158" s="15">
        <v>99.179033998805991</v>
      </c>
      <c r="AP158" s="15">
        <v>0</v>
      </c>
      <c r="AQ158" s="15">
        <v>0</v>
      </c>
      <c r="AR158" s="15">
        <v>0</v>
      </c>
      <c r="AS158" s="15">
        <v>0</v>
      </c>
      <c r="AT158" s="15">
        <v>0</v>
      </c>
      <c r="AU158" s="15">
        <v>485.92022964780625</v>
      </c>
      <c r="AV158" s="15">
        <v>108.45967353588209</v>
      </c>
      <c r="AW158" s="15">
        <v>108.45967353588209</v>
      </c>
      <c r="AX158" s="15">
        <v>0</v>
      </c>
      <c r="AY158" s="15">
        <v>0</v>
      </c>
      <c r="AZ158" s="15">
        <v>326.42659031654534</v>
      </c>
      <c r="BA158" s="15">
        <v>76.930878417473096</v>
      </c>
      <c r="BB158" s="15">
        <v>103.95654662461342</v>
      </c>
      <c r="BC158" s="15">
        <v>145.53916527445878</v>
      </c>
      <c r="BD158" s="15">
        <v>0</v>
      </c>
      <c r="BE158" s="15">
        <v>51.033965795378819</v>
      </c>
      <c r="BF158" s="15">
        <v>17.390036661738069</v>
      </c>
      <c r="BG158" s="15">
        <v>1.4723613094253225</v>
      </c>
      <c r="BH158" s="15">
        <v>32.171567824215423</v>
      </c>
      <c r="BI158" s="15">
        <v>0</v>
      </c>
      <c r="BJ158" s="15">
        <v>485.92022964780625</v>
      </c>
      <c r="BK158" s="55">
        <v>686.94220920641737</v>
      </c>
      <c r="BL158" s="55">
        <v>1.9544943859317743</v>
      </c>
      <c r="BM158" s="55">
        <v>5.915980142093983</v>
      </c>
    </row>
    <row r="159" spans="1:65" x14ac:dyDescent="0.35">
      <c r="A159" s="15" t="s">
        <v>10616</v>
      </c>
      <c r="B159" s="15" t="s">
        <v>10599</v>
      </c>
      <c r="C159" s="15" t="s">
        <v>10603</v>
      </c>
      <c r="D159" s="15" t="s">
        <v>10323</v>
      </c>
      <c r="E159" s="15" t="s">
        <v>10766</v>
      </c>
      <c r="F159" s="15">
        <v>66503</v>
      </c>
      <c r="G159" s="15">
        <v>0.89713386088875591</v>
      </c>
      <c r="H159" s="15">
        <v>200</v>
      </c>
      <c r="I159" s="78">
        <v>119.7438014366363</v>
      </c>
      <c r="J159" s="79">
        <v>4.8259612502652853</v>
      </c>
      <c r="K159" s="15">
        <v>30</v>
      </c>
      <c r="L159" s="15">
        <v>90.074254687684999</v>
      </c>
      <c r="M159" s="15">
        <v>17.055438472294682</v>
      </c>
      <c r="N159" s="15">
        <v>23.327962109902344</v>
      </c>
      <c r="O159" s="15">
        <v>4.3482038334941926</v>
      </c>
      <c r="P159" s="15">
        <v>9.0323828092857283</v>
      </c>
      <c r="Q159" s="15">
        <v>9.947375467122427</v>
      </c>
      <c r="R159" s="15">
        <v>1.8604049782647123</v>
      </c>
      <c r="S159" s="15">
        <v>3.8984348920247482</v>
      </c>
      <c r="T159" s="15">
        <v>4.1885355968329661</v>
      </c>
      <c r="U159" s="15">
        <v>0</v>
      </c>
      <c r="V159" s="15">
        <v>0</v>
      </c>
      <c r="W159" s="15">
        <v>0</v>
      </c>
      <c r="X159" s="15">
        <v>708211.26889831433</v>
      </c>
      <c r="Y159" s="15">
        <v>300.20101355741713</v>
      </c>
      <c r="Z159" s="15">
        <v>0</v>
      </c>
      <c r="AA159" s="15">
        <v>0</v>
      </c>
      <c r="AB159" s="15">
        <v>0</v>
      </c>
      <c r="AC159" s="15">
        <v>300.20101355741713</v>
      </c>
      <c r="AD159" s="15">
        <v>180.45721212078081</v>
      </c>
      <c r="AE159" s="15">
        <v>-11.927837405433955</v>
      </c>
      <c r="AF159" s="15">
        <v>0</v>
      </c>
      <c r="AG159" s="15">
        <v>0</v>
      </c>
      <c r="AH159" s="15">
        <v>0</v>
      </c>
      <c r="AI159" s="15">
        <v>101.46076874999999</v>
      </c>
      <c r="AJ159" s="15">
        <v>0</v>
      </c>
      <c r="AK159" s="15">
        <v>71.566815726214784</v>
      </c>
      <c r="AL159" s="15">
        <v>0</v>
      </c>
      <c r="AM159" s="15">
        <v>19.357465049999998</v>
      </c>
      <c r="AN159" s="15">
        <v>0.60112126199156268</v>
      </c>
      <c r="AO159" s="15">
        <v>119.7438014366363</v>
      </c>
      <c r="AP159" s="15">
        <v>0</v>
      </c>
      <c r="AQ159" s="15">
        <v>0</v>
      </c>
      <c r="AR159" s="15">
        <v>0</v>
      </c>
      <c r="AS159" s="15">
        <v>0</v>
      </c>
      <c r="AT159" s="15">
        <v>0</v>
      </c>
      <c r="AU159" s="15">
        <v>497.62274712930378</v>
      </c>
      <c r="AV159" s="15">
        <v>108.45967353588209</v>
      </c>
      <c r="AW159" s="15">
        <v>108.45967353588209</v>
      </c>
      <c r="AX159" s="15">
        <v>0</v>
      </c>
      <c r="AY159" s="15">
        <v>0</v>
      </c>
      <c r="AZ159" s="15">
        <v>326.42659031654534</v>
      </c>
      <c r="BA159" s="15">
        <v>76.930878417473096</v>
      </c>
      <c r="BB159" s="15">
        <v>103.95654662461342</v>
      </c>
      <c r="BC159" s="15">
        <v>145.53916527445878</v>
      </c>
      <c r="BD159" s="15">
        <v>0</v>
      </c>
      <c r="BE159" s="15">
        <v>62.736483276876385</v>
      </c>
      <c r="BF159" s="15">
        <v>21.496183146474056</v>
      </c>
      <c r="BG159" s="15">
        <v>1.4723613094253225</v>
      </c>
      <c r="BH159" s="15">
        <v>39.767938820977001</v>
      </c>
      <c r="BI159" s="15">
        <v>0</v>
      </c>
      <c r="BJ159" s="15">
        <v>497.62274712930378</v>
      </c>
      <c r="BK159" s="15">
        <v>678.07995925008458</v>
      </c>
      <c r="BL159" s="15">
        <v>1.9249733331834371</v>
      </c>
      <c r="BM159" s="15">
        <v>4.8259612502652853</v>
      </c>
    </row>
    <row r="160" spans="1:65" x14ac:dyDescent="0.35">
      <c r="A160" s="15" t="s">
        <v>10616</v>
      </c>
      <c r="B160" s="15" t="s">
        <v>10599</v>
      </c>
      <c r="C160" s="15" t="s">
        <v>10603</v>
      </c>
      <c r="D160" s="15" t="s">
        <v>10324</v>
      </c>
      <c r="E160" s="15" t="s">
        <v>10767</v>
      </c>
      <c r="F160" s="15">
        <v>66503</v>
      </c>
      <c r="G160" s="15">
        <v>0.89713386088875591</v>
      </c>
      <c r="H160" s="15">
        <v>200</v>
      </c>
      <c r="I160" s="78">
        <v>159.78163446045329</v>
      </c>
      <c r="J160" s="79">
        <v>3.1783400774697048</v>
      </c>
      <c r="K160" s="15">
        <v>30</v>
      </c>
      <c r="L160" s="15">
        <v>91.141232723795738</v>
      </c>
      <c r="M160" s="15">
        <v>16.595133505806611</v>
      </c>
      <c r="N160" s="15">
        <v>23.327962109902344</v>
      </c>
      <c r="O160" s="15">
        <v>3.2780452356834777</v>
      </c>
      <c r="P160" s="15">
        <v>9.4145823085038387</v>
      </c>
      <c r="Q160" s="15">
        <v>10.635334565715029</v>
      </c>
      <c r="R160" s="15">
        <v>1.8604049782647123</v>
      </c>
      <c r="S160" s="15">
        <v>4.586393990617351</v>
      </c>
      <c r="T160" s="15">
        <v>4.1885355968329661</v>
      </c>
      <c r="U160" s="15">
        <v>0</v>
      </c>
      <c r="V160" s="15">
        <v>0</v>
      </c>
      <c r="W160" s="15">
        <v>0</v>
      </c>
      <c r="X160" s="15">
        <v>0</v>
      </c>
      <c r="Y160" s="15">
        <v>267.60417534542665</v>
      </c>
      <c r="Z160" s="15">
        <v>0</v>
      </c>
      <c r="AA160" s="15">
        <v>0</v>
      </c>
      <c r="AB160" s="15">
        <v>0</v>
      </c>
      <c r="AC160" s="15">
        <v>267.60417534542665</v>
      </c>
      <c r="AD160" s="15">
        <v>107.82254088497336</v>
      </c>
      <c r="AE160" s="15">
        <v>-12.995692915026599</v>
      </c>
      <c r="AF160" s="15">
        <v>0</v>
      </c>
      <c r="AG160" s="15">
        <v>0</v>
      </c>
      <c r="AH160" s="15">
        <v>0</v>
      </c>
      <c r="AI160" s="15">
        <v>101.46076874999999</v>
      </c>
      <c r="AJ160" s="15">
        <v>0</v>
      </c>
      <c r="AK160" s="15">
        <v>0</v>
      </c>
      <c r="AL160" s="15">
        <v>0</v>
      </c>
      <c r="AM160" s="15">
        <v>19.357465049999998</v>
      </c>
      <c r="AN160" s="15">
        <v>0.40291800658862942</v>
      </c>
      <c r="AO160" s="15">
        <v>159.78163446045329</v>
      </c>
      <c r="AP160" s="15">
        <v>0</v>
      </c>
      <c r="AQ160" s="15">
        <v>0</v>
      </c>
      <c r="AR160" s="15">
        <v>0</v>
      </c>
      <c r="AS160" s="15">
        <v>0</v>
      </c>
      <c r="AT160" s="15">
        <v>0</v>
      </c>
      <c r="AU160" s="15">
        <v>467.62200690972645</v>
      </c>
      <c r="AV160" s="15">
        <v>104.81981392032752</v>
      </c>
      <c r="AW160" s="15">
        <v>104.81981392032752</v>
      </c>
      <c r="AX160" s="15">
        <v>0</v>
      </c>
      <c r="AY160" s="15">
        <v>0</v>
      </c>
      <c r="AZ160" s="15">
        <v>304.67701300946919</v>
      </c>
      <c r="BA160" s="15">
        <v>76.930878417473096</v>
      </c>
      <c r="BB160" s="15">
        <v>94.894222746665051</v>
      </c>
      <c r="BC160" s="15">
        <v>132.85191184533107</v>
      </c>
      <c r="BD160" s="15">
        <v>0</v>
      </c>
      <c r="BE160" s="15">
        <v>58.125179979929712</v>
      </c>
      <c r="BF160" s="15">
        <v>19.878181989650663</v>
      </c>
      <c r="BG160" s="15">
        <v>1.4723613094253225</v>
      </c>
      <c r="BH160" s="15">
        <v>36.774636680853725</v>
      </c>
      <c r="BI160" s="15">
        <v>0</v>
      </c>
      <c r="BJ160" s="15">
        <v>467.62200690972645</v>
      </c>
      <c r="BK160" s="15">
        <v>575.44454779469982</v>
      </c>
      <c r="BL160" s="15">
        <v>1.8977296291948613</v>
      </c>
      <c r="BM160" s="15">
        <v>3.1783400774697048</v>
      </c>
    </row>
    <row r="161" spans="1:65" x14ac:dyDescent="0.35">
      <c r="A161" s="15" t="s">
        <v>10616</v>
      </c>
      <c r="B161" s="15" t="s">
        <v>10599</v>
      </c>
      <c r="C161" s="15" t="s">
        <v>10603</v>
      </c>
      <c r="D161" s="15" t="s">
        <v>10325</v>
      </c>
      <c r="E161" s="15" t="s">
        <v>10768</v>
      </c>
      <c r="F161" s="15">
        <v>66503</v>
      </c>
      <c r="G161" s="15">
        <v>0.89713386088875591</v>
      </c>
      <c r="H161" s="15">
        <v>200</v>
      </c>
      <c r="I161" s="78">
        <v>204.45845438205828</v>
      </c>
      <c r="J161" s="79">
        <v>2.3176136032733452</v>
      </c>
      <c r="K161" s="15">
        <v>30</v>
      </c>
      <c r="L161" s="15">
        <v>86.165625246578543</v>
      </c>
      <c r="M161" s="15">
        <v>15.948698020671058</v>
      </c>
      <c r="N161" s="15">
        <v>23.327962109902344</v>
      </c>
      <c r="O161" s="15">
        <v>5.2277379889238418</v>
      </c>
      <c r="P161" s="15">
        <v>8.1605877052860372</v>
      </c>
      <c r="Q161" s="15">
        <v>9.9396364156924708</v>
      </c>
      <c r="R161" s="15">
        <v>1.8604049782647123</v>
      </c>
      <c r="S161" s="15">
        <v>0</v>
      </c>
      <c r="T161" s="15">
        <v>8.0792314374277563</v>
      </c>
      <c r="U161" s="15">
        <v>0</v>
      </c>
      <c r="V161" s="15">
        <v>0</v>
      </c>
      <c r="W161" s="15">
        <v>0</v>
      </c>
      <c r="X161" s="15">
        <v>0</v>
      </c>
      <c r="Y161" s="15">
        <v>331.05565178408585</v>
      </c>
      <c r="Z161" s="15">
        <v>0</v>
      </c>
      <c r="AA161" s="15">
        <v>0</v>
      </c>
      <c r="AB161" s="15">
        <v>0</v>
      </c>
      <c r="AC161" s="15">
        <v>331.05565178408585</v>
      </c>
      <c r="AD161" s="15">
        <v>126.59719740202758</v>
      </c>
      <c r="AE161" s="15">
        <v>-12.202024505472428</v>
      </c>
      <c r="AF161" s="15">
        <v>0</v>
      </c>
      <c r="AG161" s="15">
        <v>0</v>
      </c>
      <c r="AH161" s="15">
        <v>0</v>
      </c>
      <c r="AI161" s="15">
        <v>101.46076874999999</v>
      </c>
      <c r="AJ161" s="15">
        <v>0</v>
      </c>
      <c r="AK161" s="15">
        <v>0</v>
      </c>
      <c r="AL161" s="15">
        <v>0</v>
      </c>
      <c r="AM161" s="15">
        <v>37.338453157500012</v>
      </c>
      <c r="AN161" s="15">
        <v>0.38240457977317399</v>
      </c>
      <c r="AO161" s="15">
        <v>204.45845438205828</v>
      </c>
      <c r="AP161" s="15">
        <v>0</v>
      </c>
      <c r="AQ161" s="15">
        <v>0</v>
      </c>
      <c r="AR161" s="15">
        <v>0</v>
      </c>
      <c r="AS161" s="15">
        <v>0</v>
      </c>
      <c r="AT161" s="15">
        <v>0</v>
      </c>
      <c r="AU161" s="15">
        <v>478.31414956215917</v>
      </c>
      <c r="AV161" s="15">
        <v>117.00650464701444</v>
      </c>
      <c r="AW161" s="15">
        <v>117.00650464701444</v>
      </c>
      <c r="AX161" s="15">
        <v>0</v>
      </c>
      <c r="AY161" s="15">
        <v>0</v>
      </c>
      <c r="AZ161" s="15">
        <v>293.85165297064157</v>
      </c>
      <c r="BA161" s="15">
        <v>76.930878417473096</v>
      </c>
      <c r="BB161" s="15">
        <v>90.383656063820197</v>
      </c>
      <c r="BC161" s="15">
        <v>126.53711848934827</v>
      </c>
      <c r="BD161" s="15">
        <v>0</v>
      </c>
      <c r="BE161" s="15">
        <v>67.455991944503211</v>
      </c>
      <c r="BF161" s="15">
        <v>23.152151100027332</v>
      </c>
      <c r="BG161" s="15">
        <v>1.4723613094253225</v>
      </c>
      <c r="BH161" s="15">
        <v>42.831479535050562</v>
      </c>
      <c r="BI161" s="15">
        <v>0</v>
      </c>
      <c r="BJ161" s="15">
        <v>478.31414956215917</v>
      </c>
      <c r="BK161" s="15">
        <v>604.91134696418681</v>
      </c>
      <c r="BL161" s="15">
        <v>1.4313475472370101</v>
      </c>
      <c r="BM161" s="15">
        <v>2.3176136032733452</v>
      </c>
    </row>
    <row r="162" spans="1:65" x14ac:dyDescent="0.35">
      <c r="A162" s="15" t="s">
        <v>10616</v>
      </c>
      <c r="B162" s="15" t="s">
        <v>10599</v>
      </c>
      <c r="C162" s="15" t="s">
        <v>10603</v>
      </c>
      <c r="D162" s="15" t="s">
        <v>10326</v>
      </c>
      <c r="E162" s="15" t="s">
        <v>10769</v>
      </c>
      <c r="F162" s="15">
        <v>66503</v>
      </c>
      <c r="G162" s="15">
        <v>0.89713386088875591</v>
      </c>
      <c r="H162" s="15">
        <v>200</v>
      </c>
      <c r="I162" s="78">
        <v>132.9042320294439</v>
      </c>
      <c r="J162" s="79">
        <v>7.081472607108533</v>
      </c>
      <c r="K162" s="15">
        <v>30</v>
      </c>
      <c r="L162" s="15">
        <v>84.441279710999993</v>
      </c>
      <c r="M162" s="15">
        <v>15.674639399273559</v>
      </c>
      <c r="N162" s="15">
        <v>23.327962109902344</v>
      </c>
      <c r="O162" s="15">
        <v>17.0480689653055</v>
      </c>
      <c r="P162" s="15">
        <v>4.2935114263275267</v>
      </c>
      <c r="Q162" s="15">
        <v>1.9863817182693193</v>
      </c>
      <c r="R162" s="15">
        <v>1.9863817182693193</v>
      </c>
      <c r="S162" s="15">
        <v>0</v>
      </c>
      <c r="T162" s="15">
        <v>0</v>
      </c>
      <c r="U162" s="15">
        <v>14791.535597550805</v>
      </c>
      <c r="V162" s="15">
        <v>0</v>
      </c>
      <c r="W162" s="15">
        <v>0</v>
      </c>
      <c r="X162" s="15">
        <v>0</v>
      </c>
      <c r="Y162" s="15">
        <v>615.11204467427581</v>
      </c>
      <c r="Z162" s="15">
        <v>0</v>
      </c>
      <c r="AA162" s="15">
        <v>0</v>
      </c>
      <c r="AB162" s="15">
        <v>0</v>
      </c>
      <c r="AC162" s="15">
        <v>615.11204467427581</v>
      </c>
      <c r="AD162" s="15">
        <v>482.2078126448319</v>
      </c>
      <c r="AE162" s="15">
        <v>7.8630459056212638</v>
      </c>
      <c r="AF162" s="15">
        <v>0</v>
      </c>
      <c r="AG162" s="15">
        <v>0</v>
      </c>
      <c r="AH162" s="15">
        <v>351.34440850976813</v>
      </c>
      <c r="AI162" s="15">
        <v>123.00035822944255</v>
      </c>
      <c r="AJ162" s="15">
        <v>0</v>
      </c>
      <c r="AK162" s="15">
        <v>0</v>
      </c>
      <c r="AL162" s="15">
        <v>0</v>
      </c>
      <c r="AM162" s="15">
        <v>0</v>
      </c>
      <c r="AN162" s="15">
        <v>0.7839349218079098</v>
      </c>
      <c r="AO162" s="15">
        <v>132.9042320294439</v>
      </c>
      <c r="AP162" s="15">
        <v>359.20745441538941</v>
      </c>
      <c r="AQ162" s="15">
        <v>7.8630459056212638</v>
      </c>
      <c r="AR162" s="15">
        <v>0</v>
      </c>
      <c r="AS162" s="15">
        <v>0</v>
      </c>
      <c r="AT162" s="15">
        <v>351.34440850976813</v>
      </c>
      <c r="AU162" s="15">
        <v>514.854456099358</v>
      </c>
      <c r="AV162" s="15">
        <v>160.00454381015189</v>
      </c>
      <c r="AW162" s="15">
        <v>160.00454381015189</v>
      </c>
      <c r="AX162" s="15">
        <v>0</v>
      </c>
      <c r="AY162" s="15">
        <v>0</v>
      </c>
      <c r="AZ162" s="15">
        <v>298.19113205783833</v>
      </c>
      <c r="BA162" s="15">
        <v>82.718698010625445</v>
      </c>
      <c r="BB162" s="15">
        <v>89.780180853005376</v>
      </c>
      <c r="BC162" s="15">
        <v>125.69225319420751</v>
      </c>
      <c r="BD162" s="15">
        <v>0</v>
      </c>
      <c r="BE162" s="15">
        <v>56.658780231367828</v>
      </c>
      <c r="BF162" s="15">
        <v>19.324788510557166</v>
      </c>
      <c r="BG162" s="15">
        <v>1.5831329762799127</v>
      </c>
      <c r="BH162" s="15">
        <v>35.750858744530753</v>
      </c>
      <c r="BI162" s="15">
        <v>0</v>
      </c>
      <c r="BJ162" s="15">
        <v>874.06191051474741</v>
      </c>
      <c r="BK162" s="15">
        <v>1356.2697231595794</v>
      </c>
      <c r="BL162" s="15">
        <v>1.5300589325700504</v>
      </c>
      <c r="BM162" s="15">
        <v>7.081472607108533</v>
      </c>
    </row>
    <row r="163" spans="1:65" x14ac:dyDescent="0.35">
      <c r="A163" s="15" t="s">
        <v>10616</v>
      </c>
      <c r="B163" s="15" t="s">
        <v>10599</v>
      </c>
      <c r="C163" s="15" t="s">
        <v>10603</v>
      </c>
      <c r="D163" s="15" t="s">
        <v>10327</v>
      </c>
      <c r="E163" s="15" t="s">
        <v>10770</v>
      </c>
      <c r="F163" s="15">
        <v>66503</v>
      </c>
      <c r="G163" s="15">
        <v>0.89713386088875591</v>
      </c>
      <c r="H163" s="15">
        <v>200</v>
      </c>
      <c r="I163" s="80">
        <v>1162.7827527726679</v>
      </c>
      <c r="J163" s="81">
        <v>0.1353190394155937</v>
      </c>
      <c r="K163" s="15">
        <v>30</v>
      </c>
      <c r="L163" s="15">
        <v>87.602355051921222</v>
      </c>
      <c r="M163" s="15">
        <v>23.836034636003433</v>
      </c>
      <c r="N163" s="15">
        <v>23.327962109902344</v>
      </c>
      <c r="O163" s="15">
        <v>17.0480689653055</v>
      </c>
      <c r="P163" s="15">
        <v>4.2935114263275267</v>
      </c>
      <c r="Q163" s="15">
        <v>1.9863817182693193</v>
      </c>
      <c r="R163" s="15">
        <v>1.9863817182693193</v>
      </c>
      <c r="S163" s="15">
        <v>0</v>
      </c>
      <c r="T163" s="15">
        <v>0</v>
      </c>
      <c r="U163" s="15">
        <v>14791.535597550805</v>
      </c>
      <c r="V163" s="15">
        <v>0</v>
      </c>
      <c r="W163" s="15">
        <v>0</v>
      </c>
      <c r="X163" s="15">
        <v>0</v>
      </c>
      <c r="Y163" s="15">
        <v>1506.6164001244058</v>
      </c>
      <c r="Z163" s="15">
        <v>0</v>
      </c>
      <c r="AA163" s="15">
        <v>0</v>
      </c>
      <c r="AB163" s="15">
        <v>0</v>
      </c>
      <c r="AC163" s="15">
        <v>1506.6164001244058</v>
      </c>
      <c r="AD163" s="15">
        <v>343.83364735173791</v>
      </c>
      <c r="AE163" s="15">
        <v>14.940994347677835</v>
      </c>
      <c r="AF163" s="15">
        <v>0</v>
      </c>
      <c r="AG163" s="15">
        <v>0</v>
      </c>
      <c r="AH163" s="15">
        <v>205.89229477461754</v>
      </c>
      <c r="AI163" s="15">
        <v>123.00035822944255</v>
      </c>
      <c r="AJ163" s="15">
        <v>0</v>
      </c>
      <c r="AK163" s="15">
        <v>0</v>
      </c>
      <c r="AL163" s="15">
        <v>0</v>
      </c>
      <c r="AM163" s="15">
        <v>0</v>
      </c>
      <c r="AN163" s="15">
        <v>0.22821578692714783</v>
      </c>
      <c r="AO163" s="15">
        <v>1162.7827527726679</v>
      </c>
      <c r="AP163" s="15">
        <v>220.83328912229538</v>
      </c>
      <c r="AQ163" s="15">
        <v>14.940994347677835</v>
      </c>
      <c r="AR163" s="15">
        <v>0</v>
      </c>
      <c r="AS163" s="15">
        <v>0</v>
      </c>
      <c r="AT163" s="15">
        <v>205.89229477461754</v>
      </c>
      <c r="AU163" s="15">
        <v>899.29610880458972</v>
      </c>
      <c r="AV163" s="15">
        <v>160.00454381015189</v>
      </c>
      <c r="AW163" s="15">
        <v>160.00454381015189</v>
      </c>
      <c r="AX163" s="15">
        <v>0</v>
      </c>
      <c r="AY163" s="15">
        <v>0</v>
      </c>
      <c r="AZ163" s="15">
        <v>535.87509555716053</v>
      </c>
      <c r="BA163" s="15">
        <v>82.718698010625445</v>
      </c>
      <c r="BB163" s="15">
        <v>188.81516564438962</v>
      </c>
      <c r="BC163" s="15">
        <v>264.34123190214547</v>
      </c>
      <c r="BD163" s="15">
        <v>0</v>
      </c>
      <c r="BE163" s="15">
        <v>203.41646943727727</v>
      </c>
      <c r="BF163" s="15">
        <v>70.818714547718372</v>
      </c>
      <c r="BG163" s="15">
        <v>1.5831329762799127</v>
      </c>
      <c r="BH163" s="15">
        <v>131.01462191327897</v>
      </c>
      <c r="BI163" s="15">
        <v>0</v>
      </c>
      <c r="BJ163" s="15">
        <v>1120.1293979268851</v>
      </c>
      <c r="BK163" s="15">
        <v>1463.963045278623</v>
      </c>
      <c r="BL163" s="15">
        <v>0.10443709834913824</v>
      </c>
      <c r="BM163" s="15">
        <v>0.1353190394155937</v>
      </c>
    </row>
    <row r="164" spans="1:65" s="60" customFormat="1" x14ac:dyDescent="0.35">
      <c r="A164" s="59" t="s">
        <v>10616</v>
      </c>
      <c r="B164" s="59" t="s">
        <v>10599</v>
      </c>
      <c r="C164" s="59" t="s">
        <v>10752</v>
      </c>
      <c r="D164" s="59" t="s">
        <v>10322</v>
      </c>
      <c r="E164" s="59" t="s">
        <v>10771</v>
      </c>
      <c r="F164" s="59">
        <v>66503</v>
      </c>
      <c r="G164" s="59">
        <v>0.89713386088875591</v>
      </c>
      <c r="H164" s="59">
        <v>200</v>
      </c>
      <c r="I164" s="59">
        <v>99.179033998805991</v>
      </c>
      <c r="J164" s="88">
        <v>5.915980142093983</v>
      </c>
      <c r="K164" s="59">
        <v>30</v>
      </c>
      <c r="L164" s="59">
        <v>90.074254687684999</v>
      </c>
      <c r="M164" s="59">
        <v>17.055438472294682</v>
      </c>
      <c r="N164" s="59">
        <v>23.327962109902344</v>
      </c>
      <c r="O164" s="59">
        <v>4.3482038334941926</v>
      </c>
      <c r="P164" s="59">
        <v>9.0323828092857283</v>
      </c>
      <c r="Q164" s="59">
        <v>9.947375467122427</v>
      </c>
      <c r="R164" s="59">
        <v>1.8604049782647123</v>
      </c>
      <c r="S164" s="59">
        <v>3.8984348920247482</v>
      </c>
      <c r="T164" s="59">
        <v>4.1885355968329661</v>
      </c>
      <c r="U164" s="59">
        <v>0</v>
      </c>
      <c r="V164" s="59">
        <v>0</v>
      </c>
      <c r="W164" s="59">
        <v>708.2112688983143</v>
      </c>
      <c r="X164" s="59">
        <v>0</v>
      </c>
      <c r="Y164" s="59">
        <v>300.20101355741713</v>
      </c>
      <c r="Z164" s="59">
        <v>0</v>
      </c>
      <c r="AA164" s="59">
        <v>0</v>
      </c>
      <c r="AB164" s="59">
        <v>0</v>
      </c>
      <c r="AC164" s="59">
        <v>300.20101355741713</v>
      </c>
      <c r="AD164" s="59">
        <v>201.02197955861112</v>
      </c>
      <c r="AE164" s="59">
        <v>-11.927837405433955</v>
      </c>
      <c r="AF164" s="59">
        <v>25.996892417207441</v>
      </c>
      <c r="AG164" s="59">
        <v>56.126037277512303</v>
      </c>
      <c r="AH164" s="59">
        <v>0</v>
      </c>
      <c r="AI164" s="59">
        <v>101.46076874999999</v>
      </c>
      <c r="AJ164" s="59">
        <v>0</v>
      </c>
      <c r="AK164" s="59">
        <v>10.00865346932533</v>
      </c>
      <c r="AL164" s="59">
        <v>0</v>
      </c>
      <c r="AM164" s="59">
        <v>19.357465049999998</v>
      </c>
      <c r="AN164" s="59">
        <v>0.66962458646117529</v>
      </c>
      <c r="AO164" s="59">
        <v>99.179033998805991</v>
      </c>
      <c r="AP164" s="59">
        <v>0</v>
      </c>
      <c r="AQ164" s="59">
        <v>0</v>
      </c>
      <c r="AR164" s="59">
        <v>0</v>
      </c>
      <c r="AS164" s="59">
        <v>0</v>
      </c>
      <c r="AT164" s="59">
        <v>0</v>
      </c>
      <c r="AU164" s="59">
        <v>485.92022964780625</v>
      </c>
      <c r="AV164" s="59">
        <v>108.45967353588209</v>
      </c>
      <c r="AW164" s="59">
        <v>108.45967353588209</v>
      </c>
      <c r="AX164" s="59">
        <v>0</v>
      </c>
      <c r="AY164" s="59">
        <v>0</v>
      </c>
      <c r="AZ164" s="59">
        <v>326.42659031654534</v>
      </c>
      <c r="BA164" s="59">
        <v>76.930878417473096</v>
      </c>
      <c r="BB164" s="59">
        <v>103.95654662461342</v>
      </c>
      <c r="BC164" s="59">
        <v>145.53916527445878</v>
      </c>
      <c r="BD164" s="59">
        <v>0</v>
      </c>
      <c r="BE164" s="59">
        <v>51.033965795378819</v>
      </c>
      <c r="BF164" s="59">
        <v>17.390036661738069</v>
      </c>
      <c r="BG164" s="59">
        <v>1.4723613094253225</v>
      </c>
      <c r="BH164" s="59">
        <v>32.171567824215423</v>
      </c>
      <c r="BI164" s="59">
        <v>0</v>
      </c>
      <c r="BJ164" s="59">
        <v>485.92022964780625</v>
      </c>
      <c r="BK164" s="59">
        <v>686.94220920641737</v>
      </c>
      <c r="BL164" s="59">
        <v>1.9544943859317743</v>
      </c>
      <c r="BM164" s="59">
        <v>5.915980142093983</v>
      </c>
    </row>
    <row r="165" spans="1:65" s="56" customFormat="1" x14ac:dyDescent="0.35">
      <c r="A165" s="55" t="s">
        <v>10616</v>
      </c>
      <c r="B165" s="55" t="s">
        <v>10754</v>
      </c>
      <c r="C165" s="55" t="s">
        <v>9780</v>
      </c>
      <c r="D165" s="55" t="s">
        <v>9780</v>
      </c>
      <c r="E165" s="55" t="s">
        <v>10772</v>
      </c>
      <c r="F165" s="55">
        <f>F156</f>
        <v>54624</v>
      </c>
      <c r="G165" s="55">
        <f>G156</f>
        <v>0.8971242506680791</v>
      </c>
      <c r="H165" s="55">
        <f>(H156*N156+H164*N164)/(N156+N164)</f>
        <v>200</v>
      </c>
      <c r="I165" s="55">
        <f>(I156*N156+I164*N164)/(N156+N164)</f>
        <v>98.913884461068349</v>
      </c>
      <c r="J165" s="89">
        <f>(J156*N156+J164*N164)/(N156+N164)</f>
        <v>6.1752334879676534</v>
      </c>
      <c r="K165" s="55">
        <f>K156</f>
        <v>30</v>
      </c>
      <c r="L165" s="55">
        <f t="shared" ref="L165:W165" si="10">L156+L164</f>
        <v>177.5799713131309</v>
      </c>
      <c r="M165" s="55">
        <f t="shared" si="10"/>
        <v>33.727146422920747</v>
      </c>
      <c r="N165" s="55">
        <f t="shared" si="10"/>
        <v>42.48879624028892</v>
      </c>
      <c r="O165" s="55">
        <f t="shared" si="10"/>
        <v>7.5446046027082154</v>
      </c>
      <c r="P165" s="55">
        <f t="shared" si="10"/>
        <v>16.451290127272767</v>
      </c>
      <c r="Q165" s="55">
        <f t="shared" si="10"/>
        <v>18.492901510307938</v>
      </c>
      <c r="R165" s="55">
        <f t="shared" si="10"/>
        <v>3.7635548282653581</v>
      </c>
      <c r="S165" s="55">
        <f t="shared" si="10"/>
        <v>7.1004833170987016</v>
      </c>
      <c r="T165" s="55">
        <f t="shared" si="10"/>
        <v>7.6288633649438768</v>
      </c>
      <c r="U165" s="55">
        <f t="shared" si="10"/>
        <v>0</v>
      </c>
      <c r="V165" s="55">
        <f t="shared" si="10"/>
        <v>0</v>
      </c>
      <c r="W165" s="55">
        <f t="shared" si="10"/>
        <v>1289.9131161793073</v>
      </c>
      <c r="X165" s="55">
        <f>(X156*N156+X164*N164)/(N156+N164)</f>
        <v>0</v>
      </c>
      <c r="Y165" s="55">
        <f>(Y156*N156+Y164*N164)/(N156+N164)</f>
        <v>300.20101355741713</v>
      </c>
      <c r="Z165" s="55">
        <f>(Z156*N156+Z164*N164)/(N156+N164)</f>
        <v>0</v>
      </c>
      <c r="AA165" s="55">
        <f>(AA156*N156+AA164*N164)/(N156+N164)</f>
        <v>0</v>
      </c>
      <c r="AB165" s="55">
        <f>(AB156*N156+AB164*N164)/(N156+N164)</f>
        <v>0</v>
      </c>
      <c r="AC165" s="55">
        <f>(AC156*N156+AC164*N164)/(N156+N164)</f>
        <v>300.20101355741713</v>
      </c>
      <c r="AD165" s="55">
        <f>(AD156*N156+AD164*N164)/(N156+N164)</f>
        <v>201.28712909634876</v>
      </c>
      <c r="AE165" s="55">
        <f>(AE156*N156+AE164*N164)/(N156+N164)</f>
        <v>-11.927837405433955</v>
      </c>
      <c r="AF165" s="55">
        <f>(AF156*N156+AF164*N164)/(N156+N164)</f>
        <v>28.546561679653689</v>
      </c>
      <c r="AG165" s="55">
        <f>(AG156*N156+AG164*N164)/(N156+N164)</f>
        <v>61.630650281744508</v>
      </c>
      <c r="AH165" s="55">
        <f>(AH156*N156+AH164*N164)/(N156+N164)</f>
        <v>0</v>
      </c>
      <c r="AI165" s="55">
        <f>(AI156*N156+AI164*N164)/(N156+N164)</f>
        <v>101.46076874999999</v>
      </c>
      <c r="AJ165" s="55">
        <f>(AJ156*N156+AJ164*N164)/(N156+N164)</f>
        <v>0</v>
      </c>
      <c r="AK165" s="55">
        <f>(AK156*N156+AK164*N164)/(N156+N164)</f>
        <v>2.2195207403845085</v>
      </c>
      <c r="AL165" s="55">
        <f>(AL156*N156+AL164*N164)/(N156+N164)</f>
        <v>0</v>
      </c>
      <c r="AM165" s="55">
        <f>(AM156*N156+AM164*N164)/(N156+N164)</f>
        <v>19.357465050000005</v>
      </c>
      <c r="AN165" s="55">
        <f>(AN156*N156+AN164*N164)/(N156+N164)</f>
        <v>0.67050782644293139</v>
      </c>
      <c r="AO165" s="55">
        <f>(AO156*N156+AO164*N164)/(N156+N164)</f>
        <v>98.913884461068349</v>
      </c>
      <c r="AP165" s="55">
        <f>(AP156*N156+AP164*N164)/(N156+N164)</f>
        <v>0</v>
      </c>
      <c r="AQ165" s="55">
        <f>(AQ156*N156+AQ164*N164)/(N156+N164)</f>
        <v>0</v>
      </c>
      <c r="AR165" s="55">
        <f>(AR156*N156+AR164*N164)/(N156+N164)</f>
        <v>0</v>
      </c>
      <c r="AS165" s="55">
        <f>(AS156*N156+AS164*N164)/(N156+N164)</f>
        <v>0</v>
      </c>
      <c r="AT165" s="55">
        <f>(AT156*N156+AT164*N164)/(N156+N164)</f>
        <v>0</v>
      </c>
      <c r="AU165" s="55">
        <f>(AU156*N156+AU164*N164)/(N156+N164)</f>
        <v>509.6465254264142</v>
      </c>
      <c r="AV165" s="55">
        <f>(AV156*N156+AV164*N164)/(N156+N164)</f>
        <v>110.02633232818171</v>
      </c>
      <c r="AW165" s="55">
        <f>(AW156*N156+AW164*N164)/(N156+N164)</f>
        <v>110.02633232818171</v>
      </c>
      <c r="AX165" s="55">
        <f>(AX156*N156+AX164*N164)/(N156+N164)</f>
        <v>0</v>
      </c>
      <c r="AY165" s="55">
        <f>(AY156*N156+AY164*N164)/(N156+N164)</f>
        <v>0</v>
      </c>
      <c r="AZ165" s="55">
        <f>(AZ156*N156+AZ164*N164)/(N156+N164)</f>
        <v>347.79065828914173</v>
      </c>
      <c r="BA165" s="55">
        <f>(BA156*N156+BA164*N164)/(N156+N164)</f>
        <v>76.930878417473096</v>
      </c>
      <c r="BB165" s="55">
        <f>(BB156*N156+BB164*N164)/(N156+N164)</f>
        <v>112.85824161319526</v>
      </c>
      <c r="BC165" s="55">
        <f>(BC156*N156+BC164*N164)/(N156+N164)</f>
        <v>158.00153825847337</v>
      </c>
      <c r="BD165" s="55">
        <f>(BD156*N156+BD164*N164)/(N156+N164)</f>
        <v>0</v>
      </c>
      <c r="BE165" s="55">
        <f>(BE156*N156+BE164*N164)/(N156+N164)</f>
        <v>51.829534809090752</v>
      </c>
      <c r="BF165" s="55">
        <f>(BF156*N156+BF164*N164)/(N156+N164)</f>
        <v>17.669183684093131</v>
      </c>
      <c r="BG165" s="55">
        <f>(BG156*N156+BG164*N164)/(N156+N164)</f>
        <v>1.4723613094253225</v>
      </c>
      <c r="BH165" s="55">
        <f>(BH156*N156+BH164*N164)/(N156+N164)</f>
        <v>32.687989815572294</v>
      </c>
      <c r="BI165" s="55">
        <f>(BI156*N156+BI164*N164)/(N156+N164)</f>
        <v>0</v>
      </c>
      <c r="BJ165" s="55">
        <f>(BJ156*N156+BJ164*N164)/(N156+N164)</f>
        <v>509.6465254264142</v>
      </c>
      <c r="BK165" s="55">
        <f>(BK156*N156+BK164*N164)/(N156+N164)</f>
        <v>710.93365452276294</v>
      </c>
      <c r="BL165" s="55">
        <f>(BL156*N156+BL164*N164)/(N156+N164)</f>
        <v>2.0344123216910313</v>
      </c>
      <c r="BM165" s="55">
        <f>(BM156*N156+BM164*N164)/(N156+N164)</f>
        <v>6.1752334879676534</v>
      </c>
    </row>
    <row r="166" spans="1:65" x14ac:dyDescent="0.35">
      <c r="A166" s="15" t="s">
        <v>10625</v>
      </c>
      <c r="B166" s="15" t="s">
        <v>10599</v>
      </c>
      <c r="C166" s="15" t="s">
        <v>10601</v>
      </c>
      <c r="D166" s="15" t="s">
        <v>10321</v>
      </c>
      <c r="E166" s="15" t="s">
        <v>10773</v>
      </c>
      <c r="F166" s="15">
        <v>54624</v>
      </c>
      <c r="G166" s="15">
        <v>0.8971242506680791</v>
      </c>
      <c r="H166" s="15">
        <v>200</v>
      </c>
      <c r="I166" s="78">
        <v>158.56995212485788</v>
      </c>
      <c r="J166" s="79">
        <v>3.2392605331886704</v>
      </c>
      <c r="K166" s="15">
        <v>30</v>
      </c>
      <c r="L166" s="15">
        <v>56.817202649735464</v>
      </c>
      <c r="M166" s="15">
        <v>13.910877002074477</v>
      </c>
      <c r="N166" s="15">
        <v>19.160834130386576</v>
      </c>
      <c r="O166" s="15">
        <v>3.1964007692140224</v>
      </c>
      <c r="P166" s="15">
        <v>7.4189073179870393</v>
      </c>
      <c r="Q166" s="15">
        <v>8.5455260431855091</v>
      </c>
      <c r="R166" s="15">
        <v>1.9031498500006458</v>
      </c>
      <c r="S166" s="15">
        <v>3.2020484250739529</v>
      </c>
      <c r="T166" s="15">
        <v>3.4403277681109103</v>
      </c>
      <c r="U166" s="15">
        <v>0</v>
      </c>
      <c r="V166" s="15">
        <v>2326.8073891239719</v>
      </c>
      <c r="W166" s="15">
        <v>0</v>
      </c>
      <c r="X166" s="15">
        <v>0</v>
      </c>
      <c r="Y166" s="15">
        <v>300.20101355741713</v>
      </c>
      <c r="Z166" s="15">
        <v>0</v>
      </c>
      <c r="AA166" s="15">
        <v>0</v>
      </c>
      <c r="AB166" s="15">
        <v>0</v>
      </c>
      <c r="AC166" s="15">
        <v>300.20101355741713</v>
      </c>
      <c r="AD166" s="15">
        <v>141.63106143255925</v>
      </c>
      <c r="AE166" s="15">
        <v>10.497023283962296</v>
      </c>
      <c r="AF166" s="15">
        <v>0</v>
      </c>
      <c r="AG166" s="15">
        <v>0</v>
      </c>
      <c r="AH166" s="15">
        <v>29.673269398596965</v>
      </c>
      <c r="AI166" s="15">
        <v>101.46076874999999</v>
      </c>
      <c r="AJ166" s="15">
        <v>0</v>
      </c>
      <c r="AK166" s="15">
        <v>0</v>
      </c>
      <c r="AL166" s="15">
        <v>0</v>
      </c>
      <c r="AM166" s="15">
        <v>0</v>
      </c>
      <c r="AN166" s="15">
        <v>0.47178741921692602</v>
      </c>
      <c r="AO166" s="15">
        <v>158.56995212485788</v>
      </c>
      <c r="AP166" s="15">
        <v>40.170292682559264</v>
      </c>
      <c r="AQ166" s="15">
        <v>10.497023283962296</v>
      </c>
      <c r="AR166" s="15">
        <v>0</v>
      </c>
      <c r="AS166" s="15">
        <v>0</v>
      </c>
      <c r="AT166" s="15">
        <v>29.673269398596965</v>
      </c>
      <c r="AU166" s="15">
        <v>432.04904710996777</v>
      </c>
      <c r="AV166" s="15">
        <v>61.280875000000002</v>
      </c>
      <c r="AW166" s="15">
        <v>61.280875000000002</v>
      </c>
      <c r="AX166" s="15">
        <v>0</v>
      </c>
      <c r="AY166" s="15">
        <v>0</v>
      </c>
      <c r="AZ166" s="15">
        <v>332.24143307587519</v>
      </c>
      <c r="BA166" s="15">
        <v>76.930878417473096</v>
      </c>
      <c r="BB166" s="15">
        <v>106.37939777433422</v>
      </c>
      <c r="BC166" s="15">
        <v>148.93115688406792</v>
      </c>
      <c r="BD166" s="15">
        <v>0</v>
      </c>
      <c r="BE166" s="15">
        <v>38.526739034092572</v>
      </c>
      <c r="BF166" s="15">
        <v>13.001536043742895</v>
      </c>
      <c r="BG166" s="15">
        <v>1.4723613094253225</v>
      </c>
      <c r="BH166" s="15">
        <v>24.052841680924352</v>
      </c>
      <c r="BI166" s="15">
        <v>0</v>
      </c>
      <c r="BJ166" s="15">
        <v>472.21933979252702</v>
      </c>
      <c r="BK166" s="15">
        <v>613.85040122508622</v>
      </c>
      <c r="BL166" s="15">
        <v>1.711018166064344</v>
      </c>
      <c r="BM166" s="15">
        <v>3.2392605331886704</v>
      </c>
    </row>
    <row r="167" spans="1:65" x14ac:dyDescent="0.35">
      <c r="A167" s="15" t="s">
        <v>10625</v>
      </c>
      <c r="B167" s="15" t="s">
        <v>10599</v>
      </c>
      <c r="C167" s="15" t="s">
        <v>10601</v>
      </c>
      <c r="D167" s="15" t="s">
        <v>10322</v>
      </c>
      <c r="E167" s="15" t="s">
        <v>10774</v>
      </c>
      <c r="F167" s="15">
        <v>54624</v>
      </c>
      <c r="G167" s="15">
        <v>0.8971242506680791</v>
      </c>
      <c r="H167" s="15">
        <v>200</v>
      </c>
      <c r="I167" s="80">
        <v>536.99235835924685</v>
      </c>
      <c r="J167" s="81">
        <v>0.27909913109679807</v>
      </c>
      <c r="K167" s="15">
        <v>30</v>
      </c>
      <c r="L167" s="15">
        <v>56.817202649735464</v>
      </c>
      <c r="M167" s="15">
        <v>13.910877002074477</v>
      </c>
      <c r="N167" s="15">
        <v>19.160834130386576</v>
      </c>
      <c r="O167" s="15">
        <v>3.1964007692140224</v>
      </c>
      <c r="P167" s="15">
        <v>7.4189073179870393</v>
      </c>
      <c r="Q167" s="15">
        <v>8.5455260431855091</v>
      </c>
      <c r="R167" s="15">
        <v>1.9031498500006458</v>
      </c>
      <c r="S167" s="15">
        <v>3.2020484250739529</v>
      </c>
      <c r="T167" s="15">
        <v>3.4403277681109103</v>
      </c>
      <c r="U167" s="15">
        <v>0</v>
      </c>
      <c r="V167" s="15">
        <v>0</v>
      </c>
      <c r="W167" s="15">
        <v>581.70184728099298</v>
      </c>
      <c r="X167" s="15">
        <v>0</v>
      </c>
      <c r="Y167" s="15">
        <v>300.20101355741713</v>
      </c>
      <c r="Z167" s="15">
        <v>0</v>
      </c>
      <c r="AA167" s="15">
        <v>0</v>
      </c>
      <c r="AB167" s="15">
        <v>0</v>
      </c>
      <c r="AC167" s="15">
        <v>300.20101355741713</v>
      </c>
      <c r="AD167" s="15">
        <v>-236.79134480182972</v>
      </c>
      <c r="AE167" s="15">
        <v>-11.927837405433953</v>
      </c>
      <c r="AF167" s="15">
        <v>31.650736975070686</v>
      </c>
      <c r="AG167" s="15">
        <v>-364.23619897806196</v>
      </c>
      <c r="AH167" s="15">
        <v>0</v>
      </c>
      <c r="AI167" s="15">
        <v>101.46076874999999</v>
      </c>
      <c r="AJ167" s="15">
        <v>0</v>
      </c>
      <c r="AK167" s="15">
        <v>6.2611858565955396</v>
      </c>
      <c r="AL167" s="15">
        <v>0</v>
      </c>
      <c r="AM167" s="15">
        <v>0</v>
      </c>
      <c r="AN167" s="15">
        <v>-0.78877596712890674</v>
      </c>
      <c r="AO167" s="15">
        <v>536.99235835924685</v>
      </c>
      <c r="AP167" s="15">
        <v>0</v>
      </c>
      <c r="AQ167" s="15">
        <v>0</v>
      </c>
      <c r="AR167" s="15">
        <v>0</v>
      </c>
      <c r="AS167" s="15">
        <v>0</v>
      </c>
      <c r="AT167" s="15">
        <v>0</v>
      </c>
      <c r="AU167" s="15">
        <v>486.86645898293307</v>
      </c>
      <c r="AV167" s="15">
        <v>61.280875000000002</v>
      </c>
      <c r="AW167" s="15">
        <v>61.280875000000002</v>
      </c>
      <c r="AX167" s="15">
        <v>0</v>
      </c>
      <c r="AY167" s="15">
        <v>0</v>
      </c>
      <c r="AZ167" s="15">
        <v>332.24143307587519</v>
      </c>
      <c r="BA167" s="15">
        <v>76.930878417473096</v>
      </c>
      <c r="BB167" s="15">
        <v>106.37939777433422</v>
      </c>
      <c r="BC167" s="15">
        <v>148.93115688406792</v>
      </c>
      <c r="BD167" s="15">
        <v>0</v>
      </c>
      <c r="BE167" s="15">
        <v>93.344150907057866</v>
      </c>
      <c r="BF167" s="15">
        <v>32.235715648292121</v>
      </c>
      <c r="BG167" s="15">
        <v>1.4723613094253225</v>
      </c>
      <c r="BH167" s="15">
        <v>59.636073949340421</v>
      </c>
      <c r="BI167" s="15">
        <v>0</v>
      </c>
      <c r="BJ167" s="15">
        <v>486.86645898293307</v>
      </c>
      <c r="BK167" s="15">
        <v>250.07511418110334</v>
      </c>
      <c r="BL167" s="15">
        <v>0.49924581815251251</v>
      </c>
      <c r="BM167" s="15">
        <v>0.27909913109679807</v>
      </c>
    </row>
    <row r="168" spans="1:65" x14ac:dyDescent="0.35">
      <c r="A168" s="15" t="s">
        <v>10625</v>
      </c>
      <c r="B168" s="15" t="s">
        <v>10599</v>
      </c>
      <c r="C168" s="15" t="s">
        <v>10601</v>
      </c>
      <c r="D168" s="15" t="s">
        <v>10323</v>
      </c>
      <c r="E168" s="15" t="s">
        <v>10775</v>
      </c>
      <c r="F168" s="15">
        <v>54624</v>
      </c>
      <c r="G168" s="15">
        <v>0.8971242506680791</v>
      </c>
      <c r="H168" s="15">
        <v>200</v>
      </c>
      <c r="I168" s="78">
        <v>191.47499493439835</v>
      </c>
      <c r="J168" s="79">
        <v>2.3397208385700599</v>
      </c>
      <c r="K168" s="15">
        <v>30</v>
      </c>
      <c r="L168" s="15">
        <v>56.817202649735464</v>
      </c>
      <c r="M168" s="15">
        <v>13.910877002074477</v>
      </c>
      <c r="N168" s="15">
        <v>19.160834130386576</v>
      </c>
      <c r="O168" s="15">
        <v>3.1964007692140224</v>
      </c>
      <c r="P168" s="15">
        <v>7.4189073179870393</v>
      </c>
      <c r="Q168" s="15">
        <v>8.5455260431855091</v>
      </c>
      <c r="R168" s="15">
        <v>1.9031498500006458</v>
      </c>
      <c r="S168" s="15">
        <v>3.2020484250739529</v>
      </c>
      <c r="T168" s="15">
        <v>3.4403277681109103</v>
      </c>
      <c r="U168" s="15">
        <v>0</v>
      </c>
      <c r="V168" s="15">
        <v>0</v>
      </c>
      <c r="W168" s="15">
        <v>0</v>
      </c>
      <c r="X168" s="15">
        <v>581701.84728099301</v>
      </c>
      <c r="Y168" s="15">
        <v>300.20101355741713</v>
      </c>
      <c r="Z168" s="15">
        <v>0</v>
      </c>
      <c r="AA168" s="15">
        <v>0</v>
      </c>
      <c r="AB168" s="15">
        <v>0</v>
      </c>
      <c r="AC168" s="15">
        <v>300.20101355741713</v>
      </c>
      <c r="AD168" s="15">
        <v>108.72601862301877</v>
      </c>
      <c r="AE168" s="15">
        <v>-11.927837405433953</v>
      </c>
      <c r="AF168" s="15">
        <v>0</v>
      </c>
      <c r="AG168" s="15">
        <v>0</v>
      </c>
      <c r="AH168" s="15">
        <v>0</v>
      </c>
      <c r="AI168" s="15">
        <v>101.46076874999999</v>
      </c>
      <c r="AJ168" s="15">
        <v>0</v>
      </c>
      <c r="AK168" s="15">
        <v>19.193087278452683</v>
      </c>
      <c r="AL168" s="15">
        <v>0</v>
      </c>
      <c r="AM168" s="15">
        <v>0</v>
      </c>
      <c r="AN168" s="15">
        <v>0.36217738686023321</v>
      </c>
      <c r="AO168" s="15">
        <v>191.47499493439835</v>
      </c>
      <c r="AP168" s="15">
        <v>0</v>
      </c>
      <c r="AQ168" s="15">
        <v>0</v>
      </c>
      <c r="AR168" s="15">
        <v>0</v>
      </c>
      <c r="AS168" s="15">
        <v>0</v>
      </c>
      <c r="AT168" s="15">
        <v>0</v>
      </c>
      <c r="AU168" s="15">
        <v>439.47303064750679</v>
      </c>
      <c r="AV168" s="15">
        <v>61.280875000000002</v>
      </c>
      <c r="AW168" s="15">
        <v>61.280875000000002</v>
      </c>
      <c r="AX168" s="15">
        <v>0</v>
      </c>
      <c r="AY168" s="15">
        <v>0</v>
      </c>
      <c r="AZ168" s="15">
        <v>332.24143307587519</v>
      </c>
      <c r="BA168" s="15">
        <v>76.930878417473096</v>
      </c>
      <c r="BB168" s="15">
        <v>106.37939777433422</v>
      </c>
      <c r="BC168" s="15">
        <v>148.93115688406792</v>
      </c>
      <c r="BD168" s="15">
        <v>0</v>
      </c>
      <c r="BE168" s="15">
        <v>45.950722571631587</v>
      </c>
      <c r="BF168" s="15">
        <v>15.606442548142551</v>
      </c>
      <c r="BG168" s="15">
        <v>1.4723613094253225</v>
      </c>
      <c r="BH168" s="15">
        <v>28.871918714063717</v>
      </c>
      <c r="BI168" s="15">
        <v>0</v>
      </c>
      <c r="BJ168" s="15">
        <v>439.47303064750679</v>
      </c>
      <c r="BK168" s="15">
        <v>548.19904927052562</v>
      </c>
      <c r="BL168" s="15">
        <v>1.4923268592743222</v>
      </c>
      <c r="BM168" s="15">
        <v>2.3397208385700599</v>
      </c>
    </row>
    <row r="169" spans="1:65" x14ac:dyDescent="0.35">
      <c r="A169" s="15" t="s">
        <v>10625</v>
      </c>
      <c r="B169" s="15" t="s">
        <v>10599</v>
      </c>
      <c r="C169" s="15" t="s">
        <v>10601</v>
      </c>
      <c r="D169" s="15" t="s">
        <v>10324</v>
      </c>
      <c r="E169" s="15" t="s">
        <v>10776</v>
      </c>
      <c r="F169" s="15">
        <v>54624</v>
      </c>
      <c r="G169" s="15">
        <v>0.8971242506680791</v>
      </c>
      <c r="H169" s="15">
        <v>200</v>
      </c>
      <c r="I169" s="78">
        <v>179.13909951045326</v>
      </c>
      <c r="J169" s="79">
        <v>2.5633344125572037</v>
      </c>
      <c r="K169" s="15">
        <v>30</v>
      </c>
      <c r="L169" s="15">
        <v>57.242852076972326</v>
      </c>
      <c r="M169" s="15">
        <v>14.038704561233454</v>
      </c>
      <c r="N169" s="15">
        <v>19.160834130386576</v>
      </c>
      <c r="O169" s="15">
        <v>2.3174070838996044</v>
      </c>
      <c r="P169" s="15">
        <v>7.7328336341707598</v>
      </c>
      <c r="Q169" s="15">
        <v>9.1105934123162058</v>
      </c>
      <c r="R169" s="15">
        <v>1.9031498500006458</v>
      </c>
      <c r="S169" s="15">
        <v>3.76711579420465</v>
      </c>
      <c r="T169" s="15">
        <v>3.4403277681109103</v>
      </c>
      <c r="U169" s="15">
        <v>0</v>
      </c>
      <c r="V169" s="15">
        <v>0</v>
      </c>
      <c r="W169" s="15">
        <v>0</v>
      </c>
      <c r="X169" s="15">
        <v>0</v>
      </c>
      <c r="Y169" s="15">
        <v>267.60417534542665</v>
      </c>
      <c r="Z169" s="15">
        <v>0</v>
      </c>
      <c r="AA169" s="15">
        <v>0</v>
      </c>
      <c r="AB169" s="15">
        <v>0</v>
      </c>
      <c r="AC169" s="15">
        <v>267.60417534542665</v>
      </c>
      <c r="AD169" s="15">
        <v>88.465075834973391</v>
      </c>
      <c r="AE169" s="15">
        <v>-12.995692915026597</v>
      </c>
      <c r="AF169" s="15">
        <v>0</v>
      </c>
      <c r="AG169" s="15">
        <v>0</v>
      </c>
      <c r="AH169" s="15">
        <v>0</v>
      </c>
      <c r="AI169" s="15">
        <v>101.46076874999999</v>
      </c>
      <c r="AJ169" s="15">
        <v>0</v>
      </c>
      <c r="AK169" s="15">
        <v>0</v>
      </c>
      <c r="AL169" s="15">
        <v>0</v>
      </c>
      <c r="AM169" s="15">
        <v>0</v>
      </c>
      <c r="AN169" s="15">
        <v>0.33058182190461571</v>
      </c>
      <c r="AO169" s="15">
        <v>179.13909951045326</v>
      </c>
      <c r="AP169" s="15">
        <v>0</v>
      </c>
      <c r="AQ169" s="15">
        <v>0</v>
      </c>
      <c r="AR169" s="15">
        <v>0</v>
      </c>
      <c r="AS169" s="15">
        <v>0</v>
      </c>
      <c r="AT169" s="15">
        <v>0</v>
      </c>
      <c r="AU169" s="15">
        <v>438.33251792010742</v>
      </c>
      <c r="AV169" s="15">
        <v>59.642500000000005</v>
      </c>
      <c r="AW169" s="15">
        <v>59.642500000000005</v>
      </c>
      <c r="AX169" s="15">
        <v>0</v>
      </c>
      <c r="AY169" s="15">
        <v>0</v>
      </c>
      <c r="AZ169" s="15">
        <v>337.23217538356755</v>
      </c>
      <c r="BA169" s="15">
        <v>76.930878417473096</v>
      </c>
      <c r="BB169" s="15">
        <v>108.45887373587269</v>
      </c>
      <c r="BC169" s="15">
        <v>151.84242323022175</v>
      </c>
      <c r="BD169" s="15">
        <v>0</v>
      </c>
      <c r="BE169" s="15">
        <v>41.457842536539914</v>
      </c>
      <c r="BF169" s="15">
        <v>14.029993413022664</v>
      </c>
      <c r="BG169" s="15">
        <v>1.4723613094253225</v>
      </c>
      <c r="BH169" s="15">
        <v>25.955487814091928</v>
      </c>
      <c r="BI169" s="15">
        <v>0</v>
      </c>
      <c r="BJ169" s="15">
        <v>438.33251792010742</v>
      </c>
      <c r="BK169" s="15">
        <v>526.79759375508081</v>
      </c>
      <c r="BL169" s="15">
        <v>1.7159426523032453</v>
      </c>
      <c r="BM169" s="15">
        <v>2.5633344125572037</v>
      </c>
    </row>
    <row r="170" spans="1:65" x14ac:dyDescent="0.35">
      <c r="A170" s="15" t="s">
        <v>10625</v>
      </c>
      <c r="B170" s="15" t="s">
        <v>10599</v>
      </c>
      <c r="C170" s="15" t="s">
        <v>10601</v>
      </c>
      <c r="D170" s="15" t="s">
        <v>10325</v>
      </c>
      <c r="E170" s="15" t="s">
        <v>10777</v>
      </c>
      <c r="F170" s="15">
        <v>54624</v>
      </c>
      <c r="G170" s="15">
        <v>0.8971242506680791</v>
      </c>
      <c r="H170" s="15">
        <v>200</v>
      </c>
      <c r="I170" s="78">
        <v>241.79690753955828</v>
      </c>
      <c r="J170" s="79">
        <v>1.5415325931000508</v>
      </c>
      <c r="K170" s="15">
        <v>30</v>
      </c>
      <c r="L170" s="15">
        <v>53.925848185975468</v>
      </c>
      <c r="M170" s="15">
        <v>12.92049449810685</v>
      </c>
      <c r="N170" s="15">
        <v>19.160834130386576</v>
      </c>
      <c r="O170" s="15">
        <v>3.9188216984319895</v>
      </c>
      <c r="P170" s="15">
        <v>6.7028429954918289</v>
      </c>
      <c r="Q170" s="15">
        <v>8.5391694364627533</v>
      </c>
      <c r="R170" s="15">
        <v>1.9031498500006458</v>
      </c>
      <c r="S170" s="15">
        <v>0</v>
      </c>
      <c r="T170" s="15">
        <v>6.6360195864621057</v>
      </c>
      <c r="U170" s="15">
        <v>0</v>
      </c>
      <c r="V170" s="15">
        <v>0</v>
      </c>
      <c r="W170" s="15">
        <v>0</v>
      </c>
      <c r="X170" s="15">
        <v>0</v>
      </c>
      <c r="Y170" s="15">
        <v>331.05565178408585</v>
      </c>
      <c r="Z170" s="15">
        <v>0</v>
      </c>
      <c r="AA170" s="15">
        <v>0</v>
      </c>
      <c r="AB170" s="15">
        <v>0</v>
      </c>
      <c r="AC170" s="15">
        <v>331.05565178408585</v>
      </c>
      <c r="AD170" s="15">
        <v>89.258744244527577</v>
      </c>
      <c r="AE170" s="15">
        <v>-12.202024505472426</v>
      </c>
      <c r="AF170" s="15">
        <v>0</v>
      </c>
      <c r="AG170" s="15">
        <v>0</v>
      </c>
      <c r="AH170" s="15">
        <v>0</v>
      </c>
      <c r="AI170" s="15">
        <v>101.46076874999999</v>
      </c>
      <c r="AJ170" s="15">
        <v>0</v>
      </c>
      <c r="AK170" s="15">
        <v>0</v>
      </c>
      <c r="AL170" s="15">
        <v>0</v>
      </c>
      <c r="AM170" s="15">
        <v>0</v>
      </c>
      <c r="AN170" s="15">
        <v>0.2696185483120585</v>
      </c>
      <c r="AO170" s="15">
        <v>241.79690753955828</v>
      </c>
      <c r="AP170" s="15">
        <v>0</v>
      </c>
      <c r="AQ170" s="15">
        <v>0</v>
      </c>
      <c r="AR170" s="15">
        <v>0</v>
      </c>
      <c r="AS170" s="15">
        <v>0</v>
      </c>
      <c r="AT170" s="15">
        <v>0</v>
      </c>
      <c r="AU170" s="15">
        <v>414.53472142258681</v>
      </c>
      <c r="AV170" s="15">
        <v>65.018000000000001</v>
      </c>
      <c r="AW170" s="15">
        <v>65.018000000000001</v>
      </c>
      <c r="AX170" s="15">
        <v>0</v>
      </c>
      <c r="AY170" s="15">
        <v>0</v>
      </c>
      <c r="AZ170" s="15">
        <v>299.13014124189942</v>
      </c>
      <c r="BA170" s="15">
        <v>76.930878417473096</v>
      </c>
      <c r="BB170" s="15">
        <v>92.583026176844314</v>
      </c>
      <c r="BC170" s="15">
        <v>129.61623664758204</v>
      </c>
      <c r="BD170" s="15">
        <v>0</v>
      </c>
      <c r="BE170" s="15">
        <v>50.386580180687375</v>
      </c>
      <c r="BF170" s="15">
        <v>17.162883814477915</v>
      </c>
      <c r="BG170" s="15">
        <v>1.4723613094253225</v>
      </c>
      <c r="BH170" s="15">
        <v>31.751335056784139</v>
      </c>
      <c r="BI170" s="15">
        <v>0</v>
      </c>
      <c r="BJ170" s="15">
        <v>414.53472142258681</v>
      </c>
      <c r="BK170" s="15">
        <v>503.79346566711439</v>
      </c>
      <c r="BL170" s="15">
        <v>1.1259068131726919</v>
      </c>
      <c r="BM170" s="15">
        <v>1.5415325931000508</v>
      </c>
    </row>
    <row r="171" spans="1:65" x14ac:dyDescent="0.35">
      <c r="A171" s="15" t="s">
        <v>10625</v>
      </c>
      <c r="B171" s="15" t="s">
        <v>10599</v>
      </c>
      <c r="C171" s="15" t="s">
        <v>10601</v>
      </c>
      <c r="D171" s="15" t="s">
        <v>10326</v>
      </c>
      <c r="E171" s="15" t="s">
        <v>10778</v>
      </c>
      <c r="F171" s="15">
        <v>54624</v>
      </c>
      <c r="G171" s="15">
        <v>0.8971242506680791</v>
      </c>
      <c r="H171" s="15">
        <v>200</v>
      </c>
      <c r="I171" s="78">
        <v>36.541045094121117</v>
      </c>
      <c r="J171" s="79">
        <v>28.19449862691706</v>
      </c>
      <c r="K171" s="15">
        <v>30</v>
      </c>
      <c r="L171" s="15">
        <v>53.925848185975468</v>
      </c>
      <c r="M171" s="15">
        <v>12.623987534210842</v>
      </c>
      <c r="N171" s="15">
        <v>19.160834130386576</v>
      </c>
      <c r="O171" s="15">
        <v>14.002732864048587</v>
      </c>
      <c r="P171" s="15">
        <v>3.5265515216976491</v>
      </c>
      <c r="Q171" s="15">
        <v>1.6315497446403397</v>
      </c>
      <c r="R171" s="15">
        <v>1.6315497446403397</v>
      </c>
      <c r="S171" s="15">
        <v>0</v>
      </c>
      <c r="T171" s="15">
        <v>0</v>
      </c>
      <c r="U171" s="15">
        <v>12149.289285671164</v>
      </c>
      <c r="V171" s="15">
        <v>0</v>
      </c>
      <c r="W171" s="15">
        <v>0</v>
      </c>
      <c r="X171" s="15">
        <v>0</v>
      </c>
      <c r="Y171" s="15">
        <v>615.50815036505742</v>
      </c>
      <c r="Z171" s="15">
        <v>0</v>
      </c>
      <c r="AA171" s="15">
        <v>0</v>
      </c>
      <c r="AB171" s="15">
        <v>0</v>
      </c>
      <c r="AC171" s="15">
        <v>615.50815036505742</v>
      </c>
      <c r="AD171" s="15">
        <v>578.96710527093626</v>
      </c>
      <c r="AE171" s="15">
        <v>8.2591515964028464</v>
      </c>
      <c r="AF171" s="15">
        <v>0</v>
      </c>
      <c r="AG171" s="15">
        <v>0</v>
      </c>
      <c r="AH171" s="15">
        <v>447.70759544509099</v>
      </c>
      <c r="AI171" s="15">
        <v>123.00035822944248</v>
      </c>
      <c r="AJ171" s="15">
        <v>0</v>
      </c>
      <c r="AK171" s="15">
        <v>0</v>
      </c>
      <c r="AL171" s="15">
        <v>0</v>
      </c>
      <c r="AM171" s="15">
        <v>0</v>
      </c>
      <c r="AN171" s="15">
        <v>0.94063271936781223</v>
      </c>
      <c r="AO171" s="15">
        <v>36.541045094121117</v>
      </c>
      <c r="AP171" s="15">
        <v>455.96674704149382</v>
      </c>
      <c r="AQ171" s="15">
        <v>8.2591515964028464</v>
      </c>
      <c r="AR171" s="15">
        <v>0</v>
      </c>
      <c r="AS171" s="15">
        <v>0</v>
      </c>
      <c r="AT171" s="15">
        <v>447.70759544509099</v>
      </c>
      <c r="AU171" s="15">
        <v>410.83074378493944</v>
      </c>
      <c r="AV171" s="15">
        <v>81.594999999999985</v>
      </c>
      <c r="AW171" s="15">
        <v>81.594999999999985</v>
      </c>
      <c r="AX171" s="15">
        <v>0</v>
      </c>
      <c r="AY171" s="15">
        <v>0</v>
      </c>
      <c r="AZ171" s="15">
        <v>304.91796083505176</v>
      </c>
      <c r="BA171" s="15">
        <v>82.718698010625431</v>
      </c>
      <c r="BB171" s="15">
        <v>92.583026176844314</v>
      </c>
      <c r="BC171" s="15">
        <v>129.61623664758204</v>
      </c>
      <c r="BD171" s="15">
        <v>0</v>
      </c>
      <c r="BE171" s="15">
        <v>24.317782949887725</v>
      </c>
      <c r="BF171" s="15">
        <v>7.97707016617818</v>
      </c>
      <c r="BG171" s="15">
        <v>1.5831329762799129</v>
      </c>
      <c r="BH171" s="15">
        <v>14.757579807429632</v>
      </c>
      <c r="BI171" s="15">
        <v>0</v>
      </c>
      <c r="BJ171" s="15">
        <v>866.7974908264332</v>
      </c>
      <c r="BK171" s="15">
        <v>1445.7645960973696</v>
      </c>
      <c r="BL171" s="15">
        <v>1.6738307122680145</v>
      </c>
      <c r="BM171" s="15">
        <v>28.19449862691706</v>
      </c>
    </row>
    <row r="172" spans="1:65" x14ac:dyDescent="0.35">
      <c r="A172" s="15" t="s">
        <v>10625</v>
      </c>
      <c r="B172" s="15" t="s">
        <v>10599</v>
      </c>
      <c r="C172" s="15" t="s">
        <v>10601</v>
      </c>
      <c r="D172" s="15" t="s">
        <v>10327</v>
      </c>
      <c r="E172" s="15" t="s">
        <v>10779</v>
      </c>
      <c r="F172" s="15">
        <v>54624</v>
      </c>
      <c r="G172" s="15">
        <v>0.8971242506680791</v>
      </c>
      <c r="H172" s="15">
        <v>200</v>
      </c>
      <c r="I172" s="80">
        <v>1123.3398520423029</v>
      </c>
      <c r="J172" s="81">
        <v>0.16818035481358279</v>
      </c>
      <c r="K172" s="15">
        <v>30</v>
      </c>
      <c r="L172" s="15">
        <v>51.808069324343712</v>
      </c>
      <c r="M172" s="15">
        <v>20.454228266946131</v>
      </c>
      <c r="N172" s="15">
        <v>19.160834130386576</v>
      </c>
      <c r="O172" s="15">
        <v>14.002732864048587</v>
      </c>
      <c r="P172" s="15">
        <v>3.5265515216976491</v>
      </c>
      <c r="Q172" s="15">
        <v>1.6315497446403397</v>
      </c>
      <c r="R172" s="15">
        <v>1.6315497446403397</v>
      </c>
      <c r="S172" s="15">
        <v>0</v>
      </c>
      <c r="T172" s="15">
        <v>0</v>
      </c>
      <c r="U172" s="15">
        <v>12149.289285671164</v>
      </c>
      <c r="V172" s="15">
        <v>0</v>
      </c>
      <c r="W172" s="15">
        <v>0</v>
      </c>
      <c r="X172" s="15">
        <v>0</v>
      </c>
      <c r="Y172" s="15">
        <v>1506.2524094917983</v>
      </c>
      <c r="Z172" s="15">
        <v>0</v>
      </c>
      <c r="AA172" s="15">
        <v>0</v>
      </c>
      <c r="AB172" s="15">
        <v>0</v>
      </c>
      <c r="AC172" s="15">
        <v>1506.2524094917983</v>
      </c>
      <c r="AD172" s="15">
        <v>382.91255744949535</v>
      </c>
      <c r="AE172" s="15">
        <v>14.577003715070294</v>
      </c>
      <c r="AF172" s="15">
        <v>0</v>
      </c>
      <c r="AG172" s="15">
        <v>0</v>
      </c>
      <c r="AH172" s="15">
        <v>245.33519550498238</v>
      </c>
      <c r="AI172" s="15">
        <v>123.00035822944248</v>
      </c>
      <c r="AJ172" s="15">
        <v>0</v>
      </c>
      <c r="AK172" s="15">
        <v>0</v>
      </c>
      <c r="AL172" s="15">
        <v>0</v>
      </c>
      <c r="AM172" s="15">
        <v>0</v>
      </c>
      <c r="AN172" s="15">
        <v>0.25421539911673108</v>
      </c>
      <c r="AO172" s="15">
        <v>1123.3398520423029</v>
      </c>
      <c r="AP172" s="15">
        <v>259.91219922005268</v>
      </c>
      <c r="AQ172" s="15">
        <v>14.577003715070294</v>
      </c>
      <c r="AR172" s="15">
        <v>0</v>
      </c>
      <c r="AS172" s="15">
        <v>0</v>
      </c>
      <c r="AT172" s="15">
        <v>245.33519550498238</v>
      </c>
      <c r="AU172" s="15">
        <v>852.35134771496234</v>
      </c>
      <c r="AV172" s="15">
        <v>81.594999999999985</v>
      </c>
      <c r="AW172" s="15">
        <v>81.594999999999985</v>
      </c>
      <c r="AX172" s="15">
        <v>0</v>
      </c>
      <c r="AY172" s="15">
        <v>0</v>
      </c>
      <c r="AZ172" s="15">
        <v>591.56973477495865</v>
      </c>
      <c r="BA172" s="15">
        <v>82.718698010625431</v>
      </c>
      <c r="BB172" s="15">
        <v>212.02126531847219</v>
      </c>
      <c r="BC172" s="15">
        <v>296.82977144586101</v>
      </c>
      <c r="BD172" s="15">
        <v>0</v>
      </c>
      <c r="BE172" s="15">
        <v>179.18661294000364</v>
      </c>
      <c r="BF172" s="15">
        <v>62.317010513587277</v>
      </c>
      <c r="BG172" s="15">
        <v>1.5831329762799129</v>
      </c>
      <c r="BH172" s="15">
        <v>115.28646945013645</v>
      </c>
      <c r="BI172" s="15">
        <v>0</v>
      </c>
      <c r="BJ172" s="15">
        <v>1112.263546935015</v>
      </c>
      <c r="BK172" s="15">
        <v>1495.1761043845104</v>
      </c>
      <c r="BL172" s="15">
        <v>0.1254263187910544</v>
      </c>
      <c r="BM172" s="15">
        <v>0.16818035481358279</v>
      </c>
    </row>
    <row r="173" spans="1:65" s="60" customFormat="1" x14ac:dyDescent="0.35">
      <c r="A173" s="59" t="s">
        <v>10625</v>
      </c>
      <c r="B173" s="59" t="s">
        <v>10599</v>
      </c>
      <c r="C173" s="59" t="s">
        <v>10743</v>
      </c>
      <c r="D173" s="59" t="s">
        <v>10326</v>
      </c>
      <c r="E173" s="59" t="s">
        <v>10780</v>
      </c>
      <c r="F173" s="59">
        <v>54624</v>
      </c>
      <c r="G173" s="59">
        <v>0.8971242506680791</v>
      </c>
      <c r="H173" s="59">
        <v>200</v>
      </c>
      <c r="I173" s="59">
        <v>36.541045094121117</v>
      </c>
      <c r="J173" s="88">
        <v>28.19449862691706</v>
      </c>
      <c r="K173" s="59">
        <v>30</v>
      </c>
      <c r="L173" s="59">
        <v>53.925848185975468</v>
      </c>
      <c r="M173" s="59">
        <v>12.623987534210842</v>
      </c>
      <c r="N173" s="59">
        <v>19.160834130386576</v>
      </c>
      <c r="O173" s="59">
        <v>14.002732864048587</v>
      </c>
      <c r="P173" s="59">
        <v>3.5265515216976491</v>
      </c>
      <c r="Q173" s="59">
        <v>1.6315497446403397</v>
      </c>
      <c r="R173" s="59">
        <v>1.6315497446403397</v>
      </c>
      <c r="S173" s="59">
        <v>0</v>
      </c>
      <c r="T173" s="59">
        <v>0</v>
      </c>
      <c r="U173" s="59">
        <v>12149.289285671164</v>
      </c>
      <c r="V173" s="59">
        <v>0</v>
      </c>
      <c r="W173" s="59">
        <v>0</v>
      </c>
      <c r="X173" s="59">
        <v>0</v>
      </c>
      <c r="Y173" s="59">
        <v>615.50815036505742</v>
      </c>
      <c r="Z173" s="59">
        <v>0</v>
      </c>
      <c r="AA173" s="59">
        <v>0</v>
      </c>
      <c r="AB173" s="59">
        <v>0</v>
      </c>
      <c r="AC173" s="59">
        <v>615.50815036505742</v>
      </c>
      <c r="AD173" s="59">
        <v>578.96710527093626</v>
      </c>
      <c r="AE173" s="59">
        <v>8.2591515964028464</v>
      </c>
      <c r="AF173" s="59">
        <v>0</v>
      </c>
      <c r="AG173" s="59">
        <v>0</v>
      </c>
      <c r="AH173" s="59">
        <v>447.70759544509099</v>
      </c>
      <c r="AI173" s="59">
        <v>123.00035822944248</v>
      </c>
      <c r="AJ173" s="59">
        <v>0</v>
      </c>
      <c r="AK173" s="59">
        <v>0</v>
      </c>
      <c r="AL173" s="59">
        <v>0</v>
      </c>
      <c r="AM173" s="59">
        <v>0</v>
      </c>
      <c r="AN173" s="59">
        <v>0.94063271936781223</v>
      </c>
      <c r="AO173" s="59">
        <v>36.541045094121117</v>
      </c>
      <c r="AP173" s="59">
        <v>455.96674704149382</v>
      </c>
      <c r="AQ173" s="59">
        <v>8.2591515964028464</v>
      </c>
      <c r="AR173" s="59">
        <v>0</v>
      </c>
      <c r="AS173" s="59">
        <v>0</v>
      </c>
      <c r="AT173" s="59">
        <v>447.70759544509099</v>
      </c>
      <c r="AU173" s="59">
        <v>410.83074378493944</v>
      </c>
      <c r="AV173" s="59">
        <v>81.594999999999985</v>
      </c>
      <c r="AW173" s="59">
        <v>81.594999999999985</v>
      </c>
      <c r="AX173" s="59">
        <v>0</v>
      </c>
      <c r="AY173" s="59">
        <v>0</v>
      </c>
      <c r="AZ173" s="59">
        <v>304.91796083505176</v>
      </c>
      <c r="BA173" s="59">
        <v>82.718698010625431</v>
      </c>
      <c r="BB173" s="59">
        <v>92.583026176844314</v>
      </c>
      <c r="BC173" s="59">
        <v>129.61623664758204</v>
      </c>
      <c r="BD173" s="59">
        <v>0</v>
      </c>
      <c r="BE173" s="59">
        <v>24.317782949887725</v>
      </c>
      <c r="BF173" s="59">
        <v>7.97707016617818</v>
      </c>
      <c r="BG173" s="59">
        <v>1.5831329762799129</v>
      </c>
      <c r="BH173" s="59">
        <v>14.757579807429632</v>
      </c>
      <c r="BI173" s="59">
        <v>0</v>
      </c>
      <c r="BJ173" s="59">
        <v>866.7974908264332</v>
      </c>
      <c r="BK173" s="59">
        <v>1445.7645960973696</v>
      </c>
      <c r="BL173" s="59">
        <v>1.6738307122680145</v>
      </c>
      <c r="BM173" s="59">
        <v>28.19449862691706</v>
      </c>
    </row>
    <row r="174" spans="1:65" x14ac:dyDescent="0.35">
      <c r="A174" s="15" t="s">
        <v>10625</v>
      </c>
      <c r="B174" s="15" t="s">
        <v>10599</v>
      </c>
      <c r="C174" s="15" t="s">
        <v>10603</v>
      </c>
      <c r="D174" s="15" t="s">
        <v>10321</v>
      </c>
      <c r="E174" s="15" t="s">
        <v>10781</v>
      </c>
      <c r="F174" s="15">
        <v>66503</v>
      </c>
      <c r="G174" s="15">
        <v>0.89713386088875591</v>
      </c>
      <c r="H174" s="15">
        <v>200</v>
      </c>
      <c r="I174" s="78">
        <v>158.56995212485788</v>
      </c>
      <c r="J174" s="79">
        <v>2.9835069174541959</v>
      </c>
      <c r="K174" s="15">
        <v>30</v>
      </c>
      <c r="L174" s="15">
        <v>58.666285221705444</v>
      </c>
      <c r="M174" s="15">
        <v>14.330878979745401</v>
      </c>
      <c r="N174" s="15">
        <v>23.327962109902344</v>
      </c>
      <c r="O174" s="15">
        <v>4.3482038334941926</v>
      </c>
      <c r="P174" s="15">
        <v>9.0323828092857283</v>
      </c>
      <c r="Q174" s="15">
        <v>9.947375467122427</v>
      </c>
      <c r="R174" s="15">
        <v>1.8604049782647123</v>
      </c>
      <c r="S174" s="15">
        <v>3.8984348920247482</v>
      </c>
      <c r="T174" s="15">
        <v>4.1885355968329661</v>
      </c>
      <c r="U174" s="15">
        <v>0</v>
      </c>
      <c r="V174" s="15">
        <v>2832.8450755932572</v>
      </c>
      <c r="W174" s="15">
        <v>0</v>
      </c>
      <c r="X174" s="15">
        <v>0</v>
      </c>
      <c r="Y174" s="15">
        <v>300.20101355741713</v>
      </c>
      <c r="Z174" s="15">
        <v>0</v>
      </c>
      <c r="AA174" s="15">
        <v>0</v>
      </c>
      <c r="AB174" s="15">
        <v>0</v>
      </c>
      <c r="AC174" s="15">
        <v>300.20101355741713</v>
      </c>
      <c r="AD174" s="15">
        <v>141.63106143255925</v>
      </c>
      <c r="AE174" s="15">
        <v>10.497023283962294</v>
      </c>
      <c r="AF174" s="15">
        <v>0</v>
      </c>
      <c r="AG174" s="15">
        <v>0</v>
      </c>
      <c r="AH174" s="15">
        <v>29.673269398596965</v>
      </c>
      <c r="AI174" s="15">
        <v>101.46076874999999</v>
      </c>
      <c r="AJ174" s="15">
        <v>0</v>
      </c>
      <c r="AK174" s="15">
        <v>0</v>
      </c>
      <c r="AL174" s="15">
        <v>0</v>
      </c>
      <c r="AM174" s="15">
        <v>0</v>
      </c>
      <c r="AN174" s="15">
        <v>0.47178741921692602</v>
      </c>
      <c r="AO174" s="15">
        <v>158.56995212485788</v>
      </c>
      <c r="AP174" s="15">
        <v>40.170292682559257</v>
      </c>
      <c r="AQ174" s="15">
        <v>10.497023283962294</v>
      </c>
      <c r="AR174" s="15">
        <v>0</v>
      </c>
      <c r="AS174" s="15">
        <v>0</v>
      </c>
      <c r="AT174" s="15">
        <v>29.673269398596965</v>
      </c>
      <c r="AU174" s="15">
        <v>391.49420850719287</v>
      </c>
      <c r="AV174" s="15">
        <v>61.280875000000002</v>
      </c>
      <c r="AW174" s="15">
        <v>61.280875000000002</v>
      </c>
      <c r="AX174" s="15">
        <v>0</v>
      </c>
      <c r="AY174" s="15">
        <v>0</v>
      </c>
      <c r="AZ174" s="15">
        <v>291.68659447310034</v>
      </c>
      <c r="BA174" s="15">
        <v>76.930878417473096</v>
      </c>
      <c r="BB174" s="15">
        <v>89.481548356511354</v>
      </c>
      <c r="BC174" s="15">
        <v>125.27416769911589</v>
      </c>
      <c r="BD174" s="15">
        <v>0</v>
      </c>
      <c r="BE174" s="15">
        <v>38.526739034092572</v>
      </c>
      <c r="BF174" s="15">
        <v>13.001536043742895</v>
      </c>
      <c r="BG174" s="15">
        <v>1.4723613094253225</v>
      </c>
      <c r="BH174" s="15">
        <v>24.052841680924352</v>
      </c>
      <c r="BI174" s="15">
        <v>0</v>
      </c>
      <c r="BJ174" s="15">
        <v>431.66450118975212</v>
      </c>
      <c r="BK174" s="15">
        <v>573.29556262231131</v>
      </c>
      <c r="BL174" s="15">
        <v>1.5759258886526346</v>
      </c>
      <c r="BM174" s="15">
        <v>2.9835069174541959</v>
      </c>
    </row>
    <row r="175" spans="1:65" x14ac:dyDescent="0.35">
      <c r="A175" s="15" t="s">
        <v>10625</v>
      </c>
      <c r="B175" s="15" t="s">
        <v>10599</v>
      </c>
      <c r="C175" s="15" t="s">
        <v>10603</v>
      </c>
      <c r="D175" s="15" t="s">
        <v>10322</v>
      </c>
      <c r="E175" s="15" t="s">
        <v>10782</v>
      </c>
      <c r="F175" s="15">
        <v>66503</v>
      </c>
      <c r="G175" s="15">
        <v>0.89713386088875591</v>
      </c>
      <c r="H175" s="15">
        <v>200</v>
      </c>
      <c r="I175" s="80">
        <v>471.38729695588125</v>
      </c>
      <c r="J175" s="81">
        <v>0.35312433421398343</v>
      </c>
      <c r="K175" s="15">
        <v>30</v>
      </c>
      <c r="L175" s="15">
        <v>58.666285221705444</v>
      </c>
      <c r="M175" s="15">
        <v>14.330878979745401</v>
      </c>
      <c r="N175" s="15">
        <v>23.327962109902344</v>
      </c>
      <c r="O175" s="15">
        <v>4.3482038334941926</v>
      </c>
      <c r="P175" s="15">
        <v>9.0323828092857283</v>
      </c>
      <c r="Q175" s="15">
        <v>9.947375467122427</v>
      </c>
      <c r="R175" s="15">
        <v>1.8604049782647123</v>
      </c>
      <c r="S175" s="15">
        <v>3.8984348920247482</v>
      </c>
      <c r="T175" s="15">
        <v>4.1885355968329661</v>
      </c>
      <c r="U175" s="15">
        <v>0</v>
      </c>
      <c r="V175" s="15">
        <v>0</v>
      </c>
      <c r="W175" s="15">
        <v>708.2112688983143</v>
      </c>
      <c r="X175" s="15">
        <v>0</v>
      </c>
      <c r="Y175" s="15">
        <v>300.20101355741713</v>
      </c>
      <c r="Z175" s="15">
        <v>0</v>
      </c>
      <c r="AA175" s="15">
        <v>0</v>
      </c>
      <c r="AB175" s="15">
        <v>0</v>
      </c>
      <c r="AC175" s="15">
        <v>300.20101355741713</v>
      </c>
      <c r="AD175" s="15">
        <v>-171.18628339846413</v>
      </c>
      <c r="AE175" s="15">
        <v>-11.927837405433955</v>
      </c>
      <c r="AF175" s="15">
        <v>25.996892417207441</v>
      </c>
      <c r="AG175" s="15">
        <v>-299.17184193035968</v>
      </c>
      <c r="AH175" s="15">
        <v>0</v>
      </c>
      <c r="AI175" s="15">
        <v>101.46076874999999</v>
      </c>
      <c r="AJ175" s="15">
        <v>0</v>
      </c>
      <c r="AK175" s="15">
        <v>12.455734770122</v>
      </c>
      <c r="AL175" s="15">
        <v>0</v>
      </c>
      <c r="AM175" s="15">
        <v>0</v>
      </c>
      <c r="AN175" s="15">
        <v>-0.57023885885622649</v>
      </c>
      <c r="AO175" s="15">
        <v>471.38729695588125</v>
      </c>
      <c r="AP175" s="15">
        <v>0</v>
      </c>
      <c r="AQ175" s="15">
        <v>0</v>
      </c>
      <c r="AR175" s="15">
        <v>0</v>
      </c>
      <c r="AS175" s="15">
        <v>0</v>
      </c>
      <c r="AT175" s="15">
        <v>0</v>
      </c>
      <c r="AU175" s="15">
        <v>437.84562235035611</v>
      </c>
      <c r="AV175" s="15">
        <v>61.280875000000002</v>
      </c>
      <c r="AW175" s="15">
        <v>61.280875000000002</v>
      </c>
      <c r="AX175" s="15">
        <v>0</v>
      </c>
      <c r="AY175" s="15">
        <v>0</v>
      </c>
      <c r="AZ175" s="15">
        <v>291.68659447310034</v>
      </c>
      <c r="BA175" s="15">
        <v>76.930878417473096</v>
      </c>
      <c r="BB175" s="15">
        <v>89.481548356511354</v>
      </c>
      <c r="BC175" s="15">
        <v>125.27416769911589</v>
      </c>
      <c r="BD175" s="15">
        <v>0</v>
      </c>
      <c r="BE175" s="15">
        <v>84.878152877255786</v>
      </c>
      <c r="BF175" s="15">
        <v>29.265190023800166</v>
      </c>
      <c r="BG175" s="15">
        <v>1.4723613094253225</v>
      </c>
      <c r="BH175" s="15">
        <v>54.140601544030304</v>
      </c>
      <c r="BI175" s="15">
        <v>0</v>
      </c>
      <c r="BJ175" s="15">
        <v>437.84562235035611</v>
      </c>
      <c r="BK175" s="15">
        <v>266.65933895189198</v>
      </c>
      <c r="BL175" s="15">
        <v>0.55448955159053004</v>
      </c>
      <c r="BM175" s="15">
        <v>0.35312433421398343</v>
      </c>
    </row>
    <row r="176" spans="1:65" x14ac:dyDescent="0.35">
      <c r="A176" s="15" t="s">
        <v>10625</v>
      </c>
      <c r="B176" s="15" t="s">
        <v>10599</v>
      </c>
      <c r="C176" s="15" t="s">
        <v>10603</v>
      </c>
      <c r="D176" s="15" t="s">
        <v>10323</v>
      </c>
      <c r="E176" s="15" t="s">
        <v>10783</v>
      </c>
      <c r="F176" s="15">
        <v>66503</v>
      </c>
      <c r="G176" s="15">
        <v>0.89713386088875591</v>
      </c>
      <c r="H176" s="15">
        <v>200</v>
      </c>
      <c r="I176" s="78">
        <v>187.59050156663631</v>
      </c>
      <c r="J176" s="79">
        <v>2.1926893261809575</v>
      </c>
      <c r="K176" s="15">
        <v>30</v>
      </c>
      <c r="L176" s="15">
        <v>58.666285221705444</v>
      </c>
      <c r="M176" s="15">
        <v>14.330878979745401</v>
      </c>
      <c r="N176" s="15">
        <v>23.327962109902344</v>
      </c>
      <c r="O176" s="15">
        <v>4.3482038334941926</v>
      </c>
      <c r="P176" s="15">
        <v>9.0323828092857283</v>
      </c>
      <c r="Q176" s="15">
        <v>9.947375467122427</v>
      </c>
      <c r="R176" s="15">
        <v>1.8604049782647123</v>
      </c>
      <c r="S176" s="15">
        <v>3.8984348920247482</v>
      </c>
      <c r="T176" s="15">
        <v>4.1885355968329661</v>
      </c>
      <c r="U176" s="15">
        <v>0</v>
      </c>
      <c r="V176" s="15">
        <v>0</v>
      </c>
      <c r="W176" s="15">
        <v>0</v>
      </c>
      <c r="X176" s="15">
        <v>708211.26889831433</v>
      </c>
      <c r="Y176" s="15">
        <v>300.20101355741713</v>
      </c>
      <c r="Z176" s="15">
        <v>0</v>
      </c>
      <c r="AA176" s="15">
        <v>0</v>
      </c>
      <c r="AB176" s="15">
        <v>0</v>
      </c>
      <c r="AC176" s="15">
        <v>300.20101355741713</v>
      </c>
      <c r="AD176" s="15">
        <v>112.61051199078082</v>
      </c>
      <c r="AE176" s="15">
        <v>-11.927837405433955</v>
      </c>
      <c r="AF176" s="15">
        <v>0</v>
      </c>
      <c r="AG176" s="15">
        <v>0</v>
      </c>
      <c r="AH176" s="15">
        <v>0</v>
      </c>
      <c r="AI176" s="15">
        <v>101.46076874999999</v>
      </c>
      <c r="AJ176" s="15">
        <v>0</v>
      </c>
      <c r="AK176" s="15">
        <v>23.077580646214784</v>
      </c>
      <c r="AL176" s="15">
        <v>0</v>
      </c>
      <c r="AM176" s="15">
        <v>0</v>
      </c>
      <c r="AN176" s="15">
        <v>0.37511702794182167</v>
      </c>
      <c r="AO176" s="15">
        <v>187.59050156663631</v>
      </c>
      <c r="AP176" s="15">
        <v>0</v>
      </c>
      <c r="AQ176" s="15">
        <v>0</v>
      </c>
      <c r="AR176" s="15">
        <v>0</v>
      </c>
      <c r="AS176" s="15">
        <v>0</v>
      </c>
      <c r="AT176" s="15">
        <v>0</v>
      </c>
      <c r="AU176" s="15">
        <v>398.91819204473194</v>
      </c>
      <c r="AV176" s="15">
        <v>61.280875000000002</v>
      </c>
      <c r="AW176" s="15">
        <v>61.280875000000002</v>
      </c>
      <c r="AX176" s="15">
        <v>0</v>
      </c>
      <c r="AY176" s="15">
        <v>0</v>
      </c>
      <c r="AZ176" s="15">
        <v>291.68659447310034</v>
      </c>
      <c r="BA176" s="15">
        <v>76.930878417473096</v>
      </c>
      <c r="BB176" s="15">
        <v>89.481548356511354</v>
      </c>
      <c r="BC176" s="15">
        <v>125.27416769911589</v>
      </c>
      <c r="BD176" s="15">
        <v>0</v>
      </c>
      <c r="BE176" s="15">
        <v>45.950722571631601</v>
      </c>
      <c r="BF176" s="15">
        <v>15.606442548142553</v>
      </c>
      <c r="BG176" s="15">
        <v>1.4723613094253225</v>
      </c>
      <c r="BH176" s="15">
        <v>28.871918714063725</v>
      </c>
      <c r="BI176" s="15">
        <v>0</v>
      </c>
      <c r="BJ176" s="15">
        <v>398.91819204473194</v>
      </c>
      <c r="BK176" s="15">
        <v>511.52870403551276</v>
      </c>
      <c r="BL176" s="15">
        <v>1.3701742229442013</v>
      </c>
      <c r="BM176" s="15">
        <v>2.1926893261809575</v>
      </c>
    </row>
    <row r="177" spans="1:65" x14ac:dyDescent="0.35">
      <c r="A177" s="15" t="s">
        <v>10625</v>
      </c>
      <c r="B177" s="15" t="s">
        <v>10599</v>
      </c>
      <c r="C177" s="15" t="s">
        <v>10603</v>
      </c>
      <c r="D177" s="15" t="s">
        <v>10324</v>
      </c>
      <c r="E177" s="15" t="s">
        <v>10784</v>
      </c>
      <c r="F177" s="15">
        <v>66503</v>
      </c>
      <c r="G177" s="15">
        <v>0.89713386088875591</v>
      </c>
      <c r="H177" s="15">
        <v>200</v>
      </c>
      <c r="I177" s="78">
        <v>179.13909951045326</v>
      </c>
      <c r="J177" s="79">
        <v>2.1868766542127789</v>
      </c>
      <c r="K177" s="15">
        <v>30</v>
      </c>
      <c r="L177" s="15">
        <v>59.56283889774781</v>
      </c>
      <c r="M177" s="15">
        <v>13.879165982825361</v>
      </c>
      <c r="N177" s="15">
        <v>23.327962109902344</v>
      </c>
      <c r="O177" s="15">
        <v>3.2780452356834777</v>
      </c>
      <c r="P177" s="15">
        <v>9.4145823085038387</v>
      </c>
      <c r="Q177" s="15">
        <v>10.635334565715029</v>
      </c>
      <c r="R177" s="15">
        <v>1.8604049782647123</v>
      </c>
      <c r="S177" s="15">
        <v>4.586393990617351</v>
      </c>
      <c r="T177" s="15">
        <v>4.1885355968329661</v>
      </c>
      <c r="U177" s="15">
        <v>0</v>
      </c>
      <c r="V177" s="15">
        <v>0</v>
      </c>
      <c r="W177" s="15">
        <v>0</v>
      </c>
      <c r="X177" s="15">
        <v>0</v>
      </c>
      <c r="Y177" s="15">
        <v>267.60417534542665</v>
      </c>
      <c r="Z177" s="15">
        <v>0</v>
      </c>
      <c r="AA177" s="15">
        <v>0</v>
      </c>
      <c r="AB177" s="15">
        <v>0</v>
      </c>
      <c r="AC177" s="15">
        <v>267.60417534542665</v>
      </c>
      <c r="AD177" s="15">
        <v>88.465075834973391</v>
      </c>
      <c r="AE177" s="15">
        <v>-12.995692915026599</v>
      </c>
      <c r="AF177" s="15">
        <v>0</v>
      </c>
      <c r="AG177" s="15">
        <v>0</v>
      </c>
      <c r="AH177" s="15">
        <v>0</v>
      </c>
      <c r="AI177" s="15">
        <v>101.46076874999999</v>
      </c>
      <c r="AJ177" s="15">
        <v>0</v>
      </c>
      <c r="AK177" s="15">
        <v>0</v>
      </c>
      <c r="AL177" s="15">
        <v>0</v>
      </c>
      <c r="AM177" s="15">
        <v>0</v>
      </c>
      <c r="AN177" s="15">
        <v>0.33058182190461571</v>
      </c>
      <c r="AO177" s="15">
        <v>179.13909951045326</v>
      </c>
      <c r="AP177" s="15">
        <v>0</v>
      </c>
      <c r="AQ177" s="15">
        <v>0</v>
      </c>
      <c r="AR177" s="15">
        <v>0</v>
      </c>
      <c r="AS177" s="15">
        <v>0</v>
      </c>
      <c r="AT177" s="15">
        <v>0</v>
      </c>
      <c r="AU177" s="15">
        <v>370.89421408656335</v>
      </c>
      <c r="AV177" s="15">
        <v>59.642500000000005</v>
      </c>
      <c r="AW177" s="15">
        <v>59.642500000000005</v>
      </c>
      <c r="AX177" s="15">
        <v>0</v>
      </c>
      <c r="AY177" s="15">
        <v>0</v>
      </c>
      <c r="AZ177" s="15">
        <v>269.79387155002343</v>
      </c>
      <c r="BA177" s="15">
        <v>76.930878417473096</v>
      </c>
      <c r="BB177" s="15">
        <v>80.359580471895981</v>
      </c>
      <c r="BC177" s="15">
        <v>112.50341266065436</v>
      </c>
      <c r="BD177" s="15">
        <v>0</v>
      </c>
      <c r="BE177" s="15">
        <v>41.457842536539914</v>
      </c>
      <c r="BF177" s="15">
        <v>14.029993413022664</v>
      </c>
      <c r="BG177" s="15">
        <v>1.4723613094253225</v>
      </c>
      <c r="BH177" s="15">
        <v>25.955487814091928</v>
      </c>
      <c r="BI177" s="15">
        <v>0</v>
      </c>
      <c r="BJ177" s="15">
        <v>370.89421408656335</v>
      </c>
      <c r="BK177" s="15">
        <v>459.35928992153674</v>
      </c>
      <c r="BL177" s="15">
        <v>1.4639349855824482</v>
      </c>
      <c r="BM177" s="15">
        <v>2.1868766542127789</v>
      </c>
    </row>
    <row r="178" spans="1:65" x14ac:dyDescent="0.35">
      <c r="A178" s="15" t="s">
        <v>10625</v>
      </c>
      <c r="B178" s="15" t="s">
        <v>10599</v>
      </c>
      <c r="C178" s="15" t="s">
        <v>10603</v>
      </c>
      <c r="D178" s="15" t="s">
        <v>10325</v>
      </c>
      <c r="E178" s="15" t="s">
        <v>10785</v>
      </c>
      <c r="F178" s="15">
        <v>66503</v>
      </c>
      <c r="G178" s="15">
        <v>0.89713386088875591</v>
      </c>
      <c r="H178" s="15">
        <v>200</v>
      </c>
      <c r="I178" s="78">
        <v>241.79690753955828</v>
      </c>
      <c r="J178" s="79">
        <v>1.3773784271091598</v>
      </c>
      <c r="K178" s="15">
        <v>30</v>
      </c>
      <c r="L178" s="15">
        <v>55.146392874744407</v>
      </c>
      <c r="M178" s="15">
        <v>13.204540289457315</v>
      </c>
      <c r="N178" s="15">
        <v>23.327962109902344</v>
      </c>
      <c r="O178" s="15">
        <v>5.2277379889238418</v>
      </c>
      <c r="P178" s="15">
        <v>8.1605877052860372</v>
      </c>
      <c r="Q178" s="15">
        <v>9.9396364156924708</v>
      </c>
      <c r="R178" s="15">
        <v>1.8604049782647123</v>
      </c>
      <c r="S178" s="15">
        <v>0</v>
      </c>
      <c r="T178" s="15">
        <v>8.0792314374277563</v>
      </c>
      <c r="U178" s="15">
        <v>0</v>
      </c>
      <c r="V178" s="15">
        <v>0</v>
      </c>
      <c r="W178" s="15">
        <v>0</v>
      </c>
      <c r="X178" s="15">
        <v>0</v>
      </c>
      <c r="Y178" s="15">
        <v>331.05565178408585</v>
      </c>
      <c r="Z178" s="15">
        <v>0</v>
      </c>
      <c r="AA178" s="15">
        <v>0</v>
      </c>
      <c r="AB178" s="15">
        <v>0</v>
      </c>
      <c r="AC178" s="15">
        <v>331.05565178408585</v>
      </c>
      <c r="AD178" s="15">
        <v>89.258744244527577</v>
      </c>
      <c r="AE178" s="15">
        <v>-12.202024505472428</v>
      </c>
      <c r="AF178" s="15">
        <v>0</v>
      </c>
      <c r="AG178" s="15">
        <v>0</v>
      </c>
      <c r="AH178" s="15">
        <v>0</v>
      </c>
      <c r="AI178" s="15">
        <v>101.46076874999999</v>
      </c>
      <c r="AJ178" s="15">
        <v>0</v>
      </c>
      <c r="AK178" s="15">
        <v>0</v>
      </c>
      <c r="AL178" s="15">
        <v>0</v>
      </c>
      <c r="AM178" s="15">
        <v>0</v>
      </c>
      <c r="AN178" s="15">
        <v>0.2696185483120585</v>
      </c>
      <c r="AO178" s="15">
        <v>241.79690753955828</v>
      </c>
      <c r="AP178" s="15">
        <v>0</v>
      </c>
      <c r="AQ178" s="15">
        <v>0</v>
      </c>
      <c r="AR178" s="15">
        <v>0</v>
      </c>
      <c r="AS178" s="15">
        <v>0</v>
      </c>
      <c r="AT178" s="15">
        <v>0</v>
      </c>
      <c r="AU178" s="15">
        <v>374.84275172625394</v>
      </c>
      <c r="AV178" s="15">
        <v>65.018000000000001</v>
      </c>
      <c r="AW178" s="15">
        <v>65.018000000000001</v>
      </c>
      <c r="AX178" s="15">
        <v>0</v>
      </c>
      <c r="AY178" s="15">
        <v>0</v>
      </c>
      <c r="AZ178" s="15">
        <v>259.43817154556655</v>
      </c>
      <c r="BA178" s="15">
        <v>76.930878417473096</v>
      </c>
      <c r="BB178" s="15">
        <v>76.044705470038934</v>
      </c>
      <c r="BC178" s="15">
        <v>106.4625876580545</v>
      </c>
      <c r="BD178" s="15">
        <v>0</v>
      </c>
      <c r="BE178" s="15">
        <v>50.386580180687375</v>
      </c>
      <c r="BF178" s="15">
        <v>17.162883814477915</v>
      </c>
      <c r="BG178" s="15">
        <v>1.4723613094253225</v>
      </c>
      <c r="BH178" s="15">
        <v>31.751335056784139</v>
      </c>
      <c r="BI178" s="15">
        <v>0</v>
      </c>
      <c r="BJ178" s="15">
        <v>374.84275172625394</v>
      </c>
      <c r="BK178" s="15">
        <v>464.10149597078151</v>
      </c>
      <c r="BL178" s="15">
        <v>1.0060116551156415</v>
      </c>
      <c r="BM178" s="15">
        <v>1.3773784271091598</v>
      </c>
    </row>
    <row r="179" spans="1:65" x14ac:dyDescent="0.35">
      <c r="A179" s="15" t="s">
        <v>10625</v>
      </c>
      <c r="B179" s="15" t="s">
        <v>10599</v>
      </c>
      <c r="C179" s="15" t="s">
        <v>10603</v>
      </c>
      <c r="D179" s="15" t="s">
        <v>10326</v>
      </c>
      <c r="E179" s="15" t="s">
        <v>10786</v>
      </c>
      <c r="F179" s="15">
        <v>66503</v>
      </c>
      <c r="G179" s="15">
        <v>0.89713386088875591</v>
      </c>
      <c r="H179" s="15">
        <v>200</v>
      </c>
      <c r="I179" s="78">
        <v>65.910476833734378</v>
      </c>
      <c r="J179" s="79">
        <v>14.219801656333194</v>
      </c>
      <c r="K179" s="15">
        <v>30</v>
      </c>
      <c r="L179" s="15">
        <v>55.146392874744407</v>
      </c>
      <c r="M179" s="15">
        <v>12.843548530329308</v>
      </c>
      <c r="N179" s="15">
        <v>23.327962109902344</v>
      </c>
      <c r="O179" s="15">
        <v>17.0480689653055</v>
      </c>
      <c r="P179" s="15">
        <v>4.2935114263275267</v>
      </c>
      <c r="Q179" s="15">
        <v>1.9863817182693193</v>
      </c>
      <c r="R179" s="15">
        <v>1.9863817182693193</v>
      </c>
      <c r="S179" s="15">
        <v>0</v>
      </c>
      <c r="T179" s="15">
        <v>0</v>
      </c>
      <c r="U179" s="15">
        <v>14791.535597550805</v>
      </c>
      <c r="V179" s="15">
        <v>0</v>
      </c>
      <c r="W179" s="15">
        <v>0</v>
      </c>
      <c r="X179" s="15">
        <v>0</v>
      </c>
      <c r="Y179" s="15">
        <v>616.73130143545643</v>
      </c>
      <c r="Z179" s="15">
        <v>0</v>
      </c>
      <c r="AA179" s="15">
        <v>0</v>
      </c>
      <c r="AB179" s="15">
        <v>0</v>
      </c>
      <c r="AC179" s="15">
        <v>616.73130143545643</v>
      </c>
      <c r="AD179" s="15">
        <v>550.82082460172205</v>
      </c>
      <c r="AE179" s="15">
        <v>9.482302666801818</v>
      </c>
      <c r="AF179" s="15">
        <v>0</v>
      </c>
      <c r="AG179" s="15">
        <v>0</v>
      </c>
      <c r="AH179" s="15">
        <v>418.33816370547765</v>
      </c>
      <c r="AI179" s="15">
        <v>123.00035822944255</v>
      </c>
      <c r="AJ179" s="15">
        <v>0</v>
      </c>
      <c r="AK179" s="15">
        <v>0</v>
      </c>
      <c r="AL179" s="15">
        <v>0</v>
      </c>
      <c r="AM179" s="15">
        <v>0</v>
      </c>
      <c r="AN179" s="15">
        <v>0.89312934712357517</v>
      </c>
      <c r="AO179" s="15">
        <v>65.910476833734378</v>
      </c>
      <c r="AP179" s="15">
        <v>427.8204663722795</v>
      </c>
      <c r="AQ179" s="15">
        <v>9.482302666801818</v>
      </c>
      <c r="AR179" s="15">
        <v>0</v>
      </c>
      <c r="AS179" s="15">
        <v>0</v>
      </c>
      <c r="AT179" s="15">
        <v>418.33816370547765</v>
      </c>
      <c r="AU179" s="15">
        <v>375.32391811150154</v>
      </c>
      <c r="AV179" s="15">
        <v>81.594999999999999</v>
      </c>
      <c r="AW179" s="15">
        <v>81.594999999999999</v>
      </c>
      <c r="AX179" s="15">
        <v>0</v>
      </c>
      <c r="AY179" s="15">
        <v>0</v>
      </c>
      <c r="AZ179" s="15">
        <v>265.22599113871888</v>
      </c>
      <c r="BA179" s="15">
        <v>82.718698010625445</v>
      </c>
      <c r="BB179" s="15">
        <v>76.044705470038934</v>
      </c>
      <c r="BC179" s="15">
        <v>106.4625876580545</v>
      </c>
      <c r="BD179" s="15">
        <v>0</v>
      </c>
      <c r="BE179" s="15">
        <v>28.502926972782625</v>
      </c>
      <c r="BF179" s="15">
        <v>9.4455417531588477</v>
      </c>
      <c r="BG179" s="15">
        <v>1.5831329762799127</v>
      </c>
      <c r="BH179" s="15">
        <v>17.474252243343866</v>
      </c>
      <c r="BI179" s="15">
        <v>0</v>
      </c>
      <c r="BJ179" s="15">
        <v>803.1443844837811</v>
      </c>
      <c r="BK179" s="15">
        <v>1353.9652090855031</v>
      </c>
      <c r="BL179" s="15">
        <v>1.5196794867855954</v>
      </c>
      <c r="BM179" s="15">
        <v>14.219801656333194</v>
      </c>
    </row>
    <row r="180" spans="1:65" x14ac:dyDescent="0.35">
      <c r="A180" s="15" t="s">
        <v>10625</v>
      </c>
      <c r="B180" s="15" t="s">
        <v>10599</v>
      </c>
      <c r="C180" s="15" t="s">
        <v>10603</v>
      </c>
      <c r="D180" s="15" t="s">
        <v>10327</v>
      </c>
      <c r="E180" s="15" t="s">
        <v>10787</v>
      </c>
      <c r="F180" s="15">
        <v>66503</v>
      </c>
      <c r="G180" s="15">
        <v>0.89713386088875591</v>
      </c>
      <c r="H180" s="15">
        <v>200</v>
      </c>
      <c r="I180" s="80">
        <v>1095.7889975769583</v>
      </c>
      <c r="J180" s="81">
        <v>0.14361212370223927</v>
      </c>
      <c r="K180" s="15">
        <v>30</v>
      </c>
      <c r="L180" s="15">
        <v>58.307468215665622</v>
      </c>
      <c r="M180" s="15">
        <v>21.004943767059181</v>
      </c>
      <c r="N180" s="15">
        <v>23.327962109902344</v>
      </c>
      <c r="O180" s="15">
        <v>17.0480689653055</v>
      </c>
      <c r="P180" s="15">
        <v>4.2935114263275267</v>
      </c>
      <c r="Q180" s="15">
        <v>1.9863817182693193</v>
      </c>
      <c r="R180" s="15">
        <v>1.9863817182693193</v>
      </c>
      <c r="S180" s="15">
        <v>0</v>
      </c>
      <c r="T180" s="15">
        <v>0</v>
      </c>
      <c r="U180" s="15">
        <v>14791.535597550805</v>
      </c>
      <c r="V180" s="15">
        <v>0</v>
      </c>
      <c r="W180" s="15">
        <v>0</v>
      </c>
      <c r="X180" s="15">
        <v>0</v>
      </c>
      <c r="Y180" s="15">
        <v>1512.1813676382012</v>
      </c>
      <c r="Z180" s="15">
        <v>0</v>
      </c>
      <c r="AA180" s="15">
        <v>0</v>
      </c>
      <c r="AB180" s="15">
        <v>0</v>
      </c>
      <c r="AC180" s="15">
        <v>1512.1813676382012</v>
      </c>
      <c r="AD180" s="15">
        <v>416.3923700612429</v>
      </c>
      <c r="AE180" s="15">
        <v>20.505961861473143</v>
      </c>
      <c r="AF180" s="15">
        <v>0</v>
      </c>
      <c r="AG180" s="15">
        <v>0</v>
      </c>
      <c r="AH180" s="15">
        <v>272.88604997032706</v>
      </c>
      <c r="AI180" s="15">
        <v>123.00035822944255</v>
      </c>
      <c r="AJ180" s="15">
        <v>0</v>
      </c>
      <c r="AK180" s="15">
        <v>0</v>
      </c>
      <c r="AL180" s="15">
        <v>0</v>
      </c>
      <c r="AM180" s="15">
        <v>0</v>
      </c>
      <c r="AN180" s="15">
        <v>0.27535874926933196</v>
      </c>
      <c r="AO180" s="15">
        <v>1095.7889975769583</v>
      </c>
      <c r="AP180" s="15">
        <v>293.39201183180023</v>
      </c>
      <c r="AQ180" s="15">
        <v>20.505961861473143</v>
      </c>
      <c r="AR180" s="15">
        <v>0</v>
      </c>
      <c r="AS180" s="15">
        <v>0</v>
      </c>
      <c r="AT180" s="15">
        <v>272.88604997032706</v>
      </c>
      <c r="AU180" s="15">
        <v>759.76557081673309</v>
      </c>
      <c r="AV180" s="15">
        <v>81.594999999999999</v>
      </c>
      <c r="AW180" s="15">
        <v>81.594999999999999</v>
      </c>
      <c r="AX180" s="15">
        <v>0</v>
      </c>
      <c r="AY180" s="15">
        <v>0</v>
      </c>
      <c r="AZ180" s="15">
        <v>502.90995463804109</v>
      </c>
      <c r="BA180" s="15">
        <v>82.718698010625445</v>
      </c>
      <c r="BB180" s="15">
        <v>175.07969026142317</v>
      </c>
      <c r="BC180" s="15">
        <v>245.11156636599245</v>
      </c>
      <c r="BD180" s="15">
        <v>0</v>
      </c>
      <c r="BE180" s="15">
        <v>175.26061617869203</v>
      </c>
      <c r="BF180" s="15">
        <v>60.939467790320045</v>
      </c>
      <c r="BG180" s="15">
        <v>1.5831329762799127</v>
      </c>
      <c r="BH180" s="15">
        <v>112.73801541209208</v>
      </c>
      <c r="BI180" s="15">
        <v>0</v>
      </c>
      <c r="BJ180" s="15">
        <v>1053.1575826485332</v>
      </c>
      <c r="BK180" s="15">
        <v>1469.5499527097761</v>
      </c>
      <c r="BL180" s="15">
        <v>0.10406726893967808</v>
      </c>
      <c r="BM180" s="15">
        <v>0.14361212370223927</v>
      </c>
    </row>
    <row r="181" spans="1:65" s="60" customFormat="1" x14ac:dyDescent="0.35">
      <c r="A181" s="59" t="s">
        <v>10625</v>
      </c>
      <c r="B181" s="59" t="s">
        <v>10599</v>
      </c>
      <c r="C181" s="59" t="s">
        <v>10752</v>
      </c>
      <c r="D181" s="59" t="s">
        <v>10326</v>
      </c>
      <c r="E181" s="59" t="s">
        <v>10788</v>
      </c>
      <c r="F181" s="59">
        <v>66503</v>
      </c>
      <c r="G181" s="59">
        <v>0.89713386088875591</v>
      </c>
      <c r="H181" s="59">
        <v>200</v>
      </c>
      <c r="I181" s="59">
        <v>65.910476833734378</v>
      </c>
      <c r="J181" s="88">
        <v>14.219801656333194</v>
      </c>
      <c r="K181" s="59">
        <v>30</v>
      </c>
      <c r="L181" s="59">
        <v>55.146392874744407</v>
      </c>
      <c r="M181" s="59">
        <v>12.843548530329308</v>
      </c>
      <c r="N181" s="59">
        <v>23.327962109902344</v>
      </c>
      <c r="O181" s="59">
        <v>17.0480689653055</v>
      </c>
      <c r="P181" s="59">
        <v>4.2935114263275267</v>
      </c>
      <c r="Q181" s="59">
        <v>1.9863817182693193</v>
      </c>
      <c r="R181" s="59">
        <v>1.9863817182693193</v>
      </c>
      <c r="S181" s="59">
        <v>0</v>
      </c>
      <c r="T181" s="59">
        <v>0</v>
      </c>
      <c r="U181" s="59">
        <v>14791.535597550805</v>
      </c>
      <c r="V181" s="59">
        <v>0</v>
      </c>
      <c r="W181" s="59">
        <v>0</v>
      </c>
      <c r="X181" s="59">
        <v>0</v>
      </c>
      <c r="Y181" s="59">
        <v>616.73130143545643</v>
      </c>
      <c r="Z181" s="59">
        <v>0</v>
      </c>
      <c r="AA181" s="59">
        <v>0</v>
      </c>
      <c r="AB181" s="59">
        <v>0</v>
      </c>
      <c r="AC181" s="59">
        <v>616.73130143545643</v>
      </c>
      <c r="AD181" s="59">
        <v>550.82082460172205</v>
      </c>
      <c r="AE181" s="59">
        <v>9.482302666801818</v>
      </c>
      <c r="AF181" s="59">
        <v>0</v>
      </c>
      <c r="AG181" s="59">
        <v>0</v>
      </c>
      <c r="AH181" s="59">
        <v>418.33816370547765</v>
      </c>
      <c r="AI181" s="59">
        <v>123.00035822944255</v>
      </c>
      <c r="AJ181" s="59">
        <v>0</v>
      </c>
      <c r="AK181" s="59">
        <v>0</v>
      </c>
      <c r="AL181" s="59">
        <v>0</v>
      </c>
      <c r="AM181" s="59">
        <v>0</v>
      </c>
      <c r="AN181" s="59">
        <v>0.89312934712357517</v>
      </c>
      <c r="AO181" s="59">
        <v>65.910476833734378</v>
      </c>
      <c r="AP181" s="59">
        <v>427.8204663722795</v>
      </c>
      <c r="AQ181" s="59">
        <v>9.482302666801818</v>
      </c>
      <c r="AR181" s="59">
        <v>0</v>
      </c>
      <c r="AS181" s="59">
        <v>0</v>
      </c>
      <c r="AT181" s="59">
        <v>418.33816370547765</v>
      </c>
      <c r="AU181" s="59">
        <v>375.32391811150154</v>
      </c>
      <c r="AV181" s="59">
        <v>81.594999999999999</v>
      </c>
      <c r="AW181" s="59">
        <v>81.594999999999999</v>
      </c>
      <c r="AX181" s="59">
        <v>0</v>
      </c>
      <c r="AY181" s="59">
        <v>0</v>
      </c>
      <c r="AZ181" s="59">
        <v>265.22599113871888</v>
      </c>
      <c r="BA181" s="59">
        <v>82.718698010625445</v>
      </c>
      <c r="BB181" s="59">
        <v>76.044705470038934</v>
      </c>
      <c r="BC181" s="59">
        <v>106.4625876580545</v>
      </c>
      <c r="BD181" s="59">
        <v>0</v>
      </c>
      <c r="BE181" s="59">
        <v>28.502926972782625</v>
      </c>
      <c r="BF181" s="59">
        <v>9.4455417531588477</v>
      </c>
      <c r="BG181" s="59">
        <v>1.5831329762799127</v>
      </c>
      <c r="BH181" s="59">
        <v>17.474252243343866</v>
      </c>
      <c r="BI181" s="59">
        <v>0</v>
      </c>
      <c r="BJ181" s="59">
        <v>803.1443844837811</v>
      </c>
      <c r="BK181" s="59">
        <v>1353.9652090855031</v>
      </c>
      <c r="BL181" s="59">
        <v>1.5196794867855954</v>
      </c>
      <c r="BM181" s="59">
        <v>14.219801656333194</v>
      </c>
    </row>
    <row r="182" spans="1:65" s="56" customFormat="1" x14ac:dyDescent="0.35">
      <c r="A182" s="55" t="s">
        <v>10625</v>
      </c>
      <c r="B182" s="55" t="s">
        <v>10754</v>
      </c>
      <c r="C182" s="55" t="s">
        <v>9780</v>
      </c>
      <c r="D182" s="55" t="s">
        <v>9780</v>
      </c>
      <c r="E182" s="55" t="s">
        <v>10789</v>
      </c>
      <c r="F182" s="55">
        <f>F173</f>
        <v>54624</v>
      </c>
      <c r="G182" s="55">
        <f>G173</f>
        <v>0.8971242506680791</v>
      </c>
      <c r="H182" s="55">
        <f>(H173*N173+H181*N181)/(N173+N181)</f>
        <v>200</v>
      </c>
      <c r="I182" s="55">
        <f>(I173*N173+I181*N181)/(N173+N181)</f>
        <v>52.665978051421646</v>
      </c>
      <c r="J182" s="89">
        <f>(J173*N173+J181*N181)/(N173+N181)</f>
        <v>20.521859477916529</v>
      </c>
      <c r="K182" s="55">
        <f>K173</f>
        <v>30</v>
      </c>
      <c r="L182" s="55">
        <f t="shared" ref="L182:W182" si="11">L173+L181</f>
        <v>109.07224106071988</v>
      </c>
      <c r="M182" s="55">
        <f t="shared" si="11"/>
        <v>25.467536064540148</v>
      </c>
      <c r="N182" s="55">
        <f t="shared" si="11"/>
        <v>42.48879624028892</v>
      </c>
      <c r="O182" s="55">
        <f t="shared" si="11"/>
        <v>31.050801829354086</v>
      </c>
      <c r="P182" s="55">
        <f t="shared" si="11"/>
        <v>7.8200629480251758</v>
      </c>
      <c r="Q182" s="55">
        <f t="shared" si="11"/>
        <v>3.6179314629096591</v>
      </c>
      <c r="R182" s="55">
        <f t="shared" si="11"/>
        <v>3.6179314629096591</v>
      </c>
      <c r="S182" s="55">
        <f t="shared" si="11"/>
        <v>0</v>
      </c>
      <c r="T182" s="55">
        <f t="shared" si="11"/>
        <v>0</v>
      </c>
      <c r="U182" s="55">
        <f t="shared" si="11"/>
        <v>26940.824883221969</v>
      </c>
      <c r="V182" s="55">
        <f t="shared" si="11"/>
        <v>0</v>
      </c>
      <c r="W182" s="55">
        <f t="shared" si="11"/>
        <v>0</v>
      </c>
      <c r="X182" s="55">
        <f>(X173*N173+X181*N181)/(N173+N181)</f>
        <v>0</v>
      </c>
      <c r="Y182" s="55">
        <f>(Y173*N173+Y181*N181)/(N173+N181)</f>
        <v>616.1797067363791</v>
      </c>
      <c r="Z182" s="55">
        <f>(Z173*N173+Z181*N181)/(N173+N181)</f>
        <v>0</v>
      </c>
      <c r="AA182" s="55">
        <f>(AA173*N173+AA181*N181)/(N173+N181)</f>
        <v>0</v>
      </c>
      <c r="AB182" s="55">
        <f>(AB173*N173+AB181*N181)/(N173+N181)</f>
        <v>0</v>
      </c>
      <c r="AC182" s="55">
        <f>(AC173*N173+AC181*N181)/(N173+N181)</f>
        <v>616.1797067363791</v>
      </c>
      <c r="AD182" s="55">
        <f>(AD173*N173+AD181*N181)/(N173+N181)</f>
        <v>563.51372868495753</v>
      </c>
      <c r="AE182" s="55">
        <f>(AE173*N173+AE181*N181)/(N173+N181)</f>
        <v>8.9307079677245031</v>
      </c>
      <c r="AF182" s="55">
        <f>(AF173*N173+AF181*N181)/(N173+N181)</f>
        <v>0</v>
      </c>
      <c r="AG182" s="55">
        <f>(AG173*N173+AG181*N181)/(N173+N181)</f>
        <v>0</v>
      </c>
      <c r="AH182" s="55">
        <f>(AH173*N173+AH181*N181)/(N173+N181)</f>
        <v>431.58266248779046</v>
      </c>
      <c r="AI182" s="55">
        <f>(AI173*N173+AI181*N181)/(N173+N181)</f>
        <v>123.00035822944253</v>
      </c>
      <c r="AJ182" s="55">
        <f>(AJ173*N173+AJ181*N181)/(N173+N181)</f>
        <v>0</v>
      </c>
      <c r="AK182" s="55">
        <f>(AK173*N173+AK181*N181)/(N173+N181)</f>
        <v>0</v>
      </c>
      <c r="AL182" s="55">
        <f>(AL173*N173+AL181*N181)/(N173+N181)</f>
        <v>0</v>
      </c>
      <c r="AM182" s="55">
        <f>(AM173*N173+AM181*N181)/(N173+N181)</f>
        <v>0</v>
      </c>
      <c r="AN182" s="55">
        <f>(AN173*N173+AN181*N181)/(N173+N181)</f>
        <v>0.91455156466672016</v>
      </c>
      <c r="AO182" s="55">
        <f>(AO173*N173+AO181*N181)/(N173+N181)</f>
        <v>52.665978051421646</v>
      </c>
      <c r="AP182" s="55">
        <f>(AP173*N173+AP181*N181)/(N173+N181)</f>
        <v>440.51337045551497</v>
      </c>
      <c r="AQ182" s="55">
        <f>(AQ173*N173+AQ181*N181)/(N173+N181)</f>
        <v>8.9307079677245031</v>
      </c>
      <c r="AR182" s="55">
        <f>(AR173*N173+AR181*N181)/(N173+N181)</f>
        <v>0</v>
      </c>
      <c r="AS182" s="55">
        <f>(AS173*N173+AS181*N181)/(N173+N181)</f>
        <v>0</v>
      </c>
      <c r="AT182" s="55">
        <f>(AT173*N173+AT181*N181)/(N173+N181)</f>
        <v>431.58266248779046</v>
      </c>
      <c r="AU182" s="55">
        <f>(AU173*N173+AU181*N181)/(N173+N181)</f>
        <v>391.33614856815501</v>
      </c>
      <c r="AV182" s="55">
        <f>(AV173*N173+AV181*N181)/(N173+N181)</f>
        <v>81.594999999999999</v>
      </c>
      <c r="AW182" s="55">
        <f>(AW173*N173+AW181*N181)/(N173+N181)</f>
        <v>81.594999999999999</v>
      </c>
      <c r="AX182" s="55">
        <f>(AX173*N173+AX181*N181)/(N173+N181)</f>
        <v>0</v>
      </c>
      <c r="AY182" s="55">
        <f>(AY173*N173+AY181*N181)/(N173+N181)</f>
        <v>0</v>
      </c>
      <c r="AZ182" s="55">
        <f>(AZ173*N173+AZ181*N181)/(N173+N181)</f>
        <v>283.12556267185187</v>
      </c>
      <c r="BA182" s="55">
        <f>(BA173*N173+BA181*N181)/(N173+N181)</f>
        <v>82.718698010625445</v>
      </c>
      <c r="BB182" s="55">
        <f>(BB173*N173+BB181*N181)/(N173+N181)</f>
        <v>83.502860275511026</v>
      </c>
      <c r="BC182" s="55">
        <f>(BC173*N173+BC181*N181)/(N173+N181)</f>
        <v>116.90400438571545</v>
      </c>
      <c r="BD182" s="55">
        <f>(BD173*N173+BD181*N181)/(N173+N181)</f>
        <v>0</v>
      </c>
      <c r="BE182" s="55">
        <f>(BE173*N173+BE181*N181)/(N173+N181)</f>
        <v>26.615585896303056</v>
      </c>
      <c r="BF182" s="55">
        <f>(BF173*N173+BF181*N181)/(N173+N181)</f>
        <v>8.7833168140432107</v>
      </c>
      <c r="BG182" s="55">
        <f>(BG173*N173+BG181*N181)/(N173+N181)</f>
        <v>1.5831329762799127</v>
      </c>
      <c r="BH182" s="55">
        <f>(BH173*N173+BH181*N181)/(N173+N181)</f>
        <v>16.249136105979936</v>
      </c>
      <c r="BI182" s="55">
        <f>(BI173*N173+BI181*N181)/(N173+N181)</f>
        <v>0</v>
      </c>
      <c r="BJ182" s="55">
        <f>(BJ173*N173+BJ181*N181)/(N173+N181)</f>
        <v>831.84951902366981</v>
      </c>
      <c r="BK182" s="55">
        <f>(BK173*N173+BK181*N181)/(N173+N181)</f>
        <v>1395.3632477086273</v>
      </c>
      <c r="BL182" s="55">
        <f>(BL173*N173+BL181*N181)/(N173+N181)</f>
        <v>1.5891958375374604</v>
      </c>
      <c r="BM182" s="55">
        <f>(BM173*N173+BM181*N181)/(N173+N181)</f>
        <v>20.521859477916529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topLeftCell="A9" zoomScale="60" zoomScaleNormal="60" workbookViewId="0">
      <selection activeCell="D53" sqref="D53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10363</v>
      </c>
      <c r="C1" s="36" t="s">
        <v>10364</v>
      </c>
      <c r="D1" s="36" t="s">
        <v>10365</v>
      </c>
      <c r="E1" s="37" t="s">
        <v>10366</v>
      </c>
      <c r="F1" s="37" t="s">
        <v>10367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10370</v>
      </c>
      <c r="J1" s="37" t="s">
        <v>10371</v>
      </c>
      <c r="K1" s="37" t="s">
        <v>10372</v>
      </c>
      <c r="L1" s="37" t="s">
        <v>10373</v>
      </c>
      <c r="M1" s="37" t="s">
        <v>10374</v>
      </c>
      <c r="N1" s="37" t="s">
        <v>10375</v>
      </c>
      <c r="O1" s="37" t="s">
        <v>10376</v>
      </c>
      <c r="P1" s="37" t="s">
        <v>10377</v>
      </c>
      <c r="Q1" s="37" t="s">
        <v>10378</v>
      </c>
      <c r="R1" s="37" t="s">
        <v>10379</v>
      </c>
      <c r="S1" s="37" t="s">
        <v>10380</v>
      </c>
      <c r="T1" s="37" t="s">
        <v>10381</v>
      </c>
      <c r="U1" s="37" t="s">
        <v>10382</v>
      </c>
      <c r="V1" s="37" t="s">
        <v>10383</v>
      </c>
      <c r="W1" s="37" t="s">
        <v>10384</v>
      </c>
      <c r="X1" s="37" t="s">
        <v>10385</v>
      </c>
      <c r="Y1" s="37" t="s">
        <v>10386</v>
      </c>
      <c r="Z1" s="37" t="s">
        <v>10387</v>
      </c>
      <c r="AA1" s="37" t="s">
        <v>10388</v>
      </c>
      <c r="AB1" s="37" t="s">
        <v>10389</v>
      </c>
      <c r="AC1" s="37" t="s">
        <v>10390</v>
      </c>
      <c r="AD1" s="37" t="s">
        <v>10391</v>
      </c>
      <c r="AE1" s="37" t="s">
        <v>10392</v>
      </c>
      <c r="AF1" s="37" t="s">
        <v>10393</v>
      </c>
      <c r="AG1" s="37" t="s">
        <v>10394</v>
      </c>
      <c r="AH1" s="37" t="s">
        <v>10395</v>
      </c>
      <c r="AI1" s="37" t="s">
        <v>10396</v>
      </c>
      <c r="AJ1" s="37" t="s">
        <v>10397</v>
      </c>
      <c r="AK1" s="37" t="s">
        <v>10398</v>
      </c>
      <c r="AL1" s="36" t="s">
        <v>9917</v>
      </c>
      <c r="AM1" s="37" t="s">
        <v>10368</v>
      </c>
      <c r="AN1" s="37" t="s">
        <v>10399</v>
      </c>
      <c r="AO1" s="37" t="s">
        <v>10400</v>
      </c>
      <c r="AP1" s="37" t="s">
        <v>10401</v>
      </c>
      <c r="AQ1" s="37" t="s">
        <v>10402</v>
      </c>
      <c r="AR1" s="37" t="s">
        <v>10403</v>
      </c>
      <c r="AS1" s="37" t="s">
        <v>10404</v>
      </c>
      <c r="AT1" s="37" t="s">
        <v>10405</v>
      </c>
      <c r="AU1" s="37" t="s">
        <v>10406</v>
      </c>
      <c r="AV1" s="37" t="s">
        <v>10407</v>
      </c>
      <c r="AW1" s="36" t="s">
        <v>9928</v>
      </c>
      <c r="AX1" s="37" t="s">
        <v>10408</v>
      </c>
      <c r="AY1" s="37" t="s">
        <v>10409</v>
      </c>
      <c r="AZ1" s="37" t="s">
        <v>10410</v>
      </c>
      <c r="BA1" s="37" t="s">
        <v>10411</v>
      </c>
      <c r="BB1" s="36" t="s">
        <v>9933</v>
      </c>
      <c r="BC1" s="37" t="s">
        <v>10412</v>
      </c>
      <c r="BD1" s="37" t="s">
        <v>10413</v>
      </c>
      <c r="BE1" s="37" t="s">
        <v>10414</v>
      </c>
      <c r="BF1" s="37" t="s">
        <v>10415</v>
      </c>
      <c r="BG1" s="36" t="s">
        <v>9938</v>
      </c>
      <c r="BH1" s="37" t="s">
        <v>10416</v>
      </c>
      <c r="BI1" s="37" t="s">
        <v>10417</v>
      </c>
      <c r="BJ1" s="37" t="s">
        <v>10418</v>
      </c>
      <c r="BK1" s="37" t="s">
        <v>10369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10335</v>
      </c>
      <c r="E3" s="36" t="s">
        <v>10419</v>
      </c>
      <c r="F3" s="36" t="s">
        <v>9948</v>
      </c>
      <c r="G3" s="36" t="s">
        <v>9948</v>
      </c>
      <c r="H3" s="36" t="s">
        <v>9634</v>
      </c>
      <c r="I3" s="36" t="s">
        <v>10336</v>
      </c>
      <c r="J3" s="36" t="s">
        <v>9796</v>
      </c>
      <c r="K3" s="36" t="s">
        <v>9796</v>
      </c>
      <c r="L3" s="36" t="s">
        <v>10337</v>
      </c>
      <c r="M3" s="36" t="s">
        <v>10337</v>
      </c>
      <c r="N3" s="36" t="s">
        <v>10337</v>
      </c>
      <c r="O3" s="36" t="s">
        <v>10337</v>
      </c>
      <c r="P3" s="36" t="s">
        <v>10337</v>
      </c>
      <c r="Q3" s="36" t="s">
        <v>10337</v>
      </c>
      <c r="R3" s="36" t="s">
        <v>10337</v>
      </c>
      <c r="S3" s="36" t="s">
        <v>10338</v>
      </c>
      <c r="T3" s="36" t="s">
        <v>10338</v>
      </c>
      <c r="U3" s="36" t="s">
        <v>10339</v>
      </c>
      <c r="V3" s="36" t="s">
        <v>10420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300</v>
      </c>
      <c r="C4" s="25">
        <f>'Banco de Dados'!$I$30/100</f>
        <v>0.42499999999999999</v>
      </c>
      <c r="D4" s="29">
        <f>IFERROR(VLOOKUP($A4,'Arranjos Consolidados'!$E$3:$BM$303,D$2,FALSE),"")</f>
        <v>121127</v>
      </c>
      <c r="E4" s="33">
        <f>IFERROR(VLOOKUP($A4,'Arranjos Consolidados'!$E$3:$BM$303,E$2,FALSE),"")</f>
        <v>0.89712952701856796</v>
      </c>
      <c r="F4" s="29">
        <f>IFERROR(VLOOKUP($A4,'Arranjos Consolidados'!$E$3:$BM$303,F$2,FALSE),"")</f>
        <v>199.99999999999997</v>
      </c>
      <c r="G4" s="31">
        <f>IFERROR(VLOOKUP($A4,'Arranjos Consolidados'!$E$3:$BM$303,G$2,FALSE),"")</f>
        <v>163.22656973881664</v>
      </c>
      <c r="H4" s="34">
        <f>IFERROR(VLOOKUP($A4,'Arranjos Consolidados'!$E$3:$BM$303,H$2,FALSE),"")</f>
        <v>2.9851679505576811</v>
      </c>
      <c r="I4" s="29">
        <f>IFERROR(VLOOKUP($A4,'Arranjos Consolidados'!$E$3:$BM$303,I$2,FALSE),"")</f>
        <v>30</v>
      </c>
      <c r="J4" s="31">
        <f>IFERROR(VLOOKUP($A4,'Arranjos Consolidados'!$E$3:$BM$303,J$2,FALSE),"")</f>
        <v>140.41235076477068</v>
      </c>
      <c r="K4" s="31">
        <f>IFERROR(VLOOKUP($A4,'Arranjos Consolidados'!$E$3:$BM$303,K$2,FALSE),"")</f>
        <v>21.399039976028522</v>
      </c>
      <c r="L4" s="31">
        <f>IFERROR(VLOOKUP($A4,'Arranjos Consolidados'!$E$3:$BM$303,L$2,FALSE),"")</f>
        <v>42.488796240288906</v>
      </c>
      <c r="M4" s="31">
        <f>IFERROR(VLOOKUP($A4,'Arranjos Consolidados'!$E$3:$BM$303,M$2,FALSE),"")</f>
        <v>7.9196779308105283</v>
      </c>
      <c r="N4" s="31">
        <f>IFERROR(VLOOKUP($A4,'Arranjos Consolidados'!$E$3:$BM$303,N$2,FALSE),"")</f>
        <v>16.451290127272763</v>
      </c>
      <c r="O4" s="31">
        <f>IFERROR(VLOOKUP($A4,'Arranjos Consolidados'!$E$3:$BM$303,O$2,FALSE),"")</f>
        <v>18.117828182205614</v>
      </c>
      <c r="P4" s="31">
        <f>IFERROR(VLOOKUP($A4,'Arranjos Consolidados'!$E$3:$BM$303,P$2,FALSE),"")</f>
        <v>3.3884815001630408</v>
      </c>
      <c r="Q4" s="31">
        <f>IFERROR(VLOOKUP($A4,'Arranjos Consolidados'!$E$3:$BM$303,Q$2,FALSE),"")</f>
        <v>7.100483317098699</v>
      </c>
      <c r="R4" s="31">
        <f>IFERROR(VLOOKUP($A4,'Arranjos Consolidados'!$E$3:$BM$303,R$2,FALSE),"")</f>
        <v>7.6288633649438724</v>
      </c>
      <c r="S4" s="31">
        <f>IFERROR(VLOOKUP($A4,'Arranjos Consolidados'!$E$3:$BM$303,S$2,FALSE),"")</f>
        <v>0</v>
      </c>
      <c r="T4" s="31">
        <f>IFERROR(VLOOKUP($A4,'Arranjos Consolidados'!$E$3:$BM$303,T$2,FALSE),"")</f>
        <v>5159.6524647172273</v>
      </c>
      <c r="U4" s="31">
        <f>IFERROR(VLOOKUP($A4,'Arranjos Consolidados'!$E$3:$BM$303,U$2,FALSE),"")</f>
        <v>0</v>
      </c>
      <c r="V4" s="31">
        <f>IFERROR(VLOOKUP($A4,'Arranjos Consolidados'!$E$3:$BM$303,V$2,FALSE),"")</f>
        <v>0</v>
      </c>
      <c r="W4" s="31">
        <f>IFERROR(VLOOKUP($A4,'Arranjos Consolidados'!$E$3:$BM$303,W$2,FALSE),"")</f>
        <v>304.6121390336761</v>
      </c>
      <c r="X4" s="29">
        <f>IFERROR(VLOOKUP($A4,'Arranjos Consolidados'!$E$3:$BM$303,X$2,FALSE),"")</f>
        <v>0</v>
      </c>
      <c r="Y4" s="31">
        <f>IFERROR(VLOOKUP($A4,'Arranjos Consolidados'!$E$3:$BM$303,Y$2,FALSE),"")</f>
        <v>0</v>
      </c>
      <c r="Z4" s="29">
        <f>IFERROR(VLOOKUP($A4,'Arranjos Consolidados'!$E$3:$BM$303,Z$2,FALSE),"")</f>
        <v>0</v>
      </c>
      <c r="AA4" s="31">
        <f>IFERROR(VLOOKUP($A4,'Arranjos Consolidados'!$E$3:$BM$303,AA$2,FALSE),"")</f>
        <v>304.6121390336761</v>
      </c>
      <c r="AB4" s="31">
        <f>IFERROR(VLOOKUP($A4,'Arranjos Consolidados'!$E$3:$BM$303,AB$2,FALSE),"")</f>
        <v>141.38556929485947</v>
      </c>
      <c r="AC4" s="31">
        <f>IFERROR(VLOOKUP($A4,'Arranjos Consolidados'!$E$3:$BM$303,AC$2,FALSE),"")</f>
        <v>14.379008362973781</v>
      </c>
      <c r="AD4" s="31">
        <f>IFERROR(VLOOKUP($A4,'Arranjos Consolidados'!$E$3:$BM$303,AD$2,FALSE),"")</f>
        <v>0</v>
      </c>
      <c r="AE4" s="31">
        <f>IFERROR(VLOOKUP($A4,'Arranjos Consolidados'!$E$3:$BM$303,AE$2,FALSE),"")</f>
        <v>0</v>
      </c>
      <c r="AF4" s="31">
        <f>IFERROR(VLOOKUP($A4,'Arranjos Consolidados'!$E$3:$BM$303,AF$2,FALSE),"")</f>
        <v>25.545792181885687</v>
      </c>
      <c r="AG4" s="31">
        <f>IFERROR(VLOOKUP($A4,'Arranjos Consolidados'!$E$3:$BM$303,AG$2,FALSE),"")</f>
        <v>101.46076875000001</v>
      </c>
      <c r="AH4" s="31">
        <f>IFERROR(VLOOKUP($A4,'Arranjos Consolidados'!$E$3:$BM$303,AH$2,FALSE),"")</f>
        <v>0</v>
      </c>
      <c r="AI4" s="31">
        <f>IFERROR(VLOOKUP($A4,'Arranjos Consolidados'!$E$3:$BM$303,AI$2,FALSE),"")</f>
        <v>0</v>
      </c>
      <c r="AJ4" s="31">
        <f>IFERROR(VLOOKUP($A4,'Arranjos Consolidados'!$E$3:$BM$303,AJ$2,FALSE),"")</f>
        <v>0</v>
      </c>
      <c r="AK4" s="31">
        <f>IFERROR(VLOOKUP($A4,'Arranjos Consolidados'!$E$3:$BM$303,AK$2,FALSE),"")</f>
        <v>0</v>
      </c>
      <c r="AL4" s="34">
        <f>IFERROR(VLOOKUP($A4,'Arranjos Consolidados'!$E$3:$BM$303,AL$2,FALSE),"")</f>
        <v>0.46414949103268899</v>
      </c>
      <c r="AM4" s="31">
        <f>IFERROR(VLOOKUP($A4,'Arranjos Consolidados'!$E$3:$BM$303,AM$2,FALSE),"")</f>
        <v>163.22656973881664</v>
      </c>
      <c r="AN4" s="31">
        <f>IFERROR(VLOOKUP($A4,'Arranjos Consolidados'!$E$3:$BM$303,AN$2,FALSE),"")</f>
        <v>39.924800544859465</v>
      </c>
      <c r="AO4" s="31">
        <f>IFERROR(VLOOKUP($A4,'Arranjos Consolidados'!$E$3:$BM$303,AO$2,FALSE),"")</f>
        <v>14.379008362973781</v>
      </c>
      <c r="AP4" s="31">
        <f>IFERROR(VLOOKUP($A4,'Arranjos Consolidados'!$E$3:$BM$303,AP$2,FALSE),"")</f>
        <v>0</v>
      </c>
      <c r="AQ4" s="31">
        <f>IFERROR(VLOOKUP($A4,'Arranjos Consolidados'!$E$3:$BM$303,AQ$2,FALSE),"")</f>
        <v>0</v>
      </c>
      <c r="AR4" s="31">
        <f>IFERROR(VLOOKUP($A4,'Arranjos Consolidados'!$E$3:$BM$303,AR$2,FALSE),"")</f>
        <v>25.545792181885687</v>
      </c>
      <c r="AS4" s="31">
        <f>IFERROR(VLOOKUP($A4,'Arranjos Consolidados'!$E$3:$BM$303,AS$2,FALSE),"")</f>
        <v>410.56049385774082</v>
      </c>
      <c r="AT4" s="31">
        <f>IFERROR(VLOOKUP($A4,'Arranjos Consolidados'!$E$3:$BM$303,AT$2,FALSE),"")</f>
        <v>96.814689227565196</v>
      </c>
      <c r="AU4" s="31">
        <f>IFERROR(VLOOKUP($A4,'Arranjos Consolidados'!$E$3:$BM$303,AU$2,FALSE),"")</f>
        <v>96.814689227565196</v>
      </c>
      <c r="AV4" s="31">
        <f>IFERROR(VLOOKUP($A4,'Arranjos Consolidados'!$E$3:$BM$303,AV$2,FALSE),"")</f>
        <v>0</v>
      </c>
      <c r="AW4" s="31">
        <f>IFERROR(VLOOKUP($A4,'Arranjos Consolidados'!$E$3:$BM$303,AW$2,FALSE),"")</f>
        <v>0</v>
      </c>
      <c r="AX4" s="31">
        <f>IFERROR(VLOOKUP($A4,'Arranjos Consolidados'!$E$3:$BM$303,AX$2,FALSE),"")</f>
        <v>266.3351073752757</v>
      </c>
      <c r="AY4" s="31">
        <f>IFERROR(VLOOKUP($A4,'Arranjos Consolidados'!$E$3:$BM$303,AY$2,FALSE),"")</f>
        <v>76.930878417473082</v>
      </c>
      <c r="AZ4" s="31">
        <f>IFERROR(VLOOKUP($A4,'Arranjos Consolidados'!$E$3:$BM$303,AZ$2,FALSE),"")</f>
        <v>78.918428732417752</v>
      </c>
      <c r="BA4" s="31">
        <f>IFERROR(VLOOKUP($A4,'Arranjos Consolidados'!$E$3:$BM$303,BA$2,FALSE),"")</f>
        <v>110.48580022538486</v>
      </c>
      <c r="BB4" s="31">
        <f>IFERROR(VLOOKUP($A4,'Arranjos Consolidados'!$E$3:$BM$303,BB$2,FALSE),"")</f>
        <v>0</v>
      </c>
      <c r="BC4" s="31">
        <f>IFERROR(VLOOKUP($A4,'Arranjos Consolidados'!$E$3:$BM$303,BC$2,FALSE),"")</f>
        <v>47.410697254899915</v>
      </c>
      <c r="BD4" s="31">
        <f>IFERROR(VLOOKUP($A4,'Arranjos Consolidados'!$E$3:$BM$303,BD$2,FALSE),"")</f>
        <v>16.118714366833188</v>
      </c>
      <c r="BE4" s="31">
        <f>IFERROR(VLOOKUP($A4,'Arranjos Consolidados'!$E$3:$BM$303,BE$2,FALSE),"")</f>
        <v>1.4723613094253223</v>
      </c>
      <c r="BF4" s="31">
        <f>IFERROR(VLOOKUP($A4,'Arranjos Consolidados'!$E$3:$BM$303,BF$2,FALSE),"")</f>
        <v>29.819621578641399</v>
      </c>
      <c r="BG4" s="31">
        <f>IFERROR(VLOOKUP($A4,'Arranjos Consolidados'!$E$3:$BM$303,BG$2,FALSE),"")</f>
        <v>0</v>
      </c>
      <c r="BH4" s="31">
        <f>IFERROR(VLOOKUP($A4,'Arranjos Consolidados'!$E$3:$BM$303,BH$2,FALSE),"")</f>
        <v>450.48529440260018</v>
      </c>
      <c r="BI4" s="31">
        <f>IFERROR(VLOOKUP($A4,'Arranjos Consolidados'!$E$3:$BM$303,BI$2,FALSE),"")</f>
        <v>591.87086369745975</v>
      </c>
      <c r="BJ4" s="34">
        <f>IFERROR(VLOOKUP($A4,'Arranjos Consolidados'!$E$3:$BM$303,BJ$2,FALSE),"")</f>
        <v>1.5996037656592381</v>
      </c>
      <c r="BK4" s="34">
        <f>IFERROR(VLOOKUP($A4,'Arranjos Consolidados'!$E$3:$BM$303,BK$2,FALSE),"")</f>
        <v>2.9851679505576811</v>
      </c>
    </row>
    <row r="5" spans="1:63" ht="16.5" x14ac:dyDescent="0.25">
      <c r="A5" s="24" t="s">
        <v>10013</v>
      </c>
      <c r="B5" s="32">
        <f>'Banco de Dados'!$I$29</f>
        <v>300</v>
      </c>
      <c r="C5" s="25">
        <f>'Banco de Dados'!$I$30/100</f>
        <v>0.42499999999999999</v>
      </c>
      <c r="D5" s="29">
        <f>IFERROR(VLOOKUP($A5,'Arranjos Consolidados'!$E$3:$BM$303,D$2,FALSE),"")</f>
        <v>18919</v>
      </c>
      <c r="E5" s="33">
        <f>IFERROR(VLOOKUP($A5,'Arranjos Consolidados'!$E$3:$BM$303,E$2,FALSE),"")</f>
        <v>0.89712986944341666</v>
      </c>
      <c r="F5" s="29">
        <f>IFERROR(VLOOKUP($A5,'Arranjos Consolidados'!$E$3:$BM$303,F$2,FALSE),"")</f>
        <v>199.99999999999997</v>
      </c>
      <c r="G5" s="31">
        <f>IFERROR(VLOOKUP($A5,'Arranjos Consolidados'!$E$3:$BM$303,G$2,FALSE),"")</f>
        <v>152.99210419327912</v>
      </c>
      <c r="H5" s="34">
        <f>IFERROR(VLOOKUP($A5,'Arranjos Consolidados'!$E$3:$BM$303,H$2,FALSE),"")</f>
        <v>3.6006166857258357</v>
      </c>
      <c r="I5" s="29">
        <f>IFERROR(VLOOKUP($A5,'Arranjos Consolidados'!$E$3:$BM$303,I$2,FALSE),"")</f>
        <v>30</v>
      </c>
      <c r="J5" s="31">
        <f>IFERROR(VLOOKUP($A5,'Arranjos Consolidados'!$E$3:$BM$303,J$2,FALSE),"")</f>
        <v>136.13307213328721</v>
      </c>
      <c r="K5" s="31">
        <f>IFERROR(VLOOKUP($A5,'Arranjos Consolidados'!$E$3:$BM$303,K$2,FALSE),"")</f>
        <v>25.463733837986588</v>
      </c>
      <c r="L5" s="31">
        <f>IFERROR(VLOOKUP($A5,'Arranjos Consolidados'!$E$3:$BM$303,L$2,FALSE),"")</f>
        <v>42.488796240288906</v>
      </c>
      <c r="M5" s="31">
        <f>IFERROR(VLOOKUP($A5,'Arranjos Consolidados'!$E$3:$BM$303,M$2,FALSE),"")</f>
        <v>11.532562754760633</v>
      </c>
      <c r="N5" s="31">
        <f>IFERROR(VLOOKUP($A5,'Arranjos Consolidados'!$E$3:$BM$303,N$2,FALSE),"")</f>
        <v>15.103165850011305</v>
      </c>
      <c r="O5" s="31">
        <f>IFERROR(VLOOKUP($A5,'Arranjos Consolidados'!$E$3:$BM$303,O$2,FALSE),"")</f>
        <v>15.853067635516966</v>
      </c>
      <c r="P5" s="31">
        <f>IFERROR(VLOOKUP($A5,'Arranjos Consolidados'!$E$3:$BM$303,P$2,FALSE),"")</f>
        <v>3.4243196328840946</v>
      </c>
      <c r="Q5" s="31">
        <f>IFERROR(VLOOKUP($A5,'Arranjos Consolidados'!$E$3:$BM$303,Q$2,FALSE),"")</f>
        <v>5.9914482122081827</v>
      </c>
      <c r="R5" s="31">
        <f>IFERROR(VLOOKUP($A5,'Arranjos Consolidados'!$E$3:$BM$303,R$2,FALSE),"")</f>
        <v>6.4372997904246914</v>
      </c>
      <c r="S5" s="31">
        <f>IFERROR(VLOOKUP($A5,'Arranjos Consolidados'!$E$3:$BM$303,S$2,FALSE),"")</f>
        <v>4207.927716448683</v>
      </c>
      <c r="T5" s="31">
        <f>IFERROR(VLOOKUP($A5,'Arranjos Consolidados'!$E$3:$BM$303,T$2,FALSE),"")</f>
        <v>4353.7586323035193</v>
      </c>
      <c r="U5" s="31">
        <f>IFERROR(VLOOKUP($A5,'Arranjos Consolidados'!$E$3:$BM$303,U$2,FALSE),"")</f>
        <v>0</v>
      </c>
      <c r="V5" s="31">
        <f>IFERROR(VLOOKUP($A5,'Arranjos Consolidados'!$E$3:$BM$303,V$2,FALSE),"")</f>
        <v>0</v>
      </c>
      <c r="W5" s="31">
        <f>IFERROR(VLOOKUP($A5,'Arranjos Consolidados'!$E$3:$BM$303,W$2,FALSE),"")</f>
        <v>348.15929742031165</v>
      </c>
      <c r="X5" s="29">
        <f>IFERROR(VLOOKUP($A5,'Arranjos Consolidados'!$E$3:$BM$303,X$2,FALSE),"")</f>
        <v>0</v>
      </c>
      <c r="Y5" s="31">
        <f>IFERROR(VLOOKUP($A5,'Arranjos Consolidados'!$E$3:$BM$303,Y$2,FALSE),"")</f>
        <v>0</v>
      </c>
      <c r="Z5" s="29">
        <f>IFERROR(VLOOKUP($A5,'Arranjos Consolidados'!$E$3:$BM$303,Z$2,FALSE),"")</f>
        <v>0</v>
      </c>
      <c r="AA5" s="31">
        <f>IFERROR(VLOOKUP($A5,'Arranjos Consolidados'!$E$3:$BM$303,AA$2,FALSE),"")</f>
        <v>348.15929742031165</v>
      </c>
      <c r="AB5" s="31">
        <f>IFERROR(VLOOKUP($A5,'Arranjos Consolidados'!$E$3:$BM$303,AB$2,FALSE),"")</f>
        <v>195.16719322703253</v>
      </c>
      <c r="AC5" s="31">
        <f>IFERROR(VLOOKUP($A5,'Arranjos Consolidados'!$E$3:$BM$303,AC$2,FALSE),"")</f>
        <v>8.8574775236429666</v>
      </c>
      <c r="AD5" s="31">
        <f>IFERROR(VLOOKUP($A5,'Arranjos Consolidados'!$E$3:$BM$303,AD$2,FALSE),"")</f>
        <v>0</v>
      </c>
      <c r="AE5" s="31">
        <f>IFERROR(VLOOKUP($A5,'Arranjos Consolidados'!$E$3:$BM$303,AE$2,FALSE),"")</f>
        <v>0</v>
      </c>
      <c r="AF5" s="31">
        <f>IFERROR(VLOOKUP($A5,'Arranjos Consolidados'!$E$3:$BM$303,AF$2,FALSE),"")</f>
        <v>81.48464626978587</v>
      </c>
      <c r="AG5" s="31">
        <f>IFERROR(VLOOKUP($A5,'Arranjos Consolidados'!$E$3:$BM$303,AG$2,FALSE),"")</f>
        <v>104.82506943360373</v>
      </c>
      <c r="AH5" s="31">
        <f>IFERROR(VLOOKUP($A5,'Arranjos Consolidados'!$E$3:$BM$303,AH$2,FALSE),"")</f>
        <v>0</v>
      </c>
      <c r="AI5" s="31">
        <f>IFERROR(VLOOKUP($A5,'Arranjos Consolidados'!$E$3:$BM$303,AI$2,FALSE),"")</f>
        <v>0</v>
      </c>
      <c r="AJ5" s="31">
        <f>IFERROR(VLOOKUP($A5,'Arranjos Consolidados'!$E$3:$BM$303,AJ$2,FALSE),"")</f>
        <v>0</v>
      </c>
      <c r="AK5" s="31">
        <f>IFERROR(VLOOKUP($A5,'Arranjos Consolidados'!$E$3:$BM$303,AK$2,FALSE),"")</f>
        <v>0</v>
      </c>
      <c r="AL5" s="34">
        <f>IFERROR(VLOOKUP($A5,'Arranjos Consolidados'!$E$3:$BM$303,AL$2,FALSE),"")</f>
        <v>0.52268913644231974</v>
      </c>
      <c r="AM5" s="31">
        <f>IFERROR(VLOOKUP($A5,'Arranjos Consolidados'!$E$3:$BM$303,AM$2,FALSE),"")</f>
        <v>152.99210419327912</v>
      </c>
      <c r="AN5" s="31">
        <f>IFERROR(VLOOKUP($A5,'Arranjos Consolidados'!$E$3:$BM$303,AN$2,FALSE),"")</f>
        <v>90.342123793428826</v>
      </c>
      <c r="AO5" s="31">
        <f>IFERROR(VLOOKUP($A5,'Arranjos Consolidados'!$E$3:$BM$303,AO$2,FALSE),"")</f>
        <v>8.8574775236429666</v>
      </c>
      <c r="AP5" s="31">
        <f>IFERROR(VLOOKUP($A5,'Arranjos Consolidados'!$E$3:$BM$303,AP$2,FALSE),"")</f>
        <v>0</v>
      </c>
      <c r="AQ5" s="31">
        <f>IFERROR(VLOOKUP($A5,'Arranjos Consolidados'!$E$3:$BM$303,AQ$2,FALSE),"")</f>
        <v>0</v>
      </c>
      <c r="AR5" s="31">
        <f>IFERROR(VLOOKUP($A5,'Arranjos Consolidados'!$E$3:$BM$303,AR$2,FALSE),"")</f>
        <v>81.48464626978587</v>
      </c>
      <c r="AS5" s="31">
        <f>IFERROR(VLOOKUP($A5,'Arranjos Consolidados'!$E$3:$BM$303,AS$2,FALSE),"")</f>
        <v>392.03355317192472</v>
      </c>
      <c r="AT5" s="31">
        <f>IFERROR(VLOOKUP($A5,'Arranjos Consolidados'!$E$3:$BM$303,AT$2,FALSE),"")</f>
        <v>111.81115799796279</v>
      </c>
      <c r="AU5" s="31">
        <f>IFERROR(VLOOKUP($A5,'Arranjos Consolidados'!$E$3:$BM$303,AU$2,FALSE),"")</f>
        <v>111.81115799796279</v>
      </c>
      <c r="AV5" s="31">
        <f>IFERROR(VLOOKUP($A5,'Arranjos Consolidados'!$E$3:$BM$303,AV$2,FALSE),"")</f>
        <v>0</v>
      </c>
      <c r="AW5" s="31">
        <f>IFERROR(VLOOKUP($A5,'Arranjos Consolidados'!$E$3:$BM$303,AW$2,FALSE),"")</f>
        <v>0</v>
      </c>
      <c r="AX5" s="31">
        <f>IFERROR(VLOOKUP($A5,'Arranjos Consolidados'!$E$3:$BM$303,AX$2,FALSE),"")</f>
        <v>222.33662746346721</v>
      </c>
      <c r="AY5" s="31">
        <f>IFERROR(VLOOKUP($A5,'Arranjos Consolidados'!$E$3:$BM$303,AY$2,FALSE),"")</f>
        <v>77.834886612819687</v>
      </c>
      <c r="AZ5" s="31">
        <f>IFERROR(VLOOKUP($A5,'Arranjos Consolidados'!$E$3:$BM$303,AZ$2,FALSE),"")</f>
        <v>60.209058687769819</v>
      </c>
      <c r="BA5" s="31">
        <f>IFERROR(VLOOKUP($A5,'Arranjos Consolidados'!$E$3:$BM$303,BA$2,FALSE),"")</f>
        <v>84.292682162877725</v>
      </c>
      <c r="BB5" s="31">
        <f>IFERROR(VLOOKUP($A5,'Arranjos Consolidados'!$E$3:$BM$303,BB$2,FALSE),"")</f>
        <v>0</v>
      </c>
      <c r="BC5" s="31">
        <f>IFERROR(VLOOKUP($A5,'Arranjos Consolidados'!$E$3:$BM$303,BC$2,FALSE),"")</f>
        <v>57.885767710494662</v>
      </c>
      <c r="BD5" s="31">
        <f>IFERROR(VLOOKUP($A5,'Arranjos Consolidados'!$E$3:$BM$303,BD$2,FALSE),"")</f>
        <v>19.788106950461017</v>
      </c>
      <c r="BE5" s="31">
        <f>IFERROR(VLOOKUP($A5,'Arranjos Consolidados'!$E$3:$BM$303,BE$2,FALSE),"")</f>
        <v>1.4896629016807592</v>
      </c>
      <c r="BF5" s="31">
        <f>IFERROR(VLOOKUP($A5,'Arranjos Consolidados'!$E$3:$BM$303,BF$2,FALSE),"")</f>
        <v>36.607997858352881</v>
      </c>
      <c r="BG5" s="31">
        <f>IFERROR(VLOOKUP($A5,'Arranjos Consolidados'!$E$3:$BM$303,BG$2,FALSE),"")</f>
        <v>0</v>
      </c>
      <c r="BH5" s="31">
        <f>IFERROR(VLOOKUP($A5,'Arranjos Consolidados'!$E$3:$BM$303,BH$2,FALSE),"")</f>
        <v>482.37567696535342</v>
      </c>
      <c r="BI5" s="31">
        <f>IFERROR(VLOOKUP($A5,'Arranjos Consolidados'!$E$3:$BM$303,BI$2,FALSE),"")</f>
        <v>677.54287019238609</v>
      </c>
      <c r="BJ5" s="34">
        <f>IFERROR(VLOOKUP($A5,'Arranjos Consolidados'!$E$3:$BM$303,BJ$2,FALSE),"")</f>
        <v>1.5225721660240914</v>
      </c>
      <c r="BK5" s="34">
        <f>IFERROR(VLOOKUP($A5,'Arranjos Consolidados'!$E$3:$BM$303,BK$2,FALSE),"")</f>
        <v>3.6006166857258357</v>
      </c>
    </row>
    <row r="6" spans="1:63" ht="16.5" x14ac:dyDescent="0.25">
      <c r="A6" s="24" t="s">
        <v>10018</v>
      </c>
      <c r="B6" s="32">
        <f>'Banco de Dados'!$I$29</f>
        <v>300</v>
      </c>
      <c r="C6" s="25">
        <f>'Banco de Dados'!$I$30/100</f>
        <v>0.42499999999999999</v>
      </c>
      <c r="D6" s="29">
        <f>IFERROR(VLOOKUP($A6,'Arranjos Consolidados'!$E$3:$BM$303,D$2,FALSE),"")</f>
        <v>92598</v>
      </c>
      <c r="E6" s="33">
        <f>IFERROR(VLOOKUP($A6,'Arranjos Consolidados'!$E$3:$BM$303,E$2,FALSE),"")</f>
        <v>0.8971289950639485</v>
      </c>
      <c r="F6" s="29">
        <f>IFERROR(VLOOKUP($A6,'Arranjos Consolidados'!$E$3:$BM$303,F$2,FALSE),"")</f>
        <v>200.00000000000003</v>
      </c>
      <c r="G6" s="31">
        <f>IFERROR(VLOOKUP($A6,'Arranjos Consolidados'!$E$3:$BM$303,G$2,FALSE),"")</f>
        <v>73.898283133583746</v>
      </c>
      <c r="H6" s="34">
        <f>IFERROR(VLOOKUP($A6,'Arranjos Consolidados'!$E$3:$BM$303,H$2,FALSE),"")</f>
        <v>0.59239804443575761</v>
      </c>
      <c r="I6" s="29">
        <f>IFERROR(VLOOKUP($A6,'Arranjos Consolidados'!$E$3:$BM$303,I$2,FALSE),"")</f>
        <v>30</v>
      </c>
      <c r="J6" s="31">
        <f>IFERROR(VLOOKUP($A6,'Arranjos Consolidados'!$E$3:$BM$303,J$2,FALSE),"")</f>
        <v>134.3108079698755</v>
      </c>
      <c r="K6" s="31">
        <f>IFERROR(VLOOKUP($A6,'Arranjos Consolidados'!$E$3:$BM$303,K$2,FALSE),"")</f>
        <v>25.258168037482598</v>
      </c>
      <c r="L6" s="31">
        <f>IFERROR(VLOOKUP($A6,'Arranjos Consolidados'!$E$3:$BM$303,L$2,FALSE),"")</f>
        <v>42.488796240288899</v>
      </c>
      <c r="M6" s="31">
        <f>IFERROR(VLOOKUP($A6,'Arranjos Consolidados'!$E$3:$BM$303,M$2,FALSE),"")</f>
        <v>13.367753948070497</v>
      </c>
      <c r="N6" s="31">
        <f>IFERROR(VLOOKUP($A6,'Arranjos Consolidados'!$E$3:$BM$303,N$2,FALSE),"")</f>
        <v>14.418376292171903</v>
      </c>
      <c r="O6" s="31">
        <f>IFERROR(VLOOKUP($A6,'Arranjos Consolidados'!$E$3:$BM$303,O$2,FALSE),"")</f>
        <v>14.702666000046493</v>
      </c>
      <c r="P6" s="31">
        <f>IFERROR(VLOOKUP($A6,'Arranjos Consolidados'!$E$3:$BM$303,P$2,FALSE),"")</f>
        <v>3.4425238737495536</v>
      </c>
      <c r="Q6" s="31">
        <f>IFERROR(VLOOKUP($A6,'Arranjos Consolidados'!$E$3:$BM$303,Q$2,FALSE),"")</f>
        <v>5.4281057430338375</v>
      </c>
      <c r="R6" s="31">
        <f>IFERROR(VLOOKUP($A6,'Arranjos Consolidados'!$E$3:$BM$303,R$2,FALSE),"")</f>
        <v>5.8320363832631026</v>
      </c>
      <c r="S6" s="31">
        <f>IFERROR(VLOOKUP($A6,'Arranjos Consolidados'!$E$3:$BM$303,S$2,FALSE),"")</f>
        <v>6345.3752863570944</v>
      </c>
      <c r="T6" s="31">
        <f>IFERROR(VLOOKUP($A6,'Arranjos Consolidados'!$E$3:$BM$303,T$2,FALSE),"")</f>
        <v>3944.3989831433296</v>
      </c>
      <c r="U6" s="31">
        <f>IFERROR(VLOOKUP($A6,'Arranjos Consolidados'!$E$3:$BM$303,U$2,FALSE),"")</f>
        <v>0</v>
      </c>
      <c r="V6" s="31">
        <f>IFERROR(VLOOKUP($A6,'Arranjos Consolidados'!$E$3:$BM$303,V$2,FALSE),"")</f>
        <v>0</v>
      </c>
      <c r="W6" s="31">
        <f>IFERROR(VLOOKUP($A6,'Arranjos Consolidados'!$E$3:$BM$303,W$2,FALSE),"")</f>
        <v>372.52005744454391</v>
      </c>
      <c r="X6" s="29">
        <f>IFERROR(VLOOKUP($A6,'Arranjos Consolidados'!$E$3:$BM$303,X$2,FALSE),"")</f>
        <v>0</v>
      </c>
      <c r="Y6" s="31">
        <f>IFERROR(VLOOKUP($A6,'Arranjos Consolidados'!$E$3:$BM$303,Y$2,FALSE),"")</f>
        <v>0</v>
      </c>
      <c r="Z6" s="29">
        <f>IFERROR(VLOOKUP($A6,'Arranjos Consolidados'!$E$3:$BM$303,Z$2,FALSE),"")</f>
        <v>0</v>
      </c>
      <c r="AA6" s="31">
        <f>IFERROR(VLOOKUP($A6,'Arranjos Consolidados'!$E$3:$BM$303,AA$2,FALSE),"")</f>
        <v>372.52005744454391</v>
      </c>
      <c r="AB6" s="31">
        <f>IFERROR(VLOOKUP($A6,'Arranjos Consolidados'!$E$3:$BM$303,AB$2,FALSE),"")</f>
        <v>298.62177431096018</v>
      </c>
      <c r="AC6" s="31">
        <f>IFERROR(VLOOKUP($A6,'Arranjos Consolidados'!$E$3:$BM$303,AC$2,FALSE),"")</f>
        <v>8.0246582982913974</v>
      </c>
      <c r="AD6" s="31">
        <f>IFERROR(VLOOKUP($A6,'Arranjos Consolidados'!$E$3:$BM$303,AD$2,FALSE),"")</f>
        <v>0</v>
      </c>
      <c r="AE6" s="31">
        <f>IFERROR(VLOOKUP($A6,'Arranjos Consolidados'!$E$3:$BM$303,AE$2,FALSE),"")</f>
        <v>0</v>
      </c>
      <c r="AF6" s="31">
        <f>IFERROR(VLOOKUP($A6,'Arranjos Consolidados'!$E$3:$BM$303,AF$2,FALSE),"")</f>
        <v>184.06312551264543</v>
      </c>
      <c r="AG6" s="31">
        <f>IFERROR(VLOOKUP($A6,'Arranjos Consolidados'!$E$3:$BM$303,AG$2,FALSE),"")</f>
        <v>106.53399050002335</v>
      </c>
      <c r="AH6" s="31">
        <f>IFERROR(VLOOKUP($A6,'Arranjos Consolidados'!$E$3:$BM$303,AH$2,FALSE),"")</f>
        <v>0</v>
      </c>
      <c r="AI6" s="31">
        <f>IFERROR(VLOOKUP($A6,'Arranjos Consolidados'!$E$3:$BM$303,AI$2,FALSE),"")</f>
        <v>0</v>
      </c>
      <c r="AJ6" s="31">
        <f>IFERROR(VLOOKUP($A6,'Arranjos Consolidados'!$E$3:$BM$303,AJ$2,FALSE),"")</f>
        <v>0</v>
      </c>
      <c r="AK6" s="31">
        <f>IFERROR(VLOOKUP($A6,'Arranjos Consolidados'!$E$3:$BM$303,AK$2,FALSE),"")</f>
        <v>0</v>
      </c>
      <c r="AL6" s="34">
        <f>IFERROR(VLOOKUP($A6,'Arranjos Consolidados'!$E$3:$BM$303,AL$2,FALSE),"")</f>
        <v>0.67412863023877989</v>
      </c>
      <c r="AM6" s="31">
        <f>IFERROR(VLOOKUP($A6,'Arranjos Consolidados'!$E$3:$BM$303,AM$2,FALSE),"")</f>
        <v>73.898283133583746</v>
      </c>
      <c r="AN6" s="31">
        <f>IFERROR(VLOOKUP($A6,'Arranjos Consolidados'!$E$3:$BM$303,AN$2,FALSE),"")</f>
        <v>192.08778381093683</v>
      </c>
      <c r="AO6" s="31">
        <f>IFERROR(VLOOKUP($A6,'Arranjos Consolidados'!$E$3:$BM$303,AO$2,FALSE),"")</f>
        <v>8.0246582982913974</v>
      </c>
      <c r="AP6" s="31">
        <f>IFERROR(VLOOKUP($A6,'Arranjos Consolidados'!$E$3:$BM$303,AP$2,FALSE),"")</f>
        <v>0</v>
      </c>
      <c r="AQ6" s="31">
        <f>IFERROR(VLOOKUP($A6,'Arranjos Consolidados'!$E$3:$BM$303,AQ$2,FALSE),"")</f>
        <v>0</v>
      </c>
      <c r="AR6" s="31">
        <f>IFERROR(VLOOKUP($A6,'Arranjos Consolidados'!$E$3:$BM$303,AR$2,FALSE),"")</f>
        <v>184.06312551264543</v>
      </c>
      <c r="AS6" s="31">
        <f>IFERROR(VLOOKUP($A6,'Arranjos Consolidados'!$E$3:$BM$303,AS$2,FALSE),"")</f>
        <v>387.46356502041004</v>
      </c>
      <c r="AT6" s="31">
        <f>IFERROR(VLOOKUP($A6,'Arranjos Consolidados'!$E$3:$BM$303,AT$2,FALSE),"")</f>
        <v>118.41740712966912</v>
      </c>
      <c r="AU6" s="31">
        <f>IFERROR(VLOOKUP($A6,'Arranjos Consolidados'!$E$3:$BM$303,AU$2,FALSE),"")</f>
        <v>118.41740712966912</v>
      </c>
      <c r="AV6" s="31">
        <f>IFERROR(VLOOKUP($A6,'Arranjos Consolidados'!$E$3:$BM$303,AV$2,FALSE),"")</f>
        <v>0</v>
      </c>
      <c r="AW6" s="31">
        <f>IFERROR(VLOOKUP($A6,'Arranjos Consolidados'!$E$3:$BM$303,AW$2,FALSE),"")</f>
        <v>0</v>
      </c>
      <c r="AX6" s="31">
        <f>IFERROR(VLOOKUP($A6,'Arranjos Consolidados'!$E$3:$BM$303,AX$2,FALSE),"")</f>
        <v>222.22420759314841</v>
      </c>
      <c r="AY6" s="31">
        <f>IFERROR(VLOOKUP($A6,'Arranjos Consolidados'!$E$3:$BM$303,AY$2,FALSE),"")</f>
        <v>78.294084168131221</v>
      </c>
      <c r="AZ6" s="31">
        <f>IFERROR(VLOOKUP($A6,'Arranjos Consolidados'!$E$3:$BM$303,AZ$2,FALSE),"")</f>
        <v>59.970884760423829</v>
      </c>
      <c r="BA6" s="31">
        <f>IFERROR(VLOOKUP($A6,'Arranjos Consolidados'!$E$3:$BM$303,BA$2,FALSE),"")</f>
        <v>83.959238664593357</v>
      </c>
      <c r="BB6" s="31">
        <f>IFERROR(VLOOKUP($A6,'Arranjos Consolidados'!$E$3:$BM$303,BB$2,FALSE),"")</f>
        <v>0</v>
      </c>
      <c r="BC6" s="31">
        <f>IFERROR(VLOOKUP($A6,'Arranjos Consolidados'!$E$3:$BM$303,BC$2,FALSE),"")</f>
        <v>46.821950297592537</v>
      </c>
      <c r="BD6" s="31">
        <f>IFERROR(VLOOKUP($A6,'Arranjos Consolidados'!$E$3:$BM$303,BD$2,FALSE),"")</f>
        <v>15.902982079281985</v>
      </c>
      <c r="BE6" s="31">
        <f>IFERROR(VLOOKUP($A6,'Arranjos Consolidados'!$E$3:$BM$303,BE$2,FALSE),"")</f>
        <v>1.498451371638875</v>
      </c>
      <c r="BF6" s="31">
        <f>IFERROR(VLOOKUP($A6,'Arranjos Consolidados'!$E$3:$BM$303,BF$2,FALSE),"")</f>
        <v>29.420516846671674</v>
      </c>
      <c r="BG6" s="31">
        <f>IFERROR(VLOOKUP($A6,'Arranjos Consolidados'!$E$3:$BM$303,BG$2,FALSE),"")</f>
        <v>0</v>
      </c>
      <c r="BH6" s="31">
        <f>IFERROR(VLOOKUP($A6,'Arranjos Consolidados'!$E$3:$BM$303,BH$2,FALSE),"")</f>
        <v>579.55134883134679</v>
      </c>
      <c r="BI6" s="31">
        <f>IFERROR(VLOOKUP($A6,'Arranjos Consolidados'!$E$3:$BM$303,BI$2,FALSE),"")</f>
        <v>878.17312314230708</v>
      </c>
      <c r="BJ6" s="34">
        <f>IFERROR(VLOOKUP($A6,'Arranjos Consolidados'!$E$3:$BM$303,BJ$2,FALSE),"")</f>
        <v>1.7747406690307557</v>
      </c>
      <c r="BK6" s="34">
        <f>IFERROR(VLOOKUP($A6,'Arranjos Consolidados'!$E$3:$BM$303,BK$2,FALSE),"")</f>
        <v>0.59239804443575761</v>
      </c>
    </row>
    <row r="7" spans="1:63" ht="16.5" x14ac:dyDescent="0.25">
      <c r="A7" s="24" t="s">
        <v>10755</v>
      </c>
      <c r="B7" s="32">
        <f>'Banco de Dados'!$I$29</f>
        <v>300</v>
      </c>
      <c r="C7" s="25">
        <f>'Banco de Dados'!$I$30/100</f>
        <v>0.42499999999999999</v>
      </c>
      <c r="D7" s="29">
        <f>IFERROR(VLOOKUP($A7,'Arranjos Consolidados'!$E$3:$BM$303,D$2,FALSE),"")</f>
        <v>54624</v>
      </c>
      <c r="E7" s="33">
        <f>IFERROR(VLOOKUP($A7,'Arranjos Consolidados'!$E$3:$BM$303,E$2,FALSE),"")</f>
        <v>0.8971242506680791</v>
      </c>
      <c r="F7" s="29">
        <f>IFERROR(VLOOKUP($A7,'Arranjos Consolidados'!$E$3:$BM$303,F$2,FALSE),"")</f>
        <v>200</v>
      </c>
      <c r="G7" s="31">
        <f>IFERROR(VLOOKUP($A7,'Arranjos Consolidados'!$E$3:$BM$303,G$2,FALSE),"")</f>
        <v>134.2983456727967</v>
      </c>
      <c r="H7" s="34">
        <f>IFERROR(VLOOKUP($A7,'Arranjos Consolidados'!$E$3:$BM$303,H$2,FALSE),"")</f>
        <v>7.1643951189718384</v>
      </c>
      <c r="I7" s="29">
        <f>IFERROR(VLOOKUP($A7,'Arranjos Consolidados'!$E$3:$BM$303,I$2,FALSE),"")</f>
        <v>30</v>
      </c>
      <c r="J7" s="31">
        <f>IFERROR(VLOOKUP($A7,'Arranjos Consolidados'!$E$3:$BM$303,J$2,FALSE),"")</f>
        <v>167.32002409427929</v>
      </c>
      <c r="K7" s="31">
        <f>IFERROR(VLOOKUP($A7,'Arranjos Consolidados'!$E$3:$BM$303,K$2,FALSE),"")</f>
        <v>31.146959311572324</v>
      </c>
      <c r="L7" s="31">
        <f>IFERROR(VLOOKUP($A7,'Arranjos Consolidados'!$E$3:$BM$303,L$2,FALSE),"")</f>
        <v>42.48879624028892</v>
      </c>
      <c r="M7" s="31">
        <f>IFERROR(VLOOKUP($A7,'Arranjos Consolidados'!$E$3:$BM$303,M$2,FALSE),"")</f>
        <v>31.050801829354086</v>
      </c>
      <c r="N7" s="31">
        <f>IFERROR(VLOOKUP($A7,'Arranjos Consolidados'!$E$3:$BM$303,N$2,FALSE),"")</f>
        <v>7.8200629480251758</v>
      </c>
      <c r="O7" s="31">
        <f>IFERROR(VLOOKUP($A7,'Arranjos Consolidados'!$E$3:$BM$303,O$2,FALSE),"")</f>
        <v>3.6179314629096591</v>
      </c>
      <c r="P7" s="31">
        <f>IFERROR(VLOOKUP($A7,'Arranjos Consolidados'!$E$3:$BM$303,P$2,FALSE),"")</f>
        <v>3.6179314629096591</v>
      </c>
      <c r="Q7" s="31">
        <f>IFERROR(VLOOKUP($A7,'Arranjos Consolidados'!$E$3:$BM$303,Q$2,FALSE),"")</f>
        <v>0</v>
      </c>
      <c r="R7" s="31">
        <f>IFERROR(VLOOKUP($A7,'Arranjos Consolidados'!$E$3:$BM$303,R$2,FALSE),"")</f>
        <v>0</v>
      </c>
      <c r="S7" s="31">
        <f>IFERROR(VLOOKUP($A7,'Arranjos Consolidados'!$E$3:$BM$303,S$2,FALSE),"")</f>
        <v>26940.824883221969</v>
      </c>
      <c r="T7" s="31">
        <f>IFERROR(VLOOKUP($A7,'Arranjos Consolidados'!$E$3:$BM$303,T$2,FALSE),"")</f>
        <v>0</v>
      </c>
      <c r="U7" s="31">
        <f>IFERROR(VLOOKUP($A7,'Arranjos Consolidados'!$E$3:$BM$303,U$2,FALSE),"")</f>
        <v>0</v>
      </c>
      <c r="V7" s="31">
        <f>IFERROR(VLOOKUP($A7,'Arranjos Consolidados'!$E$3:$BM$303,V$2,FALSE),"")</f>
        <v>0</v>
      </c>
      <c r="W7" s="31">
        <f>IFERROR(VLOOKUP($A7,'Arranjos Consolidados'!$E$3:$BM$303,W$2,FALSE),"")</f>
        <v>614.40027586435599</v>
      </c>
      <c r="X7" s="29">
        <f>IFERROR(VLOOKUP($A7,'Arranjos Consolidados'!$E$3:$BM$303,X$2,FALSE),"")</f>
        <v>0</v>
      </c>
      <c r="Y7" s="31">
        <f>IFERROR(VLOOKUP($A7,'Arranjos Consolidados'!$E$3:$BM$303,Y$2,FALSE),"")</f>
        <v>0</v>
      </c>
      <c r="Z7" s="29">
        <f>IFERROR(VLOOKUP($A7,'Arranjos Consolidados'!$E$3:$BM$303,Z$2,FALSE),"")</f>
        <v>0</v>
      </c>
      <c r="AA7" s="31">
        <f>IFERROR(VLOOKUP($A7,'Arranjos Consolidados'!$E$3:$BM$303,AA$2,FALSE),"")</f>
        <v>614.40027586435599</v>
      </c>
      <c r="AB7" s="31">
        <f>IFERROR(VLOOKUP($A7,'Arranjos Consolidados'!$E$3:$BM$303,AB$2,FALSE),"")</f>
        <v>480.10193019155929</v>
      </c>
      <c r="AC7" s="31">
        <f>IFERROR(VLOOKUP($A7,'Arranjos Consolidados'!$E$3:$BM$303,AC$2,FALSE),"")</f>
        <v>7.1512770957014684</v>
      </c>
      <c r="AD7" s="31">
        <f>IFERROR(VLOOKUP($A7,'Arranjos Consolidados'!$E$3:$BM$303,AD$2,FALSE),"")</f>
        <v>0</v>
      </c>
      <c r="AE7" s="31">
        <f>IFERROR(VLOOKUP($A7,'Arranjos Consolidados'!$E$3:$BM$303,AE$2,FALSE),"")</f>
        <v>0</v>
      </c>
      <c r="AF7" s="31">
        <f>IFERROR(VLOOKUP($A7,'Arranjos Consolidados'!$E$3:$BM$303,AF$2,FALSE),"")</f>
        <v>349.95029486641533</v>
      </c>
      <c r="AG7" s="31">
        <f>IFERROR(VLOOKUP($A7,'Arranjos Consolidados'!$E$3:$BM$303,AG$2,FALSE),"")</f>
        <v>123.00035822944253</v>
      </c>
      <c r="AH7" s="31">
        <f>IFERROR(VLOOKUP($A7,'Arranjos Consolidados'!$E$3:$BM$303,AH$2,FALSE),"")</f>
        <v>0</v>
      </c>
      <c r="AI7" s="31">
        <f>IFERROR(VLOOKUP($A7,'Arranjos Consolidados'!$E$3:$BM$303,AI$2,FALSE),"")</f>
        <v>0</v>
      </c>
      <c r="AJ7" s="31">
        <f>IFERROR(VLOOKUP($A7,'Arranjos Consolidados'!$E$3:$BM$303,AJ$2,FALSE),"")</f>
        <v>0</v>
      </c>
      <c r="AK7" s="31">
        <f>IFERROR(VLOOKUP($A7,'Arranjos Consolidados'!$E$3:$BM$303,AK$2,FALSE),"")</f>
        <v>0</v>
      </c>
      <c r="AL7" s="34">
        <f>IFERROR(VLOOKUP($A7,'Arranjos Consolidados'!$E$3:$BM$303,AL$2,FALSE),"")</f>
        <v>0.78141199274873419</v>
      </c>
      <c r="AM7" s="31">
        <f>IFERROR(VLOOKUP($A7,'Arranjos Consolidados'!$E$3:$BM$303,AM$2,FALSE),"")</f>
        <v>134.2983456727967</v>
      </c>
      <c r="AN7" s="31">
        <f>IFERROR(VLOOKUP($A7,'Arranjos Consolidados'!$E$3:$BM$303,AN$2,FALSE),"")</f>
        <v>357.10157196211685</v>
      </c>
      <c r="AO7" s="31">
        <f>IFERROR(VLOOKUP($A7,'Arranjos Consolidados'!$E$3:$BM$303,AO$2,FALSE),"")</f>
        <v>7.1512770957014684</v>
      </c>
      <c r="AP7" s="31">
        <f>IFERROR(VLOOKUP($A7,'Arranjos Consolidados'!$E$3:$BM$303,AP$2,FALSE),"")</f>
        <v>0</v>
      </c>
      <c r="AQ7" s="31">
        <f>IFERROR(VLOOKUP($A7,'Arranjos Consolidados'!$E$3:$BM$303,AQ$2,FALSE),"")</f>
        <v>0</v>
      </c>
      <c r="AR7" s="31">
        <f>IFERROR(VLOOKUP($A7,'Arranjos Consolidados'!$E$3:$BM$303,AR$2,FALSE),"")</f>
        <v>349.95029486641533</v>
      </c>
      <c r="AS7" s="31">
        <f>IFERROR(VLOOKUP($A7,'Arranjos Consolidados'!$E$3:$BM$303,AS$2,FALSE),"")</f>
        <v>539.50393094816343</v>
      </c>
      <c r="AT7" s="31">
        <f>IFERROR(VLOOKUP($A7,'Arranjos Consolidados'!$E$3:$BM$303,AT$2,FALSE),"")</f>
        <v>161.44953866481347</v>
      </c>
      <c r="AU7" s="31">
        <f>IFERROR(VLOOKUP($A7,'Arranjos Consolidados'!$E$3:$BM$303,AU$2,FALSE),"")</f>
        <v>161.44953866481347</v>
      </c>
      <c r="AV7" s="31">
        <f>IFERROR(VLOOKUP($A7,'Arranjos Consolidados'!$E$3:$BM$303,AV$2,FALSE),"")</f>
        <v>0</v>
      </c>
      <c r="AW7" s="31">
        <f>IFERROR(VLOOKUP($A7,'Arranjos Consolidados'!$E$3:$BM$303,AW$2,FALSE),"")</f>
        <v>0</v>
      </c>
      <c r="AX7" s="31">
        <f>IFERROR(VLOOKUP($A7,'Arranjos Consolidados'!$E$3:$BM$303,AX$2,FALSE),"")</f>
        <v>319.16607891014928</v>
      </c>
      <c r="AY7" s="31">
        <f>IFERROR(VLOOKUP($A7,'Arranjos Consolidados'!$E$3:$BM$303,AY$2,FALSE),"")</f>
        <v>82.718698010625445</v>
      </c>
      <c r="AZ7" s="31">
        <f>IFERROR(VLOOKUP($A7,'Arranjos Consolidados'!$E$3:$BM$303,AZ$2,FALSE),"")</f>
        <v>98.519742041468277</v>
      </c>
      <c r="BA7" s="31">
        <f>IFERROR(VLOOKUP($A7,'Arranjos Consolidados'!$E$3:$BM$303,BA$2,FALSE),"")</f>
        <v>137.92763885805559</v>
      </c>
      <c r="BB7" s="31">
        <f>IFERROR(VLOOKUP($A7,'Arranjos Consolidados'!$E$3:$BM$303,BB$2,FALSE),"")</f>
        <v>0</v>
      </c>
      <c r="BC7" s="31">
        <f>IFERROR(VLOOKUP($A7,'Arranjos Consolidados'!$E$3:$BM$303,BC$2,FALSE),"")</f>
        <v>58.888313373200795</v>
      </c>
      <c r="BD7" s="31">
        <f>IFERROR(VLOOKUP($A7,'Arranjos Consolidados'!$E$3:$BM$303,BD$2,FALSE),"")</f>
        <v>20.107080841024867</v>
      </c>
      <c r="BE7" s="31">
        <f>IFERROR(VLOOKUP($A7,'Arranjos Consolidados'!$E$3:$BM$303,BE$2,FALSE),"")</f>
        <v>1.5831329762799127</v>
      </c>
      <c r="BF7" s="31">
        <f>IFERROR(VLOOKUP($A7,'Arranjos Consolidados'!$E$3:$BM$303,BF$2,FALSE),"")</f>
        <v>37.198099555896007</v>
      </c>
      <c r="BG7" s="31">
        <f>IFERROR(VLOOKUP($A7,'Arranjos Consolidados'!$E$3:$BM$303,BG$2,FALSE),"")</f>
        <v>0</v>
      </c>
      <c r="BH7" s="31">
        <f>IFERROR(VLOOKUP($A7,'Arranjos Consolidados'!$E$3:$BM$303,BH$2,FALSE),"")</f>
        <v>896.60550291028039</v>
      </c>
      <c r="BI7" s="31">
        <f>IFERROR(VLOOKUP($A7,'Arranjos Consolidados'!$E$3:$BM$303,BI$2,FALSE),"")</f>
        <v>1376.7074331018396</v>
      </c>
      <c r="BJ7" s="34">
        <f>IFERROR(VLOOKUP($A7,'Arranjos Consolidados'!$E$3:$BM$303,BJ$2,FALSE),"")</f>
        <v>1.5663055586287404</v>
      </c>
      <c r="BK7" s="34">
        <f>IFERROR(VLOOKUP($A7,'Arranjos Consolidados'!$E$3:$BM$303,BK$2,FALSE),"")</f>
        <v>7.1643951189718384</v>
      </c>
    </row>
    <row r="8" spans="1:63" ht="16.5" x14ac:dyDescent="0.25">
      <c r="A8" s="24" t="s">
        <v>10011</v>
      </c>
      <c r="B8" s="32">
        <f>'Banco de Dados'!$I$29</f>
        <v>300</v>
      </c>
      <c r="C8" s="25">
        <f>'Banco de Dados'!$I$30/100</f>
        <v>0.42499999999999999</v>
      </c>
      <c r="D8" s="29">
        <f>IFERROR(VLOOKUP($A8,'Arranjos Consolidados'!$E$3:$BM$303,D$2,FALSE),"")</f>
        <v>121127</v>
      </c>
      <c r="E8" s="33">
        <f>IFERROR(VLOOKUP($A8,'Arranjos Consolidados'!$E$3:$BM$303,E$2,FALSE),"")</f>
        <v>0.89712952701856796</v>
      </c>
      <c r="F8" s="29">
        <f>IFERROR(VLOOKUP($A8,'Arranjos Consolidados'!$E$3:$BM$303,F$2,FALSE),"")</f>
        <v>199.99999999999997</v>
      </c>
      <c r="G8" s="31">
        <f>IFERROR(VLOOKUP($A8,'Arranjos Consolidados'!$E$3:$BM$303,G$2,FALSE),"")</f>
        <v>109.22046668447764</v>
      </c>
      <c r="H8" s="34">
        <f>IFERROR(VLOOKUP($A8,'Arranjos Consolidados'!$E$3:$BM$303,H$2,FALSE),"")</f>
        <v>4.6047458171204996</v>
      </c>
      <c r="I8" s="29">
        <f>IFERROR(VLOOKUP($A8,'Arranjos Consolidados'!$E$3:$BM$303,I$2,FALSE),"")</f>
        <v>30</v>
      </c>
      <c r="J8" s="31">
        <f>IFERROR(VLOOKUP($A8,'Arranjos Consolidados'!$E$3:$BM$303,J$2,FALSE),"")</f>
        <v>140.41235076477068</v>
      </c>
      <c r="K8" s="31">
        <f>IFERROR(VLOOKUP($A8,'Arranjos Consolidados'!$E$3:$BM$303,K$2,FALSE),"")</f>
        <v>21.399039976028522</v>
      </c>
      <c r="L8" s="31">
        <f>IFERROR(VLOOKUP($A8,'Arranjos Consolidados'!$E$3:$BM$303,L$2,FALSE),"")</f>
        <v>42.488796240288906</v>
      </c>
      <c r="M8" s="31">
        <f>IFERROR(VLOOKUP($A8,'Arranjos Consolidados'!$E$3:$BM$303,M$2,FALSE),"")</f>
        <v>7.9196779308105283</v>
      </c>
      <c r="N8" s="31">
        <f>IFERROR(VLOOKUP($A8,'Arranjos Consolidados'!$E$3:$BM$303,N$2,FALSE),"")</f>
        <v>16.451290127272763</v>
      </c>
      <c r="O8" s="31">
        <f>IFERROR(VLOOKUP($A8,'Arranjos Consolidados'!$E$3:$BM$303,O$2,FALSE),"")</f>
        <v>18.117828182205614</v>
      </c>
      <c r="P8" s="31">
        <f>IFERROR(VLOOKUP($A8,'Arranjos Consolidados'!$E$3:$BM$303,P$2,FALSE),"")</f>
        <v>3.3884815001630408</v>
      </c>
      <c r="Q8" s="31">
        <f>IFERROR(VLOOKUP($A8,'Arranjos Consolidados'!$E$3:$BM$303,Q$2,FALSE),"")</f>
        <v>7.100483317098699</v>
      </c>
      <c r="R8" s="31">
        <f>IFERROR(VLOOKUP($A8,'Arranjos Consolidados'!$E$3:$BM$303,R$2,FALSE),"")</f>
        <v>7.6288633649438724</v>
      </c>
      <c r="S8" s="31">
        <f>IFERROR(VLOOKUP($A8,'Arranjos Consolidados'!$E$3:$BM$303,S$2,FALSE),"")</f>
        <v>0</v>
      </c>
      <c r="T8" s="31">
        <f>IFERROR(VLOOKUP($A8,'Arranjos Consolidados'!$E$3:$BM$303,T$2,FALSE),"")</f>
        <v>0</v>
      </c>
      <c r="U8" s="31">
        <f>IFERROR(VLOOKUP($A8,'Arranjos Consolidados'!$E$3:$BM$303,U$2,FALSE),"")</f>
        <v>1289.9131161793068</v>
      </c>
      <c r="V8" s="31">
        <f>IFERROR(VLOOKUP($A8,'Arranjos Consolidados'!$E$3:$BM$303,V$2,FALSE),"")</f>
        <v>0</v>
      </c>
      <c r="W8" s="31">
        <f>IFERROR(VLOOKUP($A8,'Arranjos Consolidados'!$E$3:$BM$303,W$2,FALSE),"")</f>
        <v>304.6121390336761</v>
      </c>
      <c r="X8" s="29">
        <f>IFERROR(VLOOKUP($A8,'Arranjos Consolidados'!$E$3:$BM$303,X$2,FALSE),"")</f>
        <v>0</v>
      </c>
      <c r="Y8" s="31">
        <f>IFERROR(VLOOKUP($A8,'Arranjos Consolidados'!$E$3:$BM$303,Y$2,FALSE),"")</f>
        <v>0</v>
      </c>
      <c r="Z8" s="29">
        <f>IFERROR(VLOOKUP($A8,'Arranjos Consolidados'!$E$3:$BM$303,Z$2,FALSE),"")</f>
        <v>0</v>
      </c>
      <c r="AA8" s="31">
        <f>IFERROR(VLOOKUP($A8,'Arranjos Consolidados'!$E$3:$BM$303,AA$2,FALSE),"")</f>
        <v>304.6121390336761</v>
      </c>
      <c r="AB8" s="31">
        <f>IFERROR(VLOOKUP($A8,'Arranjos Consolidados'!$E$3:$BM$303,AB$2,FALSE),"")</f>
        <v>195.39167234919847</v>
      </c>
      <c r="AC8" s="31">
        <f>IFERROR(VLOOKUP($A8,'Arranjos Consolidados'!$E$3:$BM$303,AC$2,FALSE),"")</f>
        <v>-16.338962881692922</v>
      </c>
      <c r="AD8" s="31">
        <f>IFERROR(VLOOKUP($A8,'Arranjos Consolidados'!$E$3:$BM$303,AD$2,FALSE),"")</f>
        <v>14.27328083982685</v>
      </c>
      <c r="AE8" s="31">
        <f>IFERROR(VLOOKUP($A8,'Arranjos Consolidados'!$E$3:$BM$303,AE$2,FALSE),"")</f>
        <v>30.815325140872265</v>
      </c>
      <c r="AF8" s="31">
        <f>IFERROR(VLOOKUP($A8,'Arranjos Consolidados'!$E$3:$BM$303,AF$2,FALSE),"")</f>
        <v>0</v>
      </c>
      <c r="AG8" s="31">
        <f>IFERROR(VLOOKUP($A8,'Arranjos Consolidados'!$E$3:$BM$303,AG$2,FALSE),"")</f>
        <v>101.46076875000001</v>
      </c>
      <c r="AH8" s="31">
        <f>IFERROR(VLOOKUP($A8,'Arranjos Consolidados'!$E$3:$BM$303,AH$2,FALSE),"")</f>
        <v>0</v>
      </c>
      <c r="AI8" s="31">
        <f>IFERROR(VLOOKUP($A8,'Arranjos Consolidados'!$E$3:$BM$303,AI$2,FALSE),"")</f>
        <v>45.823795450192236</v>
      </c>
      <c r="AJ8" s="31">
        <f>IFERROR(VLOOKUP($A8,'Arranjos Consolidados'!$E$3:$BM$303,AJ$2,FALSE),"")</f>
        <v>0</v>
      </c>
      <c r="AK8" s="31">
        <f>IFERROR(VLOOKUP($A8,'Arranjos Consolidados'!$E$3:$BM$303,AK$2,FALSE),"")</f>
        <v>19.357465049999998</v>
      </c>
      <c r="AL8" s="34">
        <f>IFERROR(VLOOKUP($A8,'Arranjos Consolidados'!$E$3:$BM$303,AL$2,FALSE),"")</f>
        <v>0.64144414260390703</v>
      </c>
      <c r="AM8" s="31">
        <f>IFERROR(VLOOKUP($A8,'Arranjos Consolidados'!$E$3:$BM$303,AM$2,FALSE),"")</f>
        <v>109.22046668447764</v>
      </c>
      <c r="AN8" s="31">
        <f>IFERROR(VLOOKUP($A8,'Arranjos Consolidados'!$E$3:$BM$303,AN$2,FALSE),"")</f>
        <v>0</v>
      </c>
      <c r="AO8" s="31">
        <f>IFERROR(VLOOKUP($A8,'Arranjos Consolidados'!$E$3:$BM$303,AO$2,FALSE),"")</f>
        <v>0</v>
      </c>
      <c r="AP8" s="31">
        <f>IFERROR(VLOOKUP($A8,'Arranjos Consolidados'!$E$3:$BM$303,AP$2,FALSE),"")</f>
        <v>0</v>
      </c>
      <c r="AQ8" s="31">
        <f>IFERROR(VLOOKUP($A8,'Arranjos Consolidados'!$E$3:$BM$303,AQ$2,FALSE),"")</f>
        <v>0</v>
      </c>
      <c r="AR8" s="31">
        <f>IFERROR(VLOOKUP($A8,'Arranjos Consolidados'!$E$3:$BM$303,AR$2,FALSE),"")</f>
        <v>0</v>
      </c>
      <c r="AS8" s="31">
        <f>IFERROR(VLOOKUP($A8,'Arranjos Consolidados'!$E$3:$BM$303,AS$2,FALSE),"")</f>
        <v>412.15295379377488</v>
      </c>
      <c r="AT8" s="31">
        <f>IFERROR(VLOOKUP($A8,'Arranjos Consolidados'!$E$3:$BM$303,AT$2,FALSE),"")</f>
        <v>96.814689227565196</v>
      </c>
      <c r="AU8" s="31">
        <f>IFERROR(VLOOKUP($A8,'Arranjos Consolidados'!$E$3:$BM$303,AU$2,FALSE),"")</f>
        <v>96.814689227565196</v>
      </c>
      <c r="AV8" s="31">
        <f>IFERROR(VLOOKUP($A8,'Arranjos Consolidados'!$E$3:$BM$303,AV$2,FALSE),"")</f>
        <v>0</v>
      </c>
      <c r="AW8" s="31">
        <f>IFERROR(VLOOKUP($A8,'Arranjos Consolidados'!$E$3:$BM$303,AW$2,FALSE),"")</f>
        <v>0</v>
      </c>
      <c r="AX8" s="31">
        <f>IFERROR(VLOOKUP($A8,'Arranjos Consolidados'!$E$3:$BM$303,AX$2,FALSE),"")</f>
        <v>266.3351073752757</v>
      </c>
      <c r="AY8" s="31">
        <f>IFERROR(VLOOKUP($A8,'Arranjos Consolidados'!$E$3:$BM$303,AY$2,FALSE),"")</f>
        <v>76.930878417473082</v>
      </c>
      <c r="AZ8" s="31">
        <f>IFERROR(VLOOKUP($A8,'Arranjos Consolidados'!$E$3:$BM$303,AZ$2,FALSE),"")</f>
        <v>78.918428732417752</v>
      </c>
      <c r="BA8" s="31">
        <f>IFERROR(VLOOKUP($A8,'Arranjos Consolidados'!$E$3:$BM$303,BA$2,FALSE),"")</f>
        <v>110.48580022538486</v>
      </c>
      <c r="BB8" s="31">
        <f>IFERROR(VLOOKUP($A8,'Arranjos Consolidados'!$E$3:$BM$303,BB$2,FALSE),"")</f>
        <v>0</v>
      </c>
      <c r="BC8" s="31">
        <f>IFERROR(VLOOKUP($A8,'Arranjos Consolidados'!$E$3:$BM$303,BC$2,FALSE),"")</f>
        <v>49.003157190933997</v>
      </c>
      <c r="BD8" s="31">
        <f>IFERROR(VLOOKUP($A8,'Arranjos Consolidados'!$E$3:$BM$303,BD$2,FALSE),"")</f>
        <v>16.677472239125851</v>
      </c>
      <c r="BE8" s="31">
        <f>IFERROR(VLOOKUP($A8,'Arranjos Consolidados'!$E$3:$BM$303,BE$2,FALSE),"")</f>
        <v>1.4723613094253223</v>
      </c>
      <c r="BF8" s="31">
        <f>IFERROR(VLOOKUP($A8,'Arranjos Consolidados'!$E$3:$BM$303,BF$2,FALSE),"")</f>
        <v>30.853323642382822</v>
      </c>
      <c r="BG8" s="31">
        <f>IFERROR(VLOOKUP($A8,'Arranjos Consolidados'!$E$3:$BM$303,BG$2,FALSE),"")</f>
        <v>0</v>
      </c>
      <c r="BH8" s="31">
        <f>IFERROR(VLOOKUP($A8,'Arranjos Consolidados'!$E$3:$BM$303,BH$2,FALSE),"")</f>
        <v>412.15295379377488</v>
      </c>
      <c r="BI8" s="31">
        <f>IFERROR(VLOOKUP($A8,'Arranjos Consolidados'!$E$3:$BM$303,BI$2,FALSE),"")</f>
        <v>607.54462614297336</v>
      </c>
      <c r="BJ8" s="34">
        <f>IFERROR(VLOOKUP($A8,'Arranjos Consolidados'!$E$3:$BM$303,BJ$2,FALSE),"")</f>
        <v>1.6510585845487138</v>
      </c>
      <c r="BK8" s="34">
        <f>IFERROR(VLOOKUP($A8,'Arranjos Consolidados'!$E$3:$BM$303,BK$2,FALSE),"")</f>
        <v>4.6047458171204996</v>
      </c>
    </row>
    <row r="9" spans="1:63" ht="16.5" x14ac:dyDescent="0.25">
      <c r="A9" s="24" t="s">
        <v>10014</v>
      </c>
      <c r="B9" s="32">
        <f>'Banco de Dados'!$I$29</f>
        <v>300</v>
      </c>
      <c r="C9" s="25">
        <f>'Banco de Dados'!$I$30/100</f>
        <v>0.42499999999999999</v>
      </c>
      <c r="D9" s="29">
        <f>IFERROR(VLOOKUP($A9,'Arranjos Consolidados'!$E$3:$BM$303,D$2,FALSE),"")</f>
        <v>18919</v>
      </c>
      <c r="E9" s="33">
        <f>IFERROR(VLOOKUP($A9,'Arranjos Consolidados'!$E$3:$BM$303,E$2,FALSE),"")</f>
        <v>0.89712986944341666</v>
      </c>
      <c r="F9" s="29">
        <f>IFERROR(VLOOKUP($A9,'Arranjos Consolidados'!$E$3:$BM$303,F$2,FALSE),"")</f>
        <v>199.99999999999997</v>
      </c>
      <c r="G9" s="31">
        <f>IFERROR(VLOOKUP($A9,'Arranjos Consolidados'!$E$3:$BM$303,G$2,FALSE),"")</f>
        <v>95.383042027064064</v>
      </c>
      <c r="H9" s="34">
        <f>IFERROR(VLOOKUP($A9,'Arranjos Consolidados'!$E$3:$BM$303,H$2,FALSE),"")</f>
        <v>5.2627427656113186</v>
      </c>
      <c r="I9" s="29">
        <f>IFERROR(VLOOKUP($A9,'Arranjos Consolidados'!$E$3:$BM$303,I$2,FALSE),"")</f>
        <v>30</v>
      </c>
      <c r="J9" s="31">
        <f>IFERROR(VLOOKUP($A9,'Arranjos Consolidados'!$E$3:$BM$303,J$2,FALSE),"")</f>
        <v>137.73628746065026</v>
      </c>
      <c r="K9" s="31">
        <f>IFERROR(VLOOKUP($A9,'Arranjos Consolidados'!$E$3:$BM$303,K$2,FALSE),"")</f>
        <v>26.117884813185722</v>
      </c>
      <c r="L9" s="31">
        <f>IFERROR(VLOOKUP($A9,'Arranjos Consolidados'!$E$3:$BM$303,L$2,FALSE),"")</f>
        <v>42.488796240288906</v>
      </c>
      <c r="M9" s="31">
        <f>IFERROR(VLOOKUP($A9,'Arranjos Consolidados'!$E$3:$BM$303,M$2,FALSE),"")</f>
        <v>7.9196779308105292</v>
      </c>
      <c r="N9" s="31">
        <f>IFERROR(VLOOKUP($A9,'Arranjos Consolidados'!$E$3:$BM$303,N$2,FALSE),"")</f>
        <v>16.451290127272763</v>
      </c>
      <c r="O9" s="31">
        <f>IFERROR(VLOOKUP($A9,'Arranjos Consolidados'!$E$3:$BM$303,O$2,FALSE),"")</f>
        <v>18.11782818220561</v>
      </c>
      <c r="P9" s="31">
        <f>IFERROR(VLOOKUP($A9,'Arranjos Consolidados'!$E$3:$BM$303,P$2,FALSE),"")</f>
        <v>3.3884815001630395</v>
      </c>
      <c r="Q9" s="31">
        <f>IFERROR(VLOOKUP($A9,'Arranjos Consolidados'!$E$3:$BM$303,Q$2,FALSE),"")</f>
        <v>7.100483317098699</v>
      </c>
      <c r="R9" s="31">
        <f>IFERROR(VLOOKUP($A9,'Arranjos Consolidados'!$E$3:$BM$303,R$2,FALSE),"")</f>
        <v>7.6288633649438742</v>
      </c>
      <c r="S9" s="31">
        <f>IFERROR(VLOOKUP($A9,'Arranjos Consolidados'!$E$3:$BM$303,S$2,FALSE),"")</f>
        <v>0</v>
      </c>
      <c r="T9" s="31">
        <f>IFERROR(VLOOKUP($A9,'Arranjos Consolidados'!$E$3:$BM$303,T$2,FALSE),"")</f>
        <v>0</v>
      </c>
      <c r="U9" s="31">
        <f>IFERROR(VLOOKUP($A9,'Arranjos Consolidados'!$E$3:$BM$303,U$2,FALSE),"")</f>
        <v>1289.9131161793073</v>
      </c>
      <c r="V9" s="31">
        <f>IFERROR(VLOOKUP($A9,'Arranjos Consolidados'!$E$3:$BM$303,V$2,FALSE),"")</f>
        <v>0</v>
      </c>
      <c r="W9" s="31">
        <f>IFERROR(VLOOKUP($A9,'Arranjos Consolidados'!$E$3:$BM$303,W$2,FALSE),"")</f>
        <v>298.43559234041493</v>
      </c>
      <c r="X9" s="29">
        <f>IFERROR(VLOOKUP($A9,'Arranjos Consolidados'!$E$3:$BM$303,X$2,FALSE),"")</f>
        <v>0</v>
      </c>
      <c r="Y9" s="31">
        <f>IFERROR(VLOOKUP($A9,'Arranjos Consolidados'!$E$3:$BM$303,Y$2,FALSE),"")</f>
        <v>0</v>
      </c>
      <c r="Z9" s="29">
        <f>IFERROR(VLOOKUP($A9,'Arranjos Consolidados'!$E$3:$BM$303,Z$2,FALSE),"")</f>
        <v>0</v>
      </c>
      <c r="AA9" s="31">
        <f>IFERROR(VLOOKUP($A9,'Arranjos Consolidados'!$E$3:$BM$303,AA$2,FALSE),"")</f>
        <v>298.43559234041493</v>
      </c>
      <c r="AB9" s="31">
        <f>IFERROR(VLOOKUP($A9,'Arranjos Consolidados'!$E$3:$BM$303,AB$2,FALSE),"")</f>
        <v>203.05255031335093</v>
      </c>
      <c r="AC9" s="31">
        <f>IFERROR(VLOOKUP($A9,'Arranjos Consolidados'!$E$3:$BM$303,AC$2,FALSE),"")</f>
        <v>-10.162416188431834</v>
      </c>
      <c r="AD9" s="31">
        <f>IFERROR(VLOOKUP($A9,'Arranjos Consolidados'!$E$3:$BM$303,AD$2,FALSE),"")</f>
        <v>28.546561679653699</v>
      </c>
      <c r="AE9" s="31">
        <f>IFERROR(VLOOKUP($A9,'Arranjos Consolidados'!$E$3:$BM$303,AE$2,FALSE),"")</f>
        <v>61.630650281744529</v>
      </c>
      <c r="AF9" s="31">
        <f>IFERROR(VLOOKUP($A9,'Arranjos Consolidados'!$E$3:$BM$303,AF$2,FALSE),"")</f>
        <v>0</v>
      </c>
      <c r="AG9" s="31">
        <f>IFERROR(VLOOKUP($A9,'Arranjos Consolidados'!$E$3:$BM$303,AG$2,FALSE),"")</f>
        <v>101.46076874999997</v>
      </c>
      <c r="AH9" s="31">
        <f>IFERROR(VLOOKUP($A9,'Arranjos Consolidados'!$E$3:$BM$303,AH$2,FALSE),"")</f>
        <v>0</v>
      </c>
      <c r="AI9" s="31">
        <f>IFERROR(VLOOKUP($A9,'Arranjos Consolidados'!$E$3:$BM$303,AI$2,FALSE),"")</f>
        <v>2.2195207403845059</v>
      </c>
      <c r="AJ9" s="31">
        <f>IFERROR(VLOOKUP($A9,'Arranjos Consolidados'!$E$3:$BM$303,AJ$2,FALSE),"")</f>
        <v>0</v>
      </c>
      <c r="AK9" s="31">
        <f>IFERROR(VLOOKUP($A9,'Arranjos Consolidados'!$E$3:$BM$303,AK$2,FALSE),"")</f>
        <v>19.357465049999998</v>
      </c>
      <c r="AL9" s="34">
        <f>IFERROR(VLOOKUP($A9,'Arranjos Consolidados'!$E$3:$BM$303,AL$2,FALSE),"")</f>
        <v>0.68084911584074714</v>
      </c>
      <c r="AM9" s="31">
        <f>IFERROR(VLOOKUP($A9,'Arranjos Consolidados'!$E$3:$BM$303,AM$2,FALSE),"")</f>
        <v>95.383042027064064</v>
      </c>
      <c r="AN9" s="31">
        <f>IFERROR(VLOOKUP($A9,'Arranjos Consolidados'!$E$3:$BM$303,AN$2,FALSE),"")</f>
        <v>0</v>
      </c>
      <c r="AO9" s="31">
        <f>IFERROR(VLOOKUP($A9,'Arranjos Consolidados'!$E$3:$BM$303,AO$2,FALSE),"")</f>
        <v>0</v>
      </c>
      <c r="AP9" s="31">
        <f>IFERROR(VLOOKUP($A9,'Arranjos Consolidados'!$E$3:$BM$303,AP$2,FALSE),"")</f>
        <v>0</v>
      </c>
      <c r="AQ9" s="31">
        <f>IFERROR(VLOOKUP($A9,'Arranjos Consolidados'!$E$3:$BM$303,AQ$2,FALSE),"")</f>
        <v>0</v>
      </c>
      <c r="AR9" s="31">
        <f>IFERROR(VLOOKUP($A9,'Arranjos Consolidados'!$E$3:$BM$303,AR$2,FALSE),"")</f>
        <v>0</v>
      </c>
      <c r="AS9" s="31">
        <f>IFERROR(VLOOKUP($A9,'Arranjos Consolidados'!$E$3:$BM$303,AS$2,FALSE),"")</f>
        <v>384.33174199051882</v>
      </c>
      <c r="AT9" s="31">
        <f>IFERROR(VLOOKUP($A9,'Arranjos Consolidados'!$E$3:$BM$303,AT$2,FALSE),"")</f>
        <v>104.21572108486704</v>
      </c>
      <c r="AU9" s="31">
        <f>IFERROR(VLOOKUP($A9,'Arranjos Consolidados'!$E$3:$BM$303,AU$2,FALSE),"")</f>
        <v>104.21572108486704</v>
      </c>
      <c r="AV9" s="31">
        <f>IFERROR(VLOOKUP($A9,'Arranjos Consolidados'!$E$3:$BM$303,AV$2,FALSE),"")</f>
        <v>0</v>
      </c>
      <c r="AW9" s="31">
        <f>IFERROR(VLOOKUP($A9,'Arranjos Consolidados'!$E$3:$BM$303,AW$2,FALSE),"")</f>
        <v>0</v>
      </c>
      <c r="AX9" s="31">
        <f>IFERROR(VLOOKUP($A9,'Arranjos Consolidados'!$E$3:$BM$303,AX$2,FALSE),"")</f>
        <v>228.30540384496459</v>
      </c>
      <c r="AY9" s="31">
        <f>IFERROR(VLOOKUP($A9,'Arranjos Consolidados'!$E$3:$BM$303,AY$2,FALSE),"")</f>
        <v>76.930878417473068</v>
      </c>
      <c r="AZ9" s="31">
        <f>IFERROR(VLOOKUP($A9,'Arranjos Consolidados'!$E$3:$BM$303,AZ$2,FALSE),"")</f>
        <v>63.072718928121482</v>
      </c>
      <c r="BA9" s="31">
        <f>IFERROR(VLOOKUP($A9,'Arranjos Consolidados'!$E$3:$BM$303,BA$2,FALSE),"")</f>
        <v>88.301806499370059</v>
      </c>
      <c r="BB9" s="31">
        <f>IFERROR(VLOOKUP($A9,'Arranjos Consolidados'!$E$3:$BM$303,BB$2,FALSE),"")</f>
        <v>0</v>
      </c>
      <c r="BC9" s="31">
        <f>IFERROR(VLOOKUP($A9,'Arranjos Consolidados'!$E$3:$BM$303,BC$2,FALSE),"")</f>
        <v>51.81061706068715</v>
      </c>
      <c r="BD9" s="31">
        <f>IFERROR(VLOOKUP($A9,'Arranjos Consolidados'!$E$3:$BM$303,BD$2,FALSE),"")</f>
        <v>17.662545877635733</v>
      </c>
      <c r="BE9" s="31">
        <f>IFERROR(VLOOKUP($A9,'Arranjos Consolidados'!$E$3:$BM$303,BE$2,FALSE),"")</f>
        <v>1.4723613094253218</v>
      </c>
      <c r="BF9" s="31">
        <f>IFERROR(VLOOKUP($A9,'Arranjos Consolidados'!$E$3:$BM$303,BF$2,FALSE),"")</f>
        <v>32.675709873626097</v>
      </c>
      <c r="BG9" s="31">
        <f>IFERROR(VLOOKUP($A9,'Arranjos Consolidados'!$E$3:$BM$303,BG$2,FALSE),"")</f>
        <v>0</v>
      </c>
      <c r="BH9" s="31">
        <f>IFERROR(VLOOKUP($A9,'Arranjos Consolidados'!$E$3:$BM$303,BH$2,FALSE),"")</f>
        <v>384.33174199051882</v>
      </c>
      <c r="BI9" s="31">
        <f>IFERROR(VLOOKUP($A9,'Arranjos Consolidados'!$E$3:$BM$303,BI$2,FALSE),"")</f>
        <v>587.38429230386964</v>
      </c>
      <c r="BJ9" s="34">
        <f>IFERROR(VLOOKUP($A9,'Arranjos Consolidados'!$E$3:$BM$303,BJ$2,FALSE),"")</f>
        <v>1.6401156787716875</v>
      </c>
      <c r="BK9" s="34">
        <f>IFERROR(VLOOKUP($A9,'Arranjos Consolidados'!$E$3:$BM$303,BK$2,FALSE),"")</f>
        <v>5.2627427656113186</v>
      </c>
    </row>
    <row r="10" spans="1:63" ht="16.5" x14ac:dyDescent="0.25">
      <c r="A10" s="24" t="s">
        <v>10017</v>
      </c>
      <c r="B10" s="32">
        <f>'Banco de Dados'!$I$29</f>
        <v>300</v>
      </c>
      <c r="C10" s="25">
        <f>'Banco de Dados'!$I$30/100</f>
        <v>0.42499999999999999</v>
      </c>
      <c r="D10" s="29">
        <f>IFERROR(VLOOKUP($A10,'Arranjos Consolidados'!$E$3:$BM$303,D$2,FALSE),"")</f>
        <v>92598</v>
      </c>
      <c r="E10" s="33">
        <f>IFERROR(VLOOKUP($A10,'Arranjos Consolidados'!$E$3:$BM$303,E$2,FALSE),"")</f>
        <v>0.8971289950639485</v>
      </c>
      <c r="F10" s="29">
        <f>IFERROR(VLOOKUP($A10,'Arranjos Consolidados'!$E$3:$BM$303,F$2,FALSE),"")</f>
        <v>200.00000000000003</v>
      </c>
      <c r="G10" s="31">
        <f>IFERROR(VLOOKUP($A10,'Arranjos Consolidados'!$E$3:$BM$303,G$2,FALSE),"")</f>
        <v>29.078137164069659</v>
      </c>
      <c r="H10" s="34">
        <f>IFERROR(VLOOKUP($A10,'Arranjos Consolidados'!$E$3:$BM$303,H$2,FALSE),"")</f>
        <v>2.0718386584276187</v>
      </c>
      <c r="I10" s="29">
        <f>IFERROR(VLOOKUP($A10,'Arranjos Consolidados'!$E$3:$BM$303,I$2,FALSE),"")</f>
        <v>30</v>
      </c>
      <c r="J10" s="31">
        <f>IFERROR(VLOOKUP($A10,'Arranjos Consolidados'!$E$3:$BM$303,J$2,FALSE),"")</f>
        <v>134.3108079698755</v>
      </c>
      <c r="K10" s="31">
        <f>IFERROR(VLOOKUP($A10,'Arranjos Consolidados'!$E$3:$BM$303,K$2,FALSE),"")</f>
        <v>25.258168037482598</v>
      </c>
      <c r="L10" s="31">
        <f>IFERROR(VLOOKUP($A10,'Arranjos Consolidados'!$E$3:$BM$303,L$2,FALSE),"")</f>
        <v>42.488796240288899</v>
      </c>
      <c r="M10" s="31">
        <f>IFERROR(VLOOKUP($A10,'Arranjos Consolidados'!$E$3:$BM$303,M$2,FALSE),"")</f>
        <v>13.367753948070497</v>
      </c>
      <c r="N10" s="31">
        <f>IFERROR(VLOOKUP($A10,'Arranjos Consolidados'!$E$3:$BM$303,N$2,FALSE),"")</f>
        <v>14.418376292171903</v>
      </c>
      <c r="O10" s="31">
        <f>IFERROR(VLOOKUP($A10,'Arranjos Consolidados'!$E$3:$BM$303,O$2,FALSE),"")</f>
        <v>14.702666000046493</v>
      </c>
      <c r="P10" s="31">
        <f>IFERROR(VLOOKUP($A10,'Arranjos Consolidados'!$E$3:$BM$303,P$2,FALSE),"")</f>
        <v>3.4425238737495536</v>
      </c>
      <c r="Q10" s="31">
        <f>IFERROR(VLOOKUP($A10,'Arranjos Consolidados'!$E$3:$BM$303,Q$2,FALSE),"")</f>
        <v>5.4281057430338375</v>
      </c>
      <c r="R10" s="31">
        <f>IFERROR(VLOOKUP($A10,'Arranjos Consolidados'!$E$3:$BM$303,R$2,FALSE),"")</f>
        <v>5.8320363832631026</v>
      </c>
      <c r="S10" s="31">
        <f>IFERROR(VLOOKUP($A10,'Arranjos Consolidados'!$E$3:$BM$303,S$2,FALSE),"")</f>
        <v>6345.3752863570944</v>
      </c>
      <c r="T10" s="31">
        <f>IFERROR(VLOOKUP($A10,'Arranjos Consolidados'!$E$3:$BM$303,T$2,FALSE),"")</f>
        <v>0</v>
      </c>
      <c r="U10" s="31">
        <f>IFERROR(VLOOKUP($A10,'Arranjos Consolidados'!$E$3:$BM$303,U$2,FALSE),"")</f>
        <v>986.0997457858324</v>
      </c>
      <c r="V10" s="31">
        <f>IFERROR(VLOOKUP($A10,'Arranjos Consolidados'!$E$3:$BM$303,V$2,FALSE),"")</f>
        <v>0</v>
      </c>
      <c r="W10" s="31">
        <f>IFERROR(VLOOKUP($A10,'Arranjos Consolidados'!$E$3:$BM$303,W$2,FALSE),"")</f>
        <v>372.52005744454391</v>
      </c>
      <c r="X10" s="29">
        <f>IFERROR(VLOOKUP($A10,'Arranjos Consolidados'!$E$3:$BM$303,X$2,FALSE),"")</f>
        <v>0</v>
      </c>
      <c r="Y10" s="31">
        <f>IFERROR(VLOOKUP($A10,'Arranjos Consolidados'!$E$3:$BM$303,Y$2,FALSE),"")</f>
        <v>0</v>
      </c>
      <c r="Z10" s="29">
        <f>IFERROR(VLOOKUP($A10,'Arranjos Consolidados'!$E$3:$BM$303,Z$2,FALSE),"")</f>
        <v>0</v>
      </c>
      <c r="AA10" s="31">
        <f>IFERROR(VLOOKUP($A10,'Arranjos Consolidados'!$E$3:$BM$303,AA$2,FALSE),"")</f>
        <v>372.52005744454391</v>
      </c>
      <c r="AB10" s="31">
        <f>IFERROR(VLOOKUP($A10,'Arranjos Consolidados'!$E$3:$BM$303,AB$2,FALSE),"")</f>
        <v>343.44192028047422</v>
      </c>
      <c r="AC10" s="31">
        <f>IFERROR(VLOOKUP($A10,'Arranjos Consolidados'!$E$3:$BM$303,AC$2,FALSE),"")</f>
        <v>-9.1184726209405937</v>
      </c>
      <c r="AD10" s="31">
        <f>IFERROR(VLOOKUP($A10,'Arranjos Consolidados'!$E$3:$BM$303,AD$2,FALSE),"")</f>
        <v>14.273280839826851</v>
      </c>
      <c r="AE10" s="31">
        <f>IFERROR(VLOOKUP($A10,'Arranjos Consolidados'!$E$3:$BM$303,AE$2,FALSE),"")</f>
        <v>30.815325140872268</v>
      </c>
      <c r="AF10" s="31">
        <f>IFERROR(VLOOKUP($A10,'Arranjos Consolidados'!$E$3:$BM$303,AF$2,FALSE),"")</f>
        <v>161.37880434126234</v>
      </c>
      <c r="AG10" s="31">
        <f>IFERROR(VLOOKUP($A10,'Arranjos Consolidados'!$E$3:$BM$303,AG$2,FALSE),"")</f>
        <v>106.53399050002335</v>
      </c>
      <c r="AH10" s="31">
        <f>IFERROR(VLOOKUP($A10,'Arranjos Consolidados'!$E$3:$BM$303,AH$2,FALSE),"")</f>
        <v>0</v>
      </c>
      <c r="AI10" s="31">
        <f>IFERROR(VLOOKUP($A10,'Arranjos Consolidados'!$E$3:$BM$303,AI$2,FALSE),"")</f>
        <v>24.760792785664758</v>
      </c>
      <c r="AJ10" s="31">
        <f>IFERROR(VLOOKUP($A10,'Arranjos Consolidados'!$E$3:$BM$303,AJ$2,FALSE),"")</f>
        <v>0</v>
      </c>
      <c r="AK10" s="31">
        <f>IFERROR(VLOOKUP($A10,'Arranjos Consolidados'!$E$3:$BM$303,AK$2,FALSE),"")</f>
        <v>14.798199293765236</v>
      </c>
      <c r="AL10" s="34">
        <f>IFERROR(VLOOKUP($A10,'Arranjos Consolidados'!$E$3:$BM$303,AL$2,FALSE),"")</f>
        <v>0.82342907875622529</v>
      </c>
      <c r="AM10" s="31">
        <f>IFERROR(VLOOKUP($A10,'Arranjos Consolidados'!$E$3:$BM$303,AM$2,FALSE),"")</f>
        <v>29.078137164069659</v>
      </c>
      <c r="AN10" s="31">
        <f>IFERROR(VLOOKUP($A10,'Arranjos Consolidados'!$E$3:$BM$303,AN$2,FALSE),"")</f>
        <v>161.37880434126234</v>
      </c>
      <c r="AO10" s="31">
        <f>IFERROR(VLOOKUP($A10,'Arranjos Consolidados'!$E$3:$BM$303,AO$2,FALSE),"")</f>
        <v>0</v>
      </c>
      <c r="AP10" s="31">
        <f>IFERROR(VLOOKUP($A10,'Arranjos Consolidados'!$E$3:$BM$303,AP$2,FALSE),"")</f>
        <v>0</v>
      </c>
      <c r="AQ10" s="31">
        <f>IFERROR(VLOOKUP($A10,'Arranjos Consolidados'!$E$3:$BM$303,AQ$2,FALSE),"")</f>
        <v>0</v>
      </c>
      <c r="AR10" s="31">
        <f>IFERROR(VLOOKUP($A10,'Arranjos Consolidados'!$E$3:$BM$303,AR$2,FALSE),"")</f>
        <v>161.37880434126234</v>
      </c>
      <c r="AS10" s="31">
        <f>IFERROR(VLOOKUP($A10,'Arranjos Consolidados'!$E$3:$BM$303,AS$2,FALSE),"")</f>
        <v>386.71385059107308</v>
      </c>
      <c r="AT10" s="31">
        <f>IFERROR(VLOOKUP($A10,'Arranjos Consolidados'!$E$3:$BM$303,AT$2,FALSE),"")</f>
        <v>118.41740712966912</v>
      </c>
      <c r="AU10" s="31">
        <f>IFERROR(VLOOKUP($A10,'Arranjos Consolidados'!$E$3:$BM$303,AU$2,FALSE),"")</f>
        <v>118.41740712966912</v>
      </c>
      <c r="AV10" s="31">
        <f>IFERROR(VLOOKUP($A10,'Arranjos Consolidados'!$E$3:$BM$303,AV$2,FALSE),"")</f>
        <v>0</v>
      </c>
      <c r="AW10" s="31">
        <f>IFERROR(VLOOKUP($A10,'Arranjos Consolidados'!$E$3:$BM$303,AW$2,FALSE),"")</f>
        <v>0</v>
      </c>
      <c r="AX10" s="31">
        <f>IFERROR(VLOOKUP($A10,'Arranjos Consolidados'!$E$3:$BM$303,AX$2,FALSE),"")</f>
        <v>222.22420759314841</v>
      </c>
      <c r="AY10" s="31">
        <f>IFERROR(VLOOKUP($A10,'Arranjos Consolidados'!$E$3:$BM$303,AY$2,FALSE),"")</f>
        <v>78.294084168131221</v>
      </c>
      <c r="AZ10" s="31">
        <f>IFERROR(VLOOKUP($A10,'Arranjos Consolidados'!$E$3:$BM$303,AZ$2,FALSE),"")</f>
        <v>59.970884760423829</v>
      </c>
      <c r="BA10" s="31">
        <f>IFERROR(VLOOKUP($A10,'Arranjos Consolidados'!$E$3:$BM$303,BA$2,FALSE),"")</f>
        <v>83.959238664593357</v>
      </c>
      <c r="BB10" s="31">
        <f>IFERROR(VLOOKUP($A10,'Arranjos Consolidados'!$E$3:$BM$303,BB$2,FALSE),"")</f>
        <v>0</v>
      </c>
      <c r="BC10" s="31">
        <f>IFERROR(VLOOKUP($A10,'Arranjos Consolidados'!$E$3:$BM$303,BC$2,FALSE),"")</f>
        <v>46.072235868255554</v>
      </c>
      <c r="BD10" s="31">
        <f>IFERROR(VLOOKUP($A10,'Arranjos Consolidados'!$E$3:$BM$303,BD$2,FALSE),"")</f>
        <v>15.63992438477778</v>
      </c>
      <c r="BE10" s="31">
        <f>IFERROR(VLOOKUP($A10,'Arranjos Consolidados'!$E$3:$BM$303,BE$2,FALSE),"")</f>
        <v>1.498451371638875</v>
      </c>
      <c r="BF10" s="31">
        <f>IFERROR(VLOOKUP($A10,'Arranjos Consolidados'!$E$3:$BM$303,BF$2,FALSE),"")</f>
        <v>28.933860111838897</v>
      </c>
      <c r="BG10" s="31">
        <f>IFERROR(VLOOKUP($A10,'Arranjos Consolidados'!$E$3:$BM$303,BG$2,FALSE),"")</f>
        <v>0</v>
      </c>
      <c r="BH10" s="31">
        <f>IFERROR(VLOOKUP($A10,'Arranjos Consolidados'!$E$3:$BM$303,BH$2,FALSE),"")</f>
        <v>548.09265493233534</v>
      </c>
      <c r="BI10" s="31">
        <f>IFERROR(VLOOKUP($A10,'Arranjos Consolidados'!$E$3:$BM$303,BI$2,FALSE),"")</f>
        <v>891.53457521280973</v>
      </c>
      <c r="BJ10" s="34">
        <f>IFERROR(VLOOKUP($A10,'Arranjos Consolidados'!$E$3:$BM$303,BJ$2,FALSE),"")</f>
        <v>1.8192490199925593</v>
      </c>
      <c r="BK10" s="34">
        <f>IFERROR(VLOOKUP($A10,'Arranjos Consolidados'!$E$3:$BM$303,BK$2,FALSE),"")</f>
        <v>2.0718386584276187</v>
      </c>
    </row>
    <row r="11" spans="1:63" ht="16.5" x14ac:dyDescent="0.25">
      <c r="A11" s="24" t="s">
        <v>10772</v>
      </c>
      <c r="B11" s="32">
        <f>'Banco de Dados'!$I$29</f>
        <v>300</v>
      </c>
      <c r="C11" s="25">
        <f>'Banco de Dados'!$I$30/100</f>
        <v>0.42499999999999999</v>
      </c>
      <c r="D11" s="29">
        <f>IFERROR(VLOOKUP($A11,'Arranjos Consolidados'!$E$3:$BM$303,D$2,FALSE),"")</f>
        <v>54624</v>
      </c>
      <c r="E11" s="33">
        <f>IFERROR(VLOOKUP($A11,'Arranjos Consolidados'!$E$3:$BM$303,E$2,FALSE),"")</f>
        <v>0.8971242506680791</v>
      </c>
      <c r="F11" s="29">
        <f>IFERROR(VLOOKUP($A11,'Arranjos Consolidados'!$E$3:$BM$303,F$2,FALSE),"")</f>
        <v>200</v>
      </c>
      <c r="G11" s="31">
        <f>IFERROR(VLOOKUP($A11,'Arranjos Consolidados'!$E$3:$BM$303,G$2,FALSE),"")</f>
        <v>98.913884461068349</v>
      </c>
      <c r="H11" s="34">
        <f>IFERROR(VLOOKUP($A11,'Arranjos Consolidados'!$E$3:$BM$303,H$2,FALSE),"")</f>
        <v>6.1752334879676534</v>
      </c>
      <c r="I11" s="29">
        <f>IFERROR(VLOOKUP($A11,'Arranjos Consolidados'!$E$3:$BM$303,I$2,FALSE),"")</f>
        <v>30</v>
      </c>
      <c r="J11" s="31">
        <f>IFERROR(VLOOKUP($A11,'Arranjos Consolidados'!$E$3:$BM$303,J$2,FALSE),"")</f>
        <v>177.5799713131309</v>
      </c>
      <c r="K11" s="31">
        <f>IFERROR(VLOOKUP($A11,'Arranjos Consolidados'!$E$3:$BM$303,K$2,FALSE),"")</f>
        <v>33.727146422920747</v>
      </c>
      <c r="L11" s="31">
        <f>IFERROR(VLOOKUP($A11,'Arranjos Consolidados'!$E$3:$BM$303,L$2,FALSE),"")</f>
        <v>42.48879624028892</v>
      </c>
      <c r="M11" s="31">
        <f>IFERROR(VLOOKUP($A11,'Arranjos Consolidados'!$E$3:$BM$303,M$2,FALSE),"")</f>
        <v>7.5446046027082154</v>
      </c>
      <c r="N11" s="31">
        <f>IFERROR(VLOOKUP($A11,'Arranjos Consolidados'!$E$3:$BM$303,N$2,FALSE),"")</f>
        <v>16.451290127272767</v>
      </c>
      <c r="O11" s="31">
        <f>IFERROR(VLOOKUP($A11,'Arranjos Consolidados'!$E$3:$BM$303,O$2,FALSE),"")</f>
        <v>18.492901510307938</v>
      </c>
      <c r="P11" s="31">
        <f>IFERROR(VLOOKUP($A11,'Arranjos Consolidados'!$E$3:$BM$303,P$2,FALSE),"")</f>
        <v>3.7635548282653581</v>
      </c>
      <c r="Q11" s="31">
        <f>IFERROR(VLOOKUP($A11,'Arranjos Consolidados'!$E$3:$BM$303,Q$2,FALSE),"")</f>
        <v>7.1004833170987016</v>
      </c>
      <c r="R11" s="31">
        <f>IFERROR(VLOOKUP($A11,'Arranjos Consolidados'!$E$3:$BM$303,R$2,FALSE),"")</f>
        <v>7.6288633649438768</v>
      </c>
      <c r="S11" s="31">
        <f>IFERROR(VLOOKUP($A11,'Arranjos Consolidados'!$E$3:$BM$303,S$2,FALSE),"")</f>
        <v>0</v>
      </c>
      <c r="T11" s="31">
        <f>IFERROR(VLOOKUP($A11,'Arranjos Consolidados'!$E$3:$BM$303,T$2,FALSE),"")</f>
        <v>0</v>
      </c>
      <c r="U11" s="31">
        <f>IFERROR(VLOOKUP($A11,'Arranjos Consolidados'!$E$3:$BM$303,U$2,FALSE),"")</f>
        <v>1289.9131161793073</v>
      </c>
      <c r="V11" s="31">
        <f>IFERROR(VLOOKUP($A11,'Arranjos Consolidados'!$E$3:$BM$303,V$2,FALSE),"")</f>
        <v>0</v>
      </c>
      <c r="W11" s="31">
        <f>IFERROR(VLOOKUP($A11,'Arranjos Consolidados'!$E$3:$BM$303,W$2,FALSE),"")</f>
        <v>300.20101355741713</v>
      </c>
      <c r="X11" s="29">
        <f>IFERROR(VLOOKUP($A11,'Arranjos Consolidados'!$E$3:$BM$303,X$2,FALSE),"")</f>
        <v>0</v>
      </c>
      <c r="Y11" s="31">
        <f>IFERROR(VLOOKUP($A11,'Arranjos Consolidados'!$E$3:$BM$303,Y$2,FALSE),"")</f>
        <v>0</v>
      </c>
      <c r="Z11" s="29">
        <f>IFERROR(VLOOKUP($A11,'Arranjos Consolidados'!$E$3:$BM$303,Z$2,FALSE),"")</f>
        <v>0</v>
      </c>
      <c r="AA11" s="31">
        <f>IFERROR(VLOOKUP($A11,'Arranjos Consolidados'!$E$3:$BM$303,AA$2,FALSE),"")</f>
        <v>300.20101355741713</v>
      </c>
      <c r="AB11" s="31">
        <f>IFERROR(VLOOKUP($A11,'Arranjos Consolidados'!$E$3:$BM$303,AB$2,FALSE),"")</f>
        <v>201.28712909634876</v>
      </c>
      <c r="AC11" s="31">
        <f>IFERROR(VLOOKUP($A11,'Arranjos Consolidados'!$E$3:$BM$303,AC$2,FALSE),"")</f>
        <v>-11.927837405433955</v>
      </c>
      <c r="AD11" s="31">
        <f>IFERROR(VLOOKUP($A11,'Arranjos Consolidados'!$E$3:$BM$303,AD$2,FALSE),"")</f>
        <v>28.546561679653689</v>
      </c>
      <c r="AE11" s="31">
        <f>IFERROR(VLOOKUP($A11,'Arranjos Consolidados'!$E$3:$BM$303,AE$2,FALSE),"")</f>
        <v>61.630650281744508</v>
      </c>
      <c r="AF11" s="31">
        <f>IFERROR(VLOOKUP($A11,'Arranjos Consolidados'!$E$3:$BM$303,AF$2,FALSE),"")</f>
        <v>0</v>
      </c>
      <c r="AG11" s="31">
        <f>IFERROR(VLOOKUP($A11,'Arranjos Consolidados'!$E$3:$BM$303,AG$2,FALSE),"")</f>
        <v>101.46076874999999</v>
      </c>
      <c r="AH11" s="31">
        <f>IFERROR(VLOOKUP($A11,'Arranjos Consolidados'!$E$3:$BM$303,AH$2,FALSE),"")</f>
        <v>0</v>
      </c>
      <c r="AI11" s="31">
        <f>IFERROR(VLOOKUP($A11,'Arranjos Consolidados'!$E$3:$BM$303,AI$2,FALSE),"")</f>
        <v>2.2195207403845085</v>
      </c>
      <c r="AJ11" s="31">
        <f>IFERROR(VLOOKUP($A11,'Arranjos Consolidados'!$E$3:$BM$303,AJ$2,FALSE),"")</f>
        <v>0</v>
      </c>
      <c r="AK11" s="31">
        <f>IFERROR(VLOOKUP($A11,'Arranjos Consolidados'!$E$3:$BM$303,AK$2,FALSE),"")</f>
        <v>19.357465050000005</v>
      </c>
      <c r="AL11" s="34">
        <f>IFERROR(VLOOKUP($A11,'Arranjos Consolidados'!$E$3:$BM$303,AL$2,FALSE),"")</f>
        <v>0.67050782644293139</v>
      </c>
      <c r="AM11" s="31">
        <f>IFERROR(VLOOKUP($A11,'Arranjos Consolidados'!$E$3:$BM$303,AM$2,FALSE),"")</f>
        <v>98.913884461068349</v>
      </c>
      <c r="AN11" s="31">
        <f>IFERROR(VLOOKUP($A11,'Arranjos Consolidados'!$E$3:$BM$303,AN$2,FALSE),"")</f>
        <v>0</v>
      </c>
      <c r="AO11" s="31">
        <f>IFERROR(VLOOKUP($A11,'Arranjos Consolidados'!$E$3:$BM$303,AO$2,FALSE),"")</f>
        <v>0</v>
      </c>
      <c r="AP11" s="31">
        <f>IFERROR(VLOOKUP($A11,'Arranjos Consolidados'!$E$3:$BM$303,AP$2,FALSE),"")</f>
        <v>0</v>
      </c>
      <c r="AQ11" s="31">
        <f>IFERROR(VLOOKUP($A11,'Arranjos Consolidados'!$E$3:$BM$303,AQ$2,FALSE),"")</f>
        <v>0</v>
      </c>
      <c r="AR11" s="31">
        <f>IFERROR(VLOOKUP($A11,'Arranjos Consolidados'!$E$3:$BM$303,AR$2,FALSE),"")</f>
        <v>0</v>
      </c>
      <c r="AS11" s="31">
        <f>IFERROR(VLOOKUP($A11,'Arranjos Consolidados'!$E$3:$BM$303,AS$2,FALSE),"")</f>
        <v>509.6465254264142</v>
      </c>
      <c r="AT11" s="31">
        <f>IFERROR(VLOOKUP($A11,'Arranjos Consolidados'!$E$3:$BM$303,AT$2,FALSE),"")</f>
        <v>110.02633232818171</v>
      </c>
      <c r="AU11" s="31">
        <f>IFERROR(VLOOKUP($A11,'Arranjos Consolidados'!$E$3:$BM$303,AU$2,FALSE),"")</f>
        <v>110.02633232818171</v>
      </c>
      <c r="AV11" s="31">
        <f>IFERROR(VLOOKUP($A11,'Arranjos Consolidados'!$E$3:$BM$303,AV$2,FALSE),"")</f>
        <v>0</v>
      </c>
      <c r="AW11" s="31">
        <f>IFERROR(VLOOKUP($A11,'Arranjos Consolidados'!$E$3:$BM$303,AW$2,FALSE),"")</f>
        <v>0</v>
      </c>
      <c r="AX11" s="31">
        <f>IFERROR(VLOOKUP($A11,'Arranjos Consolidados'!$E$3:$BM$303,AX$2,FALSE),"")</f>
        <v>347.79065828914173</v>
      </c>
      <c r="AY11" s="31">
        <f>IFERROR(VLOOKUP($A11,'Arranjos Consolidados'!$E$3:$BM$303,AY$2,FALSE),"")</f>
        <v>76.930878417473096</v>
      </c>
      <c r="AZ11" s="31">
        <f>IFERROR(VLOOKUP($A11,'Arranjos Consolidados'!$E$3:$BM$303,AZ$2,FALSE),"")</f>
        <v>112.85824161319526</v>
      </c>
      <c r="BA11" s="31">
        <f>IFERROR(VLOOKUP($A11,'Arranjos Consolidados'!$E$3:$BM$303,BA$2,FALSE),"")</f>
        <v>158.00153825847337</v>
      </c>
      <c r="BB11" s="31">
        <f>IFERROR(VLOOKUP($A11,'Arranjos Consolidados'!$E$3:$BM$303,BB$2,FALSE),"")</f>
        <v>0</v>
      </c>
      <c r="BC11" s="31">
        <f>IFERROR(VLOOKUP($A11,'Arranjos Consolidados'!$E$3:$BM$303,BC$2,FALSE),"")</f>
        <v>51.829534809090752</v>
      </c>
      <c r="BD11" s="31">
        <f>IFERROR(VLOOKUP($A11,'Arranjos Consolidados'!$E$3:$BM$303,BD$2,FALSE),"")</f>
        <v>17.669183684093131</v>
      </c>
      <c r="BE11" s="31">
        <f>IFERROR(VLOOKUP($A11,'Arranjos Consolidados'!$E$3:$BM$303,BE$2,FALSE),"")</f>
        <v>1.4723613094253225</v>
      </c>
      <c r="BF11" s="31">
        <f>IFERROR(VLOOKUP($A11,'Arranjos Consolidados'!$E$3:$BM$303,BF$2,FALSE),"")</f>
        <v>32.687989815572294</v>
      </c>
      <c r="BG11" s="31">
        <f>IFERROR(VLOOKUP($A11,'Arranjos Consolidados'!$E$3:$BM$303,BG$2,FALSE),"")</f>
        <v>0</v>
      </c>
      <c r="BH11" s="31">
        <f>IFERROR(VLOOKUP($A11,'Arranjos Consolidados'!$E$3:$BM$303,BH$2,FALSE),"")</f>
        <v>509.6465254264142</v>
      </c>
      <c r="BI11" s="31">
        <f>IFERROR(VLOOKUP($A11,'Arranjos Consolidados'!$E$3:$BM$303,BI$2,FALSE),"")</f>
        <v>710.93365452276294</v>
      </c>
      <c r="BJ11" s="34">
        <f>IFERROR(VLOOKUP($A11,'Arranjos Consolidados'!$E$3:$BM$303,BJ$2,FALSE),"")</f>
        <v>2.0344123216910313</v>
      </c>
      <c r="BK11" s="34">
        <f>IFERROR(VLOOKUP($A11,'Arranjos Consolidados'!$E$3:$BM$303,BK$2,FALSE),"")</f>
        <v>6.1752334879676534</v>
      </c>
    </row>
    <row r="12" spans="1:63" ht="16.5" x14ac:dyDescent="0.25">
      <c r="A12" s="24" t="s">
        <v>10012</v>
      </c>
      <c r="B12" s="32">
        <f>'Banco de Dados'!$I$29</f>
        <v>300</v>
      </c>
      <c r="C12" s="25">
        <f>'Banco de Dados'!$I$30/100</f>
        <v>0.42499999999999999</v>
      </c>
      <c r="D12" s="29">
        <f>IFERROR(VLOOKUP($A12,'Arranjos Consolidados'!$E$3:$BM$303,D$2,FALSE),"")</f>
        <v>121127</v>
      </c>
      <c r="E12" s="33">
        <f>IFERROR(VLOOKUP($A12,'Arranjos Consolidados'!$E$3:$BM$303,E$2,FALSE),"")</f>
        <v>0.89712952701856796</v>
      </c>
      <c r="F12" s="29">
        <f>IFERROR(VLOOKUP($A12,'Arranjos Consolidados'!$E$3:$BM$303,F$2,FALSE),"")</f>
        <v>199.99999999999997</v>
      </c>
      <c r="G12" s="31">
        <f>IFERROR(VLOOKUP($A12,'Arranjos Consolidados'!$E$3:$BM$303,G$2,FALSE),"")</f>
        <v>163.22656973881664</v>
      </c>
      <c r="H12" s="34">
        <f>IFERROR(VLOOKUP($A12,'Arranjos Consolidados'!$E$3:$BM$303,H$2,FALSE),"")</f>
        <v>2.5909101746344239</v>
      </c>
      <c r="I12" s="29">
        <f>IFERROR(VLOOKUP($A12,'Arranjos Consolidados'!$E$3:$BM$303,I$2,FALSE),"")</f>
        <v>30</v>
      </c>
      <c r="J12" s="31">
        <f>IFERROR(VLOOKUP($A12,'Arranjos Consolidados'!$E$3:$BM$303,J$2,FALSE),"")</f>
        <v>105.69625940260569</v>
      </c>
      <c r="K12" s="31">
        <f>IFERROR(VLOOKUP($A12,'Arranjos Consolidados'!$E$3:$BM$303,K$2,FALSE),"")</f>
        <v>18.841259942988167</v>
      </c>
      <c r="L12" s="31">
        <f>IFERROR(VLOOKUP($A12,'Arranjos Consolidados'!$E$3:$BM$303,L$2,FALSE),"")</f>
        <v>42.488796240288906</v>
      </c>
      <c r="M12" s="31">
        <f>IFERROR(VLOOKUP($A12,'Arranjos Consolidados'!$E$3:$BM$303,M$2,FALSE),"")</f>
        <v>7.9196779308105283</v>
      </c>
      <c r="N12" s="31">
        <f>IFERROR(VLOOKUP($A12,'Arranjos Consolidados'!$E$3:$BM$303,N$2,FALSE),"")</f>
        <v>16.451290127272763</v>
      </c>
      <c r="O12" s="31">
        <f>IFERROR(VLOOKUP($A12,'Arranjos Consolidados'!$E$3:$BM$303,O$2,FALSE),"")</f>
        <v>18.117828182205614</v>
      </c>
      <c r="P12" s="31">
        <f>IFERROR(VLOOKUP($A12,'Arranjos Consolidados'!$E$3:$BM$303,P$2,FALSE),"")</f>
        <v>3.3884815001630408</v>
      </c>
      <c r="Q12" s="31">
        <f>IFERROR(VLOOKUP($A12,'Arranjos Consolidados'!$E$3:$BM$303,Q$2,FALSE),"")</f>
        <v>7.100483317098699</v>
      </c>
      <c r="R12" s="31">
        <f>IFERROR(VLOOKUP($A12,'Arranjos Consolidados'!$E$3:$BM$303,R$2,FALSE),"")</f>
        <v>7.6288633649438724</v>
      </c>
      <c r="S12" s="31">
        <f>IFERROR(VLOOKUP($A12,'Arranjos Consolidados'!$E$3:$BM$303,S$2,FALSE),"")</f>
        <v>0</v>
      </c>
      <c r="T12" s="31">
        <f>IFERROR(VLOOKUP($A12,'Arranjos Consolidados'!$E$3:$BM$303,T$2,FALSE),"")</f>
        <v>5159.6524647172273</v>
      </c>
      <c r="U12" s="31">
        <f>IFERROR(VLOOKUP($A12,'Arranjos Consolidados'!$E$3:$BM$303,U$2,FALSE),"")</f>
        <v>0</v>
      </c>
      <c r="V12" s="31">
        <f>IFERROR(VLOOKUP($A12,'Arranjos Consolidados'!$E$3:$BM$303,V$2,FALSE),"")</f>
        <v>0</v>
      </c>
      <c r="W12" s="31">
        <f>IFERROR(VLOOKUP($A12,'Arranjos Consolidados'!$E$3:$BM$303,W$2,FALSE),"")</f>
        <v>304.6121390336761</v>
      </c>
      <c r="X12" s="29">
        <f>IFERROR(VLOOKUP($A12,'Arranjos Consolidados'!$E$3:$BM$303,X$2,FALSE),"")</f>
        <v>0</v>
      </c>
      <c r="Y12" s="31">
        <f>IFERROR(VLOOKUP($A12,'Arranjos Consolidados'!$E$3:$BM$303,Y$2,FALSE),"")</f>
        <v>0</v>
      </c>
      <c r="Z12" s="29">
        <f>IFERROR(VLOOKUP($A12,'Arranjos Consolidados'!$E$3:$BM$303,Z$2,FALSE),"")</f>
        <v>0</v>
      </c>
      <c r="AA12" s="31">
        <f>IFERROR(VLOOKUP($A12,'Arranjos Consolidados'!$E$3:$BM$303,AA$2,FALSE),"")</f>
        <v>304.6121390336761</v>
      </c>
      <c r="AB12" s="31">
        <f>IFERROR(VLOOKUP($A12,'Arranjos Consolidados'!$E$3:$BM$303,AB$2,FALSE),"")</f>
        <v>141.38556929485947</v>
      </c>
      <c r="AC12" s="31">
        <f>IFERROR(VLOOKUP($A12,'Arranjos Consolidados'!$E$3:$BM$303,AC$2,FALSE),"")</f>
        <v>14.379008362973781</v>
      </c>
      <c r="AD12" s="31">
        <f>IFERROR(VLOOKUP($A12,'Arranjos Consolidados'!$E$3:$BM$303,AD$2,FALSE),"")</f>
        <v>0</v>
      </c>
      <c r="AE12" s="31">
        <f>IFERROR(VLOOKUP($A12,'Arranjos Consolidados'!$E$3:$BM$303,AE$2,FALSE),"")</f>
        <v>0</v>
      </c>
      <c r="AF12" s="31">
        <f>IFERROR(VLOOKUP($A12,'Arranjos Consolidados'!$E$3:$BM$303,AF$2,FALSE),"")</f>
        <v>25.545792181885687</v>
      </c>
      <c r="AG12" s="31">
        <f>IFERROR(VLOOKUP($A12,'Arranjos Consolidados'!$E$3:$BM$303,AG$2,FALSE),"")</f>
        <v>101.46076875000001</v>
      </c>
      <c r="AH12" s="31">
        <f>IFERROR(VLOOKUP($A12,'Arranjos Consolidados'!$E$3:$BM$303,AH$2,FALSE),"")</f>
        <v>0</v>
      </c>
      <c r="AI12" s="31">
        <f>IFERROR(VLOOKUP($A12,'Arranjos Consolidados'!$E$3:$BM$303,AI$2,FALSE),"")</f>
        <v>0</v>
      </c>
      <c r="AJ12" s="31">
        <f>IFERROR(VLOOKUP($A12,'Arranjos Consolidados'!$E$3:$BM$303,AJ$2,FALSE),"")</f>
        <v>0</v>
      </c>
      <c r="AK12" s="31">
        <f>IFERROR(VLOOKUP($A12,'Arranjos Consolidados'!$E$3:$BM$303,AK$2,FALSE),"")</f>
        <v>0</v>
      </c>
      <c r="AL12" s="34">
        <f>IFERROR(VLOOKUP($A12,'Arranjos Consolidados'!$E$3:$BM$303,AL$2,FALSE),"")</f>
        <v>0.46414949103268899</v>
      </c>
      <c r="AM12" s="31">
        <f>IFERROR(VLOOKUP($A12,'Arranjos Consolidados'!$E$3:$BM$303,AM$2,FALSE),"")</f>
        <v>163.22656973881664</v>
      </c>
      <c r="AN12" s="31">
        <f>IFERROR(VLOOKUP($A12,'Arranjos Consolidados'!$E$3:$BM$303,AN$2,FALSE),"")</f>
        <v>39.924800544859465</v>
      </c>
      <c r="AO12" s="31">
        <f>IFERROR(VLOOKUP($A12,'Arranjos Consolidados'!$E$3:$BM$303,AO$2,FALSE),"")</f>
        <v>14.379008362973781</v>
      </c>
      <c r="AP12" s="31">
        <f>IFERROR(VLOOKUP($A12,'Arranjos Consolidados'!$E$3:$BM$303,AP$2,FALSE),"")</f>
        <v>0</v>
      </c>
      <c r="AQ12" s="31">
        <f>IFERROR(VLOOKUP($A12,'Arranjos Consolidados'!$E$3:$BM$303,AQ$2,FALSE),"")</f>
        <v>0</v>
      </c>
      <c r="AR12" s="31">
        <f>IFERROR(VLOOKUP($A12,'Arranjos Consolidados'!$E$3:$BM$303,AR$2,FALSE),"")</f>
        <v>25.545792181885687</v>
      </c>
      <c r="AS12" s="31">
        <f>IFERROR(VLOOKUP($A12,'Arranjos Consolidados'!$E$3:$BM$303,AS$2,FALSE),"")</f>
        <v>346.20714950093253</v>
      </c>
      <c r="AT12" s="31">
        <f>IFERROR(VLOOKUP($A12,'Arranjos Consolidados'!$E$3:$BM$303,AT$2,FALSE),"")</f>
        <v>61.280874999999988</v>
      </c>
      <c r="AU12" s="31">
        <f>IFERROR(VLOOKUP($A12,'Arranjos Consolidados'!$E$3:$BM$303,AU$2,FALSE),"")</f>
        <v>61.280874999999988</v>
      </c>
      <c r="AV12" s="31">
        <f>IFERROR(VLOOKUP($A12,'Arranjos Consolidados'!$E$3:$BM$303,AV$2,FALSE),"")</f>
        <v>0</v>
      </c>
      <c r="AW12" s="31">
        <f>IFERROR(VLOOKUP($A12,'Arranjos Consolidados'!$E$3:$BM$303,AW$2,FALSE),"")</f>
        <v>0</v>
      </c>
      <c r="AX12" s="31">
        <f>IFERROR(VLOOKUP($A12,'Arranjos Consolidados'!$E$3:$BM$303,AX$2,FALSE),"")</f>
        <v>245.73596745685083</v>
      </c>
      <c r="AY12" s="31">
        <f>IFERROR(VLOOKUP($A12,'Arranjos Consolidados'!$E$3:$BM$303,AY$2,FALSE),"")</f>
        <v>76.930878417473082</v>
      </c>
      <c r="AZ12" s="31">
        <f>IFERROR(VLOOKUP($A12,'Arranjos Consolidados'!$E$3:$BM$303,AZ$2,FALSE),"")</f>
        <v>70.335453766407412</v>
      </c>
      <c r="BA12" s="31">
        <f>IFERROR(VLOOKUP($A12,'Arranjos Consolidados'!$E$3:$BM$303,BA$2,FALSE),"")</f>
        <v>98.469635272970365</v>
      </c>
      <c r="BB12" s="31">
        <f>IFERROR(VLOOKUP($A12,'Arranjos Consolidados'!$E$3:$BM$303,BB$2,FALSE),"")</f>
        <v>0</v>
      </c>
      <c r="BC12" s="31">
        <f>IFERROR(VLOOKUP($A12,'Arranjos Consolidados'!$E$3:$BM$303,BC$2,FALSE),"")</f>
        <v>39.190307044081692</v>
      </c>
      <c r="BD12" s="31">
        <f>IFERROR(VLOOKUP($A12,'Arranjos Consolidados'!$E$3:$BM$303,BD$2,FALSE),"")</f>
        <v>13.234366924440833</v>
      </c>
      <c r="BE12" s="31">
        <f>IFERROR(VLOOKUP($A12,'Arranjos Consolidados'!$E$3:$BM$303,BE$2,FALSE),"")</f>
        <v>1.4723613094253223</v>
      </c>
      <c r="BF12" s="31">
        <f>IFERROR(VLOOKUP($A12,'Arranjos Consolidados'!$E$3:$BM$303,BF$2,FALSE),"")</f>
        <v>24.483578810215537</v>
      </c>
      <c r="BG12" s="31">
        <f>IFERROR(VLOOKUP($A12,'Arranjos Consolidados'!$E$3:$BM$303,BG$2,FALSE),"")</f>
        <v>0</v>
      </c>
      <c r="BH12" s="31">
        <f>IFERROR(VLOOKUP($A12,'Arranjos Consolidados'!$E$3:$BM$303,BH$2,FALSE),"")</f>
        <v>386.131950045792</v>
      </c>
      <c r="BI12" s="31">
        <f>IFERROR(VLOOKUP($A12,'Arranjos Consolidados'!$E$3:$BM$303,BI$2,FALSE),"")</f>
        <v>527.51751934065146</v>
      </c>
      <c r="BJ12" s="34">
        <f>IFERROR(VLOOKUP($A12,'Arranjos Consolidados'!$E$3:$BM$303,BJ$2,FALSE),"")</f>
        <v>1.3883405357664405</v>
      </c>
      <c r="BK12" s="34">
        <f>IFERROR(VLOOKUP($A12,'Arranjos Consolidados'!$E$3:$BM$303,BK$2,FALSE),"")</f>
        <v>2.5909101746344239</v>
      </c>
    </row>
    <row r="13" spans="1:63" ht="16.5" x14ac:dyDescent="0.25">
      <c r="A13" s="24" t="s">
        <v>10015</v>
      </c>
      <c r="B13" s="32">
        <f>'Banco de Dados'!$I$29</f>
        <v>300</v>
      </c>
      <c r="C13" s="25">
        <f>'Banco de Dados'!$I$30/100</f>
        <v>0.42499999999999999</v>
      </c>
      <c r="D13" s="29">
        <f>IFERROR(VLOOKUP($A13,'Arranjos Consolidados'!$E$3:$BM$303,D$2,FALSE),"")</f>
        <v>18919</v>
      </c>
      <c r="E13" s="33">
        <f>IFERROR(VLOOKUP($A13,'Arranjos Consolidados'!$E$3:$BM$303,E$2,FALSE),"")</f>
        <v>0.89712986944341666</v>
      </c>
      <c r="F13" s="29">
        <f>IFERROR(VLOOKUP($A13,'Arranjos Consolidados'!$E$3:$BM$303,F$2,FALSE),"")</f>
        <v>199.99999999999997</v>
      </c>
      <c r="G13" s="31">
        <f>IFERROR(VLOOKUP($A13,'Arranjos Consolidados'!$E$3:$BM$303,G$2,FALSE),"")</f>
        <v>22.902531475577291</v>
      </c>
      <c r="H13" s="34">
        <f>IFERROR(VLOOKUP($A13,'Arranjos Consolidados'!$E$3:$BM$303,H$2,FALSE),"")</f>
        <v>1.5682703270247524</v>
      </c>
      <c r="I13" s="29">
        <f>IFERROR(VLOOKUP($A13,'Arranjos Consolidados'!$E$3:$BM$303,I$2,FALSE),"")</f>
        <v>30</v>
      </c>
      <c r="J13" s="31">
        <f>IFERROR(VLOOKUP($A13,'Arranjos Consolidados'!$E$3:$BM$303,J$2,FALSE),"")</f>
        <v>74.637722962350949</v>
      </c>
      <c r="K13" s="31">
        <f>IFERROR(VLOOKUP($A13,'Arranjos Consolidados'!$E$3:$BM$303,K$2,FALSE),"")</f>
        <v>19.948037122838162</v>
      </c>
      <c r="L13" s="31">
        <f>IFERROR(VLOOKUP($A13,'Arranjos Consolidados'!$E$3:$BM$303,L$2,FALSE),"")</f>
        <v>42.488796240288906</v>
      </c>
      <c r="M13" s="31">
        <f>IFERROR(VLOOKUP($A13,'Arranjos Consolidados'!$E$3:$BM$303,M$2,FALSE),"")</f>
        <v>11.532562754760633</v>
      </c>
      <c r="N13" s="31">
        <f>IFERROR(VLOOKUP($A13,'Arranjos Consolidados'!$E$3:$BM$303,N$2,FALSE),"")</f>
        <v>15.103165850011305</v>
      </c>
      <c r="O13" s="31">
        <f>IFERROR(VLOOKUP($A13,'Arranjos Consolidados'!$E$3:$BM$303,O$2,FALSE),"")</f>
        <v>15.853067635516966</v>
      </c>
      <c r="P13" s="31">
        <f>IFERROR(VLOOKUP($A13,'Arranjos Consolidados'!$E$3:$BM$303,P$2,FALSE),"")</f>
        <v>3.4243196328840946</v>
      </c>
      <c r="Q13" s="31">
        <f>IFERROR(VLOOKUP($A13,'Arranjos Consolidados'!$E$3:$BM$303,Q$2,FALSE),"")</f>
        <v>5.9914482122081827</v>
      </c>
      <c r="R13" s="31">
        <f>IFERROR(VLOOKUP($A13,'Arranjos Consolidados'!$E$3:$BM$303,R$2,FALSE),"")</f>
        <v>6.4372997904246914</v>
      </c>
      <c r="S13" s="31">
        <f>IFERROR(VLOOKUP($A13,'Arranjos Consolidados'!$E$3:$BM$303,S$2,FALSE),"")</f>
        <v>4207.927716448683</v>
      </c>
      <c r="T13" s="31">
        <f>IFERROR(VLOOKUP($A13,'Arranjos Consolidados'!$E$3:$BM$303,T$2,FALSE),"")</f>
        <v>4353.7586323035193</v>
      </c>
      <c r="U13" s="31">
        <f>IFERROR(VLOOKUP($A13,'Arranjos Consolidados'!$E$3:$BM$303,U$2,FALSE),"")</f>
        <v>0</v>
      </c>
      <c r="V13" s="31">
        <f>IFERROR(VLOOKUP($A13,'Arranjos Consolidados'!$E$3:$BM$303,V$2,FALSE),"")</f>
        <v>0</v>
      </c>
      <c r="W13" s="31">
        <f>IFERROR(VLOOKUP($A13,'Arranjos Consolidados'!$E$3:$BM$303,W$2,FALSE),"")</f>
        <v>348.15929742031165</v>
      </c>
      <c r="X13" s="29">
        <f>IFERROR(VLOOKUP($A13,'Arranjos Consolidados'!$E$3:$BM$303,X$2,FALSE),"")</f>
        <v>0</v>
      </c>
      <c r="Y13" s="31">
        <f>IFERROR(VLOOKUP($A13,'Arranjos Consolidados'!$E$3:$BM$303,Y$2,FALSE),"")</f>
        <v>0</v>
      </c>
      <c r="Z13" s="29">
        <f>IFERROR(VLOOKUP($A13,'Arranjos Consolidados'!$E$3:$BM$303,Z$2,FALSE),"")</f>
        <v>0</v>
      </c>
      <c r="AA13" s="31">
        <f>IFERROR(VLOOKUP($A13,'Arranjos Consolidados'!$E$3:$BM$303,AA$2,FALSE),"")</f>
        <v>348.15929742031165</v>
      </c>
      <c r="AB13" s="31">
        <f>IFERROR(VLOOKUP($A13,'Arranjos Consolidados'!$E$3:$BM$303,AB$2,FALSE),"")</f>
        <v>325.25676594473435</v>
      </c>
      <c r="AC13" s="31">
        <f>IFERROR(VLOOKUP($A13,'Arranjos Consolidados'!$E$3:$BM$303,AC$2,FALSE),"")</f>
        <v>8.8574775236429666</v>
      </c>
      <c r="AD13" s="31">
        <f>IFERROR(VLOOKUP($A13,'Arranjos Consolidados'!$E$3:$BM$303,AD$2,FALSE),"")</f>
        <v>0</v>
      </c>
      <c r="AE13" s="31">
        <f>IFERROR(VLOOKUP($A13,'Arranjos Consolidados'!$E$3:$BM$303,AE$2,FALSE),"")</f>
        <v>0</v>
      </c>
      <c r="AF13" s="31">
        <f>IFERROR(VLOOKUP($A13,'Arranjos Consolidados'!$E$3:$BM$303,AF$2,FALSE),"")</f>
        <v>211.57421898748768</v>
      </c>
      <c r="AG13" s="31">
        <f>IFERROR(VLOOKUP($A13,'Arranjos Consolidados'!$E$3:$BM$303,AG$2,FALSE),"")</f>
        <v>104.82506943360373</v>
      </c>
      <c r="AH13" s="31">
        <f>IFERROR(VLOOKUP($A13,'Arranjos Consolidados'!$E$3:$BM$303,AH$2,FALSE),"")</f>
        <v>0</v>
      </c>
      <c r="AI13" s="31">
        <f>IFERROR(VLOOKUP($A13,'Arranjos Consolidados'!$E$3:$BM$303,AI$2,FALSE),"")</f>
        <v>0</v>
      </c>
      <c r="AJ13" s="31">
        <f>IFERROR(VLOOKUP($A13,'Arranjos Consolidados'!$E$3:$BM$303,AJ$2,FALSE),"")</f>
        <v>0</v>
      </c>
      <c r="AK13" s="31">
        <f>IFERROR(VLOOKUP($A13,'Arranjos Consolidados'!$E$3:$BM$303,AK$2,FALSE),"")</f>
        <v>0</v>
      </c>
      <c r="AL13" s="34">
        <f>IFERROR(VLOOKUP($A13,'Arranjos Consolidados'!$E$3:$BM$303,AL$2,FALSE),"")</f>
        <v>0.73691686342332774</v>
      </c>
      <c r="AM13" s="31">
        <f>IFERROR(VLOOKUP($A13,'Arranjos Consolidados'!$E$3:$BM$303,AM$2,FALSE),"")</f>
        <v>22.902531475577291</v>
      </c>
      <c r="AN13" s="31">
        <f>IFERROR(VLOOKUP($A13,'Arranjos Consolidados'!$E$3:$BM$303,AN$2,FALSE),"")</f>
        <v>220.43169651113064</v>
      </c>
      <c r="AO13" s="31">
        <f>IFERROR(VLOOKUP($A13,'Arranjos Consolidados'!$E$3:$BM$303,AO$2,FALSE),"")</f>
        <v>8.8574775236429666</v>
      </c>
      <c r="AP13" s="31">
        <f>IFERROR(VLOOKUP($A13,'Arranjos Consolidados'!$E$3:$BM$303,AP$2,FALSE),"")</f>
        <v>0</v>
      </c>
      <c r="AQ13" s="31">
        <f>IFERROR(VLOOKUP($A13,'Arranjos Consolidados'!$E$3:$BM$303,AQ$2,FALSE),"")</f>
        <v>0</v>
      </c>
      <c r="AR13" s="31">
        <f>IFERROR(VLOOKUP($A13,'Arranjos Consolidados'!$E$3:$BM$303,AR$2,FALSE),"")</f>
        <v>211.57421898748768</v>
      </c>
      <c r="AS13" s="31">
        <f>IFERROR(VLOOKUP($A13,'Arranjos Consolidados'!$E$3:$BM$303,AS$2,FALSE),"")</f>
        <v>268.94308813064077</v>
      </c>
      <c r="AT13" s="31">
        <f>IFERROR(VLOOKUP($A13,'Arranjos Consolidados'!$E$3:$BM$303,AT$2,FALSE),"")</f>
        <v>64.453768554426318</v>
      </c>
      <c r="AU13" s="31">
        <f>IFERROR(VLOOKUP($A13,'Arranjos Consolidados'!$E$3:$BM$303,AU$2,FALSE),"")</f>
        <v>64.453768554426318</v>
      </c>
      <c r="AV13" s="31">
        <f>IFERROR(VLOOKUP($A13,'Arranjos Consolidados'!$E$3:$BM$303,AV$2,FALSE),"")</f>
        <v>0</v>
      </c>
      <c r="AW13" s="31">
        <f>IFERROR(VLOOKUP($A13,'Arranjos Consolidados'!$E$3:$BM$303,AW$2,FALSE),"")</f>
        <v>0</v>
      </c>
      <c r="AX13" s="31">
        <f>IFERROR(VLOOKUP($A13,'Arranjos Consolidados'!$E$3:$BM$303,AX$2,FALSE),"")</f>
        <v>184.79847354497542</v>
      </c>
      <c r="AY13" s="31">
        <f>IFERROR(VLOOKUP($A13,'Arranjos Consolidados'!$E$3:$BM$303,AY$2,FALSE),"")</f>
        <v>77.834886612819687</v>
      </c>
      <c r="AZ13" s="31">
        <f>IFERROR(VLOOKUP($A13,'Arranjos Consolidados'!$E$3:$BM$303,AZ$2,FALSE),"")</f>
        <v>44.568161221731557</v>
      </c>
      <c r="BA13" s="31">
        <f>IFERROR(VLOOKUP($A13,'Arranjos Consolidados'!$E$3:$BM$303,BA$2,FALSE),"")</f>
        <v>62.395425710424171</v>
      </c>
      <c r="BB13" s="31">
        <f>IFERROR(VLOOKUP($A13,'Arranjos Consolidados'!$E$3:$BM$303,BB$2,FALSE),"")</f>
        <v>0</v>
      </c>
      <c r="BC13" s="31">
        <f>IFERROR(VLOOKUP($A13,'Arranjos Consolidados'!$E$3:$BM$303,BC$2,FALSE),"")</f>
        <v>19.690846031239058</v>
      </c>
      <c r="BD13" s="31">
        <f>IFERROR(VLOOKUP($A13,'Arranjos Consolidados'!$E$3:$BM$303,BD$2,FALSE),"")</f>
        <v>6.3863800454590516</v>
      </c>
      <c r="BE13" s="31">
        <f>IFERROR(VLOOKUP($A13,'Arranjos Consolidados'!$E$3:$BM$303,BE$2,FALSE),"")</f>
        <v>1.4896629016807592</v>
      </c>
      <c r="BF13" s="31">
        <f>IFERROR(VLOOKUP($A13,'Arranjos Consolidados'!$E$3:$BM$303,BF$2,FALSE),"")</f>
        <v>11.814803084099244</v>
      </c>
      <c r="BG13" s="31">
        <f>IFERROR(VLOOKUP($A13,'Arranjos Consolidados'!$E$3:$BM$303,BG$2,FALSE),"")</f>
        <v>0</v>
      </c>
      <c r="BH13" s="31">
        <f>IFERROR(VLOOKUP($A13,'Arranjos Consolidados'!$E$3:$BM$303,BH$2,FALSE),"")</f>
        <v>489.37478464177144</v>
      </c>
      <c r="BI13" s="31">
        <f>IFERROR(VLOOKUP($A13,'Arranjos Consolidados'!$E$3:$BM$303,BI$2,FALSE),"")</f>
        <v>814.63155058650591</v>
      </c>
      <c r="BJ13" s="34">
        <f>IFERROR(VLOOKUP($A13,'Arranjos Consolidados'!$E$3:$BM$303,BJ$2,FALSE),"")</f>
        <v>1.6448538239422055</v>
      </c>
      <c r="BK13" s="34">
        <f>IFERROR(VLOOKUP($A13,'Arranjos Consolidados'!$E$3:$BM$303,BK$2,FALSE),"")</f>
        <v>1.5682703270247524</v>
      </c>
    </row>
    <row r="14" spans="1:63" ht="16.5" x14ac:dyDescent="0.25">
      <c r="A14" s="24" t="s">
        <v>10016</v>
      </c>
      <c r="B14" s="32">
        <f>'Banco de Dados'!$I$29</f>
        <v>300</v>
      </c>
      <c r="C14" s="25">
        <f>'Banco de Dados'!$I$30/100</f>
        <v>0.42499999999999999</v>
      </c>
      <c r="D14" s="29">
        <f>IFERROR(VLOOKUP($A14,'Arranjos Consolidados'!$E$3:$BM$303,D$2,FALSE),"")</f>
        <v>92598</v>
      </c>
      <c r="E14" s="33">
        <f>IFERROR(VLOOKUP($A14,'Arranjos Consolidados'!$E$3:$BM$303,E$2,FALSE),"")</f>
        <v>0.8971289950639485</v>
      </c>
      <c r="F14" s="29">
        <f>IFERROR(VLOOKUP($A14,'Arranjos Consolidados'!$E$3:$BM$303,F$2,FALSE),"")</f>
        <v>200.00000000000003</v>
      </c>
      <c r="G14" s="31">
        <f>IFERROR(VLOOKUP($A14,'Arranjos Consolidados'!$E$3:$BM$303,G$2,FALSE),"")</f>
        <v>-28.978159350921757</v>
      </c>
      <c r="H14" s="34">
        <f>IFERROR(VLOOKUP($A14,'Arranjos Consolidados'!$E$3:$BM$303,H$2,FALSE),"")</f>
        <v>3.4288632026173684</v>
      </c>
      <c r="I14" s="29">
        <f>IFERROR(VLOOKUP($A14,'Arranjos Consolidados'!$E$3:$BM$303,I$2,FALSE),"")</f>
        <v>30</v>
      </c>
      <c r="J14" s="31">
        <f>IFERROR(VLOOKUP($A14,'Arranjos Consolidados'!$E$3:$BM$303,J$2,FALSE),"")</f>
        <v>67.827420897788571</v>
      </c>
      <c r="K14" s="31">
        <f>IFERROR(VLOOKUP($A14,'Arranjos Consolidados'!$E$3:$BM$303,K$2,FALSE),"")</f>
        <v>18.497770280563227</v>
      </c>
      <c r="L14" s="31">
        <f>IFERROR(VLOOKUP($A14,'Arranjos Consolidados'!$E$3:$BM$303,L$2,FALSE),"")</f>
        <v>42.488796240288899</v>
      </c>
      <c r="M14" s="31">
        <f>IFERROR(VLOOKUP($A14,'Arranjos Consolidados'!$E$3:$BM$303,M$2,FALSE),"")</f>
        <v>31.050801829354072</v>
      </c>
      <c r="N14" s="31">
        <f>IFERROR(VLOOKUP($A14,'Arranjos Consolidados'!$E$3:$BM$303,N$2,FALSE),"")</f>
        <v>7.8200629480251722</v>
      </c>
      <c r="O14" s="31">
        <f>IFERROR(VLOOKUP($A14,'Arranjos Consolidados'!$E$3:$BM$303,O$2,FALSE),"")</f>
        <v>3.6179314629096564</v>
      </c>
      <c r="P14" s="31">
        <f>IFERROR(VLOOKUP($A14,'Arranjos Consolidados'!$E$3:$BM$303,P$2,FALSE),"")</f>
        <v>3.6179314629096564</v>
      </c>
      <c r="Q14" s="31">
        <f>IFERROR(VLOOKUP($A14,'Arranjos Consolidados'!$E$3:$BM$303,Q$2,FALSE),"")</f>
        <v>0</v>
      </c>
      <c r="R14" s="31">
        <f>IFERROR(VLOOKUP($A14,'Arranjos Consolidados'!$E$3:$BM$303,R$2,FALSE),"")</f>
        <v>0</v>
      </c>
      <c r="S14" s="31">
        <f>IFERROR(VLOOKUP($A14,'Arranjos Consolidados'!$E$3:$BM$303,S$2,FALSE),"")</f>
        <v>26940.824883221951</v>
      </c>
      <c r="T14" s="31">
        <f>IFERROR(VLOOKUP($A14,'Arranjos Consolidados'!$E$3:$BM$303,T$2,FALSE),"")</f>
        <v>0</v>
      </c>
      <c r="U14" s="31">
        <f>IFERROR(VLOOKUP($A14,'Arranjos Consolidados'!$E$3:$BM$303,U$2,FALSE),"")</f>
        <v>0</v>
      </c>
      <c r="V14" s="31">
        <f>IFERROR(VLOOKUP($A14,'Arranjos Consolidados'!$E$3:$BM$303,V$2,FALSE),"")</f>
        <v>0</v>
      </c>
      <c r="W14" s="31">
        <f>IFERROR(VLOOKUP($A14,'Arranjos Consolidados'!$E$3:$BM$303,W$2,FALSE),"")</f>
        <v>615.70955738077487</v>
      </c>
      <c r="X14" s="29">
        <f>IFERROR(VLOOKUP($A14,'Arranjos Consolidados'!$E$3:$BM$303,X$2,FALSE),"")</f>
        <v>0</v>
      </c>
      <c r="Y14" s="31">
        <f>IFERROR(VLOOKUP($A14,'Arranjos Consolidados'!$E$3:$BM$303,Y$2,FALSE),"")</f>
        <v>0</v>
      </c>
      <c r="Z14" s="29">
        <f>IFERROR(VLOOKUP($A14,'Arranjos Consolidados'!$E$3:$BM$303,Z$2,FALSE),"")</f>
        <v>0</v>
      </c>
      <c r="AA14" s="31">
        <f>IFERROR(VLOOKUP($A14,'Arranjos Consolidados'!$E$3:$BM$303,AA$2,FALSE),"")</f>
        <v>615.70955738077487</v>
      </c>
      <c r="AB14" s="31">
        <f>IFERROR(VLOOKUP($A14,'Arranjos Consolidados'!$E$3:$BM$303,AB$2,FALSE),"")</f>
        <v>644.68771673169658</v>
      </c>
      <c r="AC14" s="31">
        <f>IFERROR(VLOOKUP($A14,'Arranjos Consolidados'!$E$3:$BM$303,AC$2,FALSE),"")</f>
        <v>8.4605586121202663</v>
      </c>
      <c r="AD14" s="31">
        <f>IFERROR(VLOOKUP($A14,'Arranjos Consolidados'!$E$3:$BM$303,AD$2,FALSE),"")</f>
        <v>0</v>
      </c>
      <c r="AE14" s="31">
        <f>IFERROR(VLOOKUP($A14,'Arranjos Consolidados'!$E$3:$BM$303,AE$2,FALSE),"")</f>
        <v>0</v>
      </c>
      <c r="AF14" s="31">
        <f>IFERROR(VLOOKUP($A14,'Arranjos Consolidados'!$E$3:$BM$303,AF$2,FALSE),"")</f>
        <v>513.22679989013386</v>
      </c>
      <c r="AG14" s="31">
        <f>IFERROR(VLOOKUP($A14,'Arranjos Consolidados'!$E$3:$BM$303,AG$2,FALSE),"")</f>
        <v>123.0003582294425</v>
      </c>
      <c r="AH14" s="31">
        <f>IFERROR(VLOOKUP($A14,'Arranjos Consolidados'!$E$3:$BM$303,AH$2,FALSE),"")</f>
        <v>0</v>
      </c>
      <c r="AI14" s="31">
        <f>IFERROR(VLOOKUP($A14,'Arranjos Consolidados'!$E$3:$BM$303,AI$2,FALSE),"")</f>
        <v>0</v>
      </c>
      <c r="AJ14" s="31">
        <f>IFERROR(VLOOKUP($A14,'Arranjos Consolidados'!$E$3:$BM$303,AJ$2,FALSE),"")</f>
        <v>0</v>
      </c>
      <c r="AK14" s="31">
        <f>IFERROR(VLOOKUP($A14,'Arranjos Consolidados'!$E$3:$BM$303,AK$2,FALSE),"")</f>
        <v>0</v>
      </c>
      <c r="AL14" s="34">
        <f>IFERROR(VLOOKUP($A14,'Arranjos Consolidados'!$E$3:$BM$303,AL$2,FALSE),"")</f>
        <v>1.050800811280715</v>
      </c>
      <c r="AM14" s="31">
        <f>IFERROR(VLOOKUP($A14,'Arranjos Consolidados'!$E$3:$BM$303,AM$2,FALSE),"")</f>
        <v>-28.978159350921757</v>
      </c>
      <c r="AN14" s="31">
        <f>IFERROR(VLOOKUP($A14,'Arranjos Consolidados'!$E$3:$BM$303,AN$2,FALSE),"")</f>
        <v>521.68735850225414</v>
      </c>
      <c r="AO14" s="31">
        <f>IFERROR(VLOOKUP($A14,'Arranjos Consolidados'!$E$3:$BM$303,AO$2,FALSE),"")</f>
        <v>8.4605586121202663</v>
      </c>
      <c r="AP14" s="31">
        <f>IFERROR(VLOOKUP($A14,'Arranjos Consolidados'!$E$3:$BM$303,AP$2,FALSE),"")</f>
        <v>0</v>
      </c>
      <c r="AQ14" s="31">
        <f>IFERROR(VLOOKUP($A14,'Arranjos Consolidados'!$E$3:$BM$303,AQ$2,FALSE),"")</f>
        <v>0</v>
      </c>
      <c r="AR14" s="31">
        <f>IFERROR(VLOOKUP($A14,'Arranjos Consolidados'!$E$3:$BM$303,AR$2,FALSE),"")</f>
        <v>513.22679989013386</v>
      </c>
      <c r="AS14" s="31">
        <f>IFERROR(VLOOKUP($A14,'Arranjos Consolidados'!$E$3:$BM$303,AS$2,FALSE),"")</f>
        <v>279.49842665770774</v>
      </c>
      <c r="AT14" s="31">
        <f>IFERROR(VLOOKUP($A14,'Arranjos Consolidados'!$E$3:$BM$303,AT$2,FALSE),"")</f>
        <v>81.594999999999985</v>
      </c>
      <c r="AU14" s="31">
        <f>IFERROR(VLOOKUP($A14,'Arranjos Consolidados'!$E$3:$BM$303,AU$2,FALSE),"")</f>
        <v>81.594999999999985</v>
      </c>
      <c r="AV14" s="31">
        <f>IFERROR(VLOOKUP($A14,'Arranjos Consolidados'!$E$3:$BM$303,AV$2,FALSE),"")</f>
        <v>0</v>
      </c>
      <c r="AW14" s="31">
        <f>IFERROR(VLOOKUP($A14,'Arranjos Consolidados'!$E$3:$BM$303,AW$2,FALSE),"")</f>
        <v>0</v>
      </c>
      <c r="AX14" s="31">
        <f>IFERROR(VLOOKUP($A14,'Arranjos Consolidados'!$E$3:$BM$303,AX$2,FALSE),"")</f>
        <v>182.92213034123867</v>
      </c>
      <c r="AY14" s="31">
        <f>IFERROR(VLOOKUP($A14,'Arranjos Consolidados'!$E$3:$BM$303,AY$2,FALSE),"")</f>
        <v>82.718698010625417</v>
      </c>
      <c r="AZ14" s="31">
        <f>IFERROR(VLOOKUP($A14,'Arranjos Consolidados'!$E$3:$BM$303,AZ$2,FALSE),"")</f>
        <v>41.751430137755513</v>
      </c>
      <c r="BA14" s="31">
        <f>IFERROR(VLOOKUP($A14,'Arranjos Consolidados'!$E$3:$BM$303,BA$2,FALSE),"")</f>
        <v>58.452002192857726</v>
      </c>
      <c r="BB14" s="31">
        <f>IFERROR(VLOOKUP($A14,'Arranjos Consolidados'!$E$3:$BM$303,BB$2,FALSE),"")</f>
        <v>0</v>
      </c>
      <c r="BC14" s="31">
        <f>IFERROR(VLOOKUP($A14,'Arranjos Consolidados'!$E$3:$BM$303,BC$2,FALSE),"")</f>
        <v>14.981296316469114</v>
      </c>
      <c r="BD14" s="31">
        <f>IFERROR(VLOOKUP($A14,'Arranjos Consolidados'!$E$3:$BM$303,BD$2,FALSE),"")</f>
        <v>4.7011099439260384</v>
      </c>
      <c r="BE14" s="31">
        <f>IFERROR(VLOOKUP($A14,'Arranjos Consolidados'!$E$3:$BM$303,BE$2,FALSE),"")</f>
        <v>1.5831329762799122</v>
      </c>
      <c r="BF14" s="31">
        <f>IFERROR(VLOOKUP($A14,'Arranjos Consolidados'!$E$3:$BM$303,BF$2,FALSE),"")</f>
        <v>8.6970533962631702</v>
      </c>
      <c r="BG14" s="31">
        <f>IFERROR(VLOOKUP($A14,'Arranjos Consolidados'!$E$3:$BM$303,BG$2,FALSE),"")</f>
        <v>0</v>
      </c>
      <c r="BH14" s="31">
        <f>IFERROR(VLOOKUP($A14,'Arranjos Consolidados'!$E$3:$BM$303,BH$2,FALSE),"")</f>
        <v>801.18578515996194</v>
      </c>
      <c r="BI14" s="31">
        <f>IFERROR(VLOOKUP($A14,'Arranjos Consolidados'!$E$3:$BM$303,BI$2,FALSE),"")</f>
        <v>1445.8735018916584</v>
      </c>
      <c r="BJ14" s="34">
        <f>IFERROR(VLOOKUP($A14,'Arranjos Consolidados'!$E$3:$BM$303,BJ$2,FALSE),"")</f>
        <v>1.6794116034762192</v>
      </c>
      <c r="BK14" s="34">
        <f>IFERROR(VLOOKUP($A14,'Arranjos Consolidados'!$E$3:$BM$303,BK$2,FALSE),"")</f>
        <v>3.4288632026173684</v>
      </c>
    </row>
    <row r="15" spans="1:63" ht="16.5" x14ac:dyDescent="0.25">
      <c r="A15" s="24" t="s">
        <v>10789</v>
      </c>
      <c r="B15" s="32">
        <f>'Banco de Dados'!$I$29</f>
        <v>300</v>
      </c>
      <c r="C15" s="25">
        <f>'Banco de Dados'!$I$30/100</f>
        <v>0.42499999999999999</v>
      </c>
      <c r="D15" s="29">
        <f>IFERROR(VLOOKUP($A15,'Arranjos Consolidados'!$E$3:$BM$303,D$2,FALSE),"")</f>
        <v>54624</v>
      </c>
      <c r="E15" s="33">
        <f>IFERROR(VLOOKUP($A15,'Arranjos Consolidados'!$E$3:$BM$303,E$2,FALSE),"")</f>
        <v>0.8971242506680791</v>
      </c>
      <c r="F15" s="29">
        <f>IFERROR(VLOOKUP($A15,'Arranjos Consolidados'!$E$3:$BM$303,F$2,FALSE),"")</f>
        <v>200</v>
      </c>
      <c r="G15" s="31">
        <f>IFERROR(VLOOKUP($A15,'Arranjos Consolidados'!$E$3:$BM$303,G$2,FALSE),"")</f>
        <v>52.665978051421646</v>
      </c>
      <c r="H15" s="34">
        <f>IFERROR(VLOOKUP($A15,'Arranjos Consolidados'!$E$3:$BM$303,H$2,FALSE),"")</f>
        <v>20.521859477916529</v>
      </c>
      <c r="I15" s="29">
        <f>IFERROR(VLOOKUP($A15,'Arranjos Consolidados'!$E$3:$BM$303,I$2,FALSE),"")</f>
        <v>30</v>
      </c>
      <c r="J15" s="31">
        <f>IFERROR(VLOOKUP($A15,'Arranjos Consolidados'!$E$3:$BM$303,J$2,FALSE),"")</f>
        <v>109.07224106071988</v>
      </c>
      <c r="K15" s="31">
        <f>IFERROR(VLOOKUP($A15,'Arranjos Consolidados'!$E$3:$BM$303,K$2,FALSE),"")</f>
        <v>25.467536064540148</v>
      </c>
      <c r="L15" s="31">
        <f>IFERROR(VLOOKUP($A15,'Arranjos Consolidados'!$E$3:$BM$303,L$2,FALSE),"")</f>
        <v>42.48879624028892</v>
      </c>
      <c r="M15" s="31">
        <f>IFERROR(VLOOKUP($A15,'Arranjos Consolidados'!$E$3:$BM$303,M$2,FALSE),"")</f>
        <v>31.050801829354086</v>
      </c>
      <c r="N15" s="31">
        <f>IFERROR(VLOOKUP($A15,'Arranjos Consolidados'!$E$3:$BM$303,N$2,FALSE),"")</f>
        <v>7.8200629480251758</v>
      </c>
      <c r="O15" s="31">
        <f>IFERROR(VLOOKUP($A15,'Arranjos Consolidados'!$E$3:$BM$303,O$2,FALSE),"")</f>
        <v>3.6179314629096591</v>
      </c>
      <c r="P15" s="31">
        <f>IFERROR(VLOOKUP($A15,'Arranjos Consolidados'!$E$3:$BM$303,P$2,FALSE),"")</f>
        <v>3.6179314629096591</v>
      </c>
      <c r="Q15" s="31">
        <f>IFERROR(VLOOKUP($A15,'Arranjos Consolidados'!$E$3:$BM$303,Q$2,FALSE),"")</f>
        <v>0</v>
      </c>
      <c r="R15" s="31">
        <f>IFERROR(VLOOKUP($A15,'Arranjos Consolidados'!$E$3:$BM$303,R$2,FALSE),"")</f>
        <v>0</v>
      </c>
      <c r="S15" s="31">
        <f>IFERROR(VLOOKUP($A15,'Arranjos Consolidados'!$E$3:$BM$303,S$2,FALSE),"")</f>
        <v>26940.824883221969</v>
      </c>
      <c r="T15" s="31">
        <f>IFERROR(VLOOKUP($A15,'Arranjos Consolidados'!$E$3:$BM$303,T$2,FALSE),"")</f>
        <v>0</v>
      </c>
      <c r="U15" s="31">
        <f>IFERROR(VLOOKUP($A15,'Arranjos Consolidados'!$E$3:$BM$303,U$2,FALSE),"")</f>
        <v>0</v>
      </c>
      <c r="V15" s="31">
        <f>IFERROR(VLOOKUP($A15,'Arranjos Consolidados'!$E$3:$BM$303,V$2,FALSE),"")</f>
        <v>0</v>
      </c>
      <c r="W15" s="31">
        <f>IFERROR(VLOOKUP($A15,'Arranjos Consolidados'!$E$3:$BM$303,W$2,FALSE),"")</f>
        <v>616.1797067363791</v>
      </c>
      <c r="X15" s="29">
        <f>IFERROR(VLOOKUP($A15,'Arranjos Consolidados'!$E$3:$BM$303,X$2,FALSE),"")</f>
        <v>0</v>
      </c>
      <c r="Y15" s="31">
        <f>IFERROR(VLOOKUP($A15,'Arranjos Consolidados'!$E$3:$BM$303,Y$2,FALSE),"")</f>
        <v>0</v>
      </c>
      <c r="Z15" s="29">
        <f>IFERROR(VLOOKUP($A15,'Arranjos Consolidados'!$E$3:$BM$303,Z$2,FALSE),"")</f>
        <v>0</v>
      </c>
      <c r="AA15" s="31">
        <f>IFERROR(VLOOKUP($A15,'Arranjos Consolidados'!$E$3:$BM$303,AA$2,FALSE),"")</f>
        <v>616.1797067363791</v>
      </c>
      <c r="AB15" s="31">
        <f>IFERROR(VLOOKUP($A15,'Arranjos Consolidados'!$E$3:$BM$303,AB$2,FALSE),"")</f>
        <v>563.51372868495753</v>
      </c>
      <c r="AC15" s="31">
        <f>IFERROR(VLOOKUP($A15,'Arranjos Consolidados'!$E$3:$BM$303,AC$2,FALSE),"")</f>
        <v>8.9307079677245031</v>
      </c>
      <c r="AD15" s="31">
        <f>IFERROR(VLOOKUP($A15,'Arranjos Consolidados'!$E$3:$BM$303,AD$2,FALSE),"")</f>
        <v>0</v>
      </c>
      <c r="AE15" s="31">
        <f>IFERROR(VLOOKUP($A15,'Arranjos Consolidados'!$E$3:$BM$303,AE$2,FALSE),"")</f>
        <v>0</v>
      </c>
      <c r="AF15" s="31">
        <f>IFERROR(VLOOKUP($A15,'Arranjos Consolidados'!$E$3:$BM$303,AF$2,FALSE),"")</f>
        <v>431.58266248779046</v>
      </c>
      <c r="AG15" s="31">
        <f>IFERROR(VLOOKUP($A15,'Arranjos Consolidados'!$E$3:$BM$303,AG$2,FALSE),"")</f>
        <v>123.00035822944253</v>
      </c>
      <c r="AH15" s="31">
        <f>IFERROR(VLOOKUP($A15,'Arranjos Consolidados'!$E$3:$BM$303,AH$2,FALSE),"")</f>
        <v>0</v>
      </c>
      <c r="AI15" s="31">
        <f>IFERROR(VLOOKUP($A15,'Arranjos Consolidados'!$E$3:$BM$303,AI$2,FALSE),"")</f>
        <v>0</v>
      </c>
      <c r="AJ15" s="31">
        <f>IFERROR(VLOOKUP($A15,'Arranjos Consolidados'!$E$3:$BM$303,AJ$2,FALSE),"")</f>
        <v>0</v>
      </c>
      <c r="AK15" s="31">
        <f>IFERROR(VLOOKUP($A15,'Arranjos Consolidados'!$E$3:$BM$303,AK$2,FALSE),"")</f>
        <v>0</v>
      </c>
      <c r="AL15" s="34">
        <f>IFERROR(VLOOKUP($A15,'Arranjos Consolidados'!$E$3:$BM$303,AL$2,FALSE),"")</f>
        <v>0.91455156466672016</v>
      </c>
      <c r="AM15" s="31">
        <f>IFERROR(VLOOKUP($A15,'Arranjos Consolidados'!$E$3:$BM$303,AM$2,FALSE),"")</f>
        <v>52.665978051421646</v>
      </c>
      <c r="AN15" s="31">
        <f>IFERROR(VLOOKUP($A15,'Arranjos Consolidados'!$E$3:$BM$303,AN$2,FALSE),"")</f>
        <v>440.51337045551497</v>
      </c>
      <c r="AO15" s="31">
        <f>IFERROR(VLOOKUP($A15,'Arranjos Consolidados'!$E$3:$BM$303,AO$2,FALSE),"")</f>
        <v>8.9307079677245031</v>
      </c>
      <c r="AP15" s="31">
        <f>IFERROR(VLOOKUP($A15,'Arranjos Consolidados'!$E$3:$BM$303,AP$2,FALSE),"")</f>
        <v>0</v>
      </c>
      <c r="AQ15" s="31">
        <f>IFERROR(VLOOKUP($A15,'Arranjos Consolidados'!$E$3:$BM$303,AQ$2,FALSE),"")</f>
        <v>0</v>
      </c>
      <c r="AR15" s="31">
        <f>IFERROR(VLOOKUP($A15,'Arranjos Consolidados'!$E$3:$BM$303,AR$2,FALSE),"")</f>
        <v>431.58266248779046</v>
      </c>
      <c r="AS15" s="31">
        <f>IFERROR(VLOOKUP($A15,'Arranjos Consolidados'!$E$3:$BM$303,AS$2,FALSE),"")</f>
        <v>391.33614856815501</v>
      </c>
      <c r="AT15" s="31">
        <f>IFERROR(VLOOKUP($A15,'Arranjos Consolidados'!$E$3:$BM$303,AT$2,FALSE),"")</f>
        <v>81.594999999999999</v>
      </c>
      <c r="AU15" s="31">
        <f>IFERROR(VLOOKUP($A15,'Arranjos Consolidados'!$E$3:$BM$303,AU$2,FALSE),"")</f>
        <v>81.594999999999999</v>
      </c>
      <c r="AV15" s="31">
        <f>IFERROR(VLOOKUP($A15,'Arranjos Consolidados'!$E$3:$BM$303,AV$2,FALSE),"")</f>
        <v>0</v>
      </c>
      <c r="AW15" s="31">
        <f>IFERROR(VLOOKUP($A15,'Arranjos Consolidados'!$E$3:$BM$303,AW$2,FALSE),"")</f>
        <v>0</v>
      </c>
      <c r="AX15" s="31">
        <f>IFERROR(VLOOKUP($A15,'Arranjos Consolidados'!$E$3:$BM$303,AX$2,FALSE),"")</f>
        <v>283.12556267185187</v>
      </c>
      <c r="AY15" s="31">
        <f>IFERROR(VLOOKUP($A15,'Arranjos Consolidados'!$E$3:$BM$303,AY$2,FALSE),"")</f>
        <v>82.718698010625445</v>
      </c>
      <c r="AZ15" s="31">
        <f>IFERROR(VLOOKUP($A15,'Arranjos Consolidados'!$E$3:$BM$303,AZ$2,FALSE),"")</f>
        <v>83.502860275511026</v>
      </c>
      <c r="BA15" s="31">
        <f>IFERROR(VLOOKUP($A15,'Arranjos Consolidados'!$E$3:$BM$303,BA$2,FALSE),"")</f>
        <v>116.90400438571545</v>
      </c>
      <c r="BB15" s="31">
        <f>IFERROR(VLOOKUP($A15,'Arranjos Consolidados'!$E$3:$BM$303,BB$2,FALSE),"")</f>
        <v>0</v>
      </c>
      <c r="BC15" s="31">
        <f>IFERROR(VLOOKUP($A15,'Arranjos Consolidados'!$E$3:$BM$303,BC$2,FALSE),"")</f>
        <v>26.615585896303056</v>
      </c>
      <c r="BD15" s="31">
        <f>IFERROR(VLOOKUP($A15,'Arranjos Consolidados'!$E$3:$BM$303,BD$2,FALSE),"")</f>
        <v>8.7833168140432107</v>
      </c>
      <c r="BE15" s="31">
        <f>IFERROR(VLOOKUP($A15,'Arranjos Consolidados'!$E$3:$BM$303,BE$2,FALSE),"")</f>
        <v>1.5831329762799127</v>
      </c>
      <c r="BF15" s="31">
        <f>IFERROR(VLOOKUP($A15,'Arranjos Consolidados'!$E$3:$BM$303,BF$2,FALSE),"")</f>
        <v>16.249136105979936</v>
      </c>
      <c r="BG15" s="31">
        <f>IFERROR(VLOOKUP($A15,'Arranjos Consolidados'!$E$3:$BM$303,BG$2,FALSE),"")</f>
        <v>0</v>
      </c>
      <c r="BH15" s="31">
        <f>IFERROR(VLOOKUP($A15,'Arranjos Consolidados'!$E$3:$BM$303,BH$2,FALSE),"")</f>
        <v>831.84951902366981</v>
      </c>
      <c r="BI15" s="31">
        <f>IFERROR(VLOOKUP($A15,'Arranjos Consolidados'!$E$3:$BM$303,BI$2,FALSE),"")</f>
        <v>1395.3632477086273</v>
      </c>
      <c r="BJ15" s="34">
        <f>IFERROR(VLOOKUP($A15,'Arranjos Consolidados'!$E$3:$BM$303,BJ$2,FALSE),"")</f>
        <v>1.5891958375374604</v>
      </c>
      <c r="BK15" s="34">
        <f>IFERROR(VLOOKUP($A15,'Arranjos Consolidados'!$E$3:$BM$303,BK$2,FALSE),"")</f>
        <v>20.521859477916529</v>
      </c>
    </row>
    <row r="16" spans="1:63" ht="16.5" x14ac:dyDescent="0.25">
      <c r="A16" s="24" t="s">
        <v>10156</v>
      </c>
      <c r="B16" s="32">
        <f>'Banco de Dados'!$I$29</f>
        <v>300</v>
      </c>
      <c r="C16" s="25">
        <f>'Banco de Dados'!$I$30/100</f>
        <v>0.42499999999999999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10449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10459</v>
      </c>
      <c r="E27" s="40" t="s">
        <v>10455</v>
      </c>
      <c r="F27" s="40" t="s">
        <v>10456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5" x14ac:dyDescent="0.25">
      <c r="B29" s="29"/>
      <c r="D29" s="38" t="s">
        <v>10439</v>
      </c>
      <c r="E29" s="38" t="s">
        <v>10440</v>
      </c>
      <c r="F29" s="38" t="s">
        <v>10441</v>
      </c>
      <c r="G29" s="38" t="s">
        <v>10450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10321</v>
      </c>
      <c r="C30" s="39" t="s">
        <v>10442</v>
      </c>
      <c r="D30" s="43">
        <f>IFERROR(VLOOKUP(A30,'Arranjos Consolidados'!$E$3:$BM$303,5,FALSE),"")</f>
        <v>163.22656973881664</v>
      </c>
      <c r="E30" s="42">
        <f>IFERROR(VLOOKUP(A30,'Arranjos Consolidados'!$E$3:$BM$303,21,FALSE),"")</f>
        <v>304.6121390336761</v>
      </c>
      <c r="F30" s="42">
        <f>IFERROR(VLOOKUP(A30,'Arranjos Consolidados'!$E$3:$BM$303,43,FALSE),"")</f>
        <v>410.56049385774077</v>
      </c>
      <c r="G30" s="40">
        <f>IFERROR(VLOOKUP(A30,'Arranjos Consolidados'!$E$3:$BM$303,4,FALSE),"")</f>
        <v>200</v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10322</v>
      </c>
      <c r="C31" s="39" t="s">
        <v>10443</v>
      </c>
      <c r="D31" s="43">
        <f>IFERROR(VLOOKUP(A31,'Arranjos Consolidados'!$E$3:$BM$303,5,FALSE),"")</f>
        <v>344.17321908263199</v>
      </c>
      <c r="E31" s="42">
        <f>IFERROR(VLOOKUP(A31,'Arranjos Consolidados'!$E$3:$BM$303,21,FALSE),"")</f>
        <v>304.6121390336761</v>
      </c>
      <c r="F31" s="42">
        <f>IFERROR(VLOOKUP(A31,'Arranjos Consolidados'!$E$3:$BM$303,43,FALSE),"")</f>
        <v>439.9507171600236</v>
      </c>
      <c r="G31" s="40">
        <f>IFERROR(VLOOKUP(A31,'Arranjos Consolidados'!$E$3:$BM$303,4,FALSE),"")</f>
        <v>200</v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10323</v>
      </c>
      <c r="C32" s="39" t="s">
        <v>10444</v>
      </c>
      <c r="D32" s="43">
        <f>IFERROR(VLOOKUP(A32,'Arranjos Consolidados'!$E$3:$BM$303,5,FALSE),"")</f>
        <v>188.35800482446962</v>
      </c>
      <c r="E32" s="42">
        <f>IFERROR(VLOOKUP(A32,'Arranjos Consolidados'!$E$3:$BM$303,21,FALSE),"")</f>
        <v>304.6121390336761</v>
      </c>
      <c r="F32" s="42">
        <f>IFERROR(VLOOKUP(A32,'Arranjos Consolidados'!$E$3:$BM$303,43,FALSE),"")</f>
        <v>418.57808014602449</v>
      </c>
      <c r="G32" s="40">
        <f>IFERROR(VLOOKUP(A32,'Arranjos Consolidados'!$E$3:$BM$303,4,FALSE),"")</f>
        <v>200</v>
      </c>
    </row>
    <row r="33" spans="1:14" ht="16.5" x14ac:dyDescent="0.35">
      <c r="A33" s="41" t="str">
        <f t="shared" si="0"/>
        <v>M1A1SA1RT2</v>
      </c>
      <c r="B33" s="41" t="s">
        <v>10324</v>
      </c>
      <c r="C33" s="39" t="s">
        <v>10445</v>
      </c>
      <c r="D33" s="43">
        <f>IFERROR(VLOOKUP(A33,'Arranjos Consolidados'!$E$3:$BM$303,5,FALSE),"")</f>
        <v>179.13909951045326</v>
      </c>
      <c r="E33" s="42">
        <f>IFERROR(VLOOKUP(A33,'Arranjos Consolidados'!$E$3:$BM$303,21,FALSE),"")</f>
        <v>267.60417534542665</v>
      </c>
      <c r="F33" s="42">
        <f>IFERROR(VLOOKUP(A33,'Arranjos Consolidados'!$E$3:$BM$303,43,FALSE),"")</f>
        <v>349.41196561874148</v>
      </c>
      <c r="G33" s="40">
        <f>IFERROR(VLOOKUP(A33,'Arranjos Consolidados'!$E$3:$BM$303,4,FALSE),"")</f>
        <v>200</v>
      </c>
    </row>
    <row r="34" spans="1:14" ht="16.5" x14ac:dyDescent="0.35">
      <c r="A34" s="41" t="str">
        <f t="shared" si="0"/>
        <v>M1A1SA1RT3</v>
      </c>
      <c r="B34" s="41" t="s">
        <v>10325</v>
      </c>
      <c r="C34" s="39" t="s">
        <v>10446</v>
      </c>
      <c r="D34" s="43">
        <f>IFERROR(VLOOKUP(A34,'Arranjos Consolidados'!$E$3:$BM$303,5,FALSE),"")</f>
        <v>241.79690753955828</v>
      </c>
      <c r="E34" s="42">
        <f>IFERROR(VLOOKUP(A34,'Arranjos Consolidados'!$E$3:$BM$303,21,FALSE),"")</f>
        <v>331.05565178408585</v>
      </c>
      <c r="F34" s="42">
        <f>IFERROR(VLOOKUP(A34,'Arranjos Consolidados'!$E$3:$BM$303,43,FALSE),"")</f>
        <v>361.06522691991438</v>
      </c>
      <c r="G34" s="40">
        <f>IFERROR(VLOOKUP(A34,'Arranjos Consolidados'!$E$3:$BM$303,4,FALSE),"")</f>
        <v>200</v>
      </c>
    </row>
    <row r="35" spans="1:14" ht="16.5" x14ac:dyDescent="0.35">
      <c r="A35" s="41" t="str">
        <f t="shared" si="0"/>
        <v>M1A1SA1RT4</v>
      </c>
      <c r="B35" s="41" t="s">
        <v>10326</v>
      </c>
      <c r="C35" s="39" t="s">
        <v>10447</v>
      </c>
      <c r="D35" s="43">
        <f>IFERROR(VLOOKUP(A35,'Arranjos Consolidados'!$E$3:$BM$303,5,FALSE),"")</f>
        <v>217.00466400344783</v>
      </c>
      <c r="E35" s="42">
        <f>IFERROR(VLOOKUP(A35,'Arranjos Consolidados'!$E$3:$BM$303,21,FALSE),"")</f>
        <v>618.38482251385653</v>
      </c>
      <c r="F35" s="42">
        <f>IFERROR(VLOOKUP(A35,'Arranjos Consolidados'!$E$3:$BM$303,43,FALSE),"")</f>
        <v>409.04816593297659</v>
      </c>
      <c r="G35" s="40">
        <f>IFERROR(VLOOKUP(A35,'Arranjos Consolidados'!$E$3:$BM$303,4,FALSE),"")</f>
        <v>200</v>
      </c>
    </row>
    <row r="36" spans="1:14" ht="16.5" x14ac:dyDescent="0.35">
      <c r="A36" s="41" t="str">
        <f t="shared" si="0"/>
        <v>M1A1SA1RT5</v>
      </c>
      <c r="B36" s="41" t="s">
        <v>10327</v>
      </c>
      <c r="C36" s="39" t="s">
        <v>10448</v>
      </c>
      <c r="D36" s="43">
        <f>IFERROR(VLOOKUP(A36,'Arranjos Consolidados'!$E$3:$BM$303,5,FALSE),"")</f>
        <v>1158.1287860627126</v>
      </c>
      <c r="E36" s="42">
        <f>IFERROR(VLOOKUP(A36,'Arranjos Consolidados'!$E$3:$BM$303,21,FALSE),"")</f>
        <v>1521.368249833761</v>
      </c>
      <c r="F36" s="42">
        <f>IFERROR(VLOOKUP(A36,'Arranjos Consolidados'!$E$3:$BM$303,43,FALSE),"")</f>
        <v>679.30440160276589</v>
      </c>
      <c r="G36" s="40">
        <f>IFERROR(VLOOKUP(A36,'Arranjos Consolidados'!$E$3:$BM$303,4,FALSE),"")</f>
        <v>200</v>
      </c>
    </row>
    <row r="38" spans="1:14" ht="16.5" x14ac:dyDescent="0.25">
      <c r="D38" s="38" t="s">
        <v>9943</v>
      </c>
      <c r="E38" s="38" t="s">
        <v>9876</v>
      </c>
      <c r="F38" s="38" t="s">
        <v>10449</v>
      </c>
    </row>
    <row r="39" spans="1:14" ht="16.5" x14ac:dyDescent="0.35">
      <c r="B39" s="41" t="str">
        <f>_xlfn.CONCAT(D39,F39)</f>
        <v>M1Consolidado</v>
      </c>
      <c r="D39" s="40" t="s">
        <v>10459</v>
      </c>
      <c r="E39" s="40" t="s">
        <v>10457</v>
      </c>
      <c r="F39" s="40" t="s">
        <v>10462</v>
      </c>
    </row>
    <row r="41" spans="1:14" ht="33" x14ac:dyDescent="0.25">
      <c r="B41" s="29"/>
      <c r="D41" s="38" t="s">
        <v>10463</v>
      </c>
      <c r="E41" s="38" t="s">
        <v>10464</v>
      </c>
      <c r="F41" s="38" t="s">
        <v>10465</v>
      </c>
      <c r="G41" s="38" t="s">
        <v>10472</v>
      </c>
      <c r="H41" s="38" t="s">
        <v>10466</v>
      </c>
      <c r="I41" s="38" t="s">
        <v>10467</v>
      </c>
      <c r="J41" s="38" t="s">
        <v>10468</v>
      </c>
      <c r="K41" s="38" t="s">
        <v>10469</v>
      </c>
      <c r="L41" s="38" t="s">
        <v>10470</v>
      </c>
      <c r="M41" s="38" t="s">
        <v>10471</v>
      </c>
      <c r="N41" s="38" t="s">
        <v>10511</v>
      </c>
    </row>
    <row r="42" spans="1:14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</row>
    <row r="43" spans="1:14" ht="16.5" x14ac:dyDescent="0.35">
      <c r="A43" s="41" t="str">
        <f>_xlfn.CONCAT($D$39,$F$39,B43)</f>
        <v>M1ConsolidadoRT1-A</v>
      </c>
      <c r="B43" s="41" t="s">
        <v>10321</v>
      </c>
      <c r="C43" s="39" t="s">
        <v>10442</v>
      </c>
      <c r="D43" s="43" t="str">
        <f>(IFERROR(ROUND(VLOOKUP(A43,'Arranjos Consolidados'!$E$3:$BM$303,$D$42,FALSE),0),""))</f>
        <v/>
      </c>
      <c r="E43" s="43" t="str">
        <f>(IFERROR(ROUND(VLOOKUP(A43,'Arranjos Consolidados'!$E$3:$BM$303,$E$42,FALSE),0),""))</f>
        <v/>
      </c>
      <c r="F43" s="42" t="str">
        <f>(IFERROR(ROUND(VLOOKUP(A43,'Arranjos Consolidados'!$E$3:$BM$303,$F$42,FALSE),0),""))</f>
        <v/>
      </c>
      <c r="G43" s="42" t="str">
        <f>(IFERROR(ROUND(VLOOKUP(A43,'Arranjos Consolidados'!$E$3:$BM$303,$G$42,FALSE),0),""))</f>
        <v/>
      </c>
      <c r="H43" s="51" t="str">
        <f>(IFERROR(ROUND(VLOOKUP(A43,'Arranjos Consolidados'!$E$3:$BM$303,$H$42,FALSE),0),""))</f>
        <v/>
      </c>
      <c r="I43" s="40" t="str">
        <f>(IFERROR(ROUND(VLOOKUP(A43,'Arranjos Consolidados'!$E$3:$BM$303,$I$42,FALSE),0),""))</f>
        <v/>
      </c>
      <c r="J43" s="40" t="str">
        <f>(IFERROR(ROUND(VLOOKUP(A43,'Arranjos Consolidados'!$E$3:$BM$303,$J$42,FALSE),0),""))</f>
        <v/>
      </c>
      <c r="K43" s="40" t="str">
        <f>(IFERROR(ROUND(VLOOKUP(A43,'Arranjos Consolidados'!$E$3:$BM$303,$K$42,FALSE),0),""))</f>
        <v/>
      </c>
      <c r="L43" s="40" t="str">
        <f>(IFERROR(ROUND(VLOOKUP(A43,'Arranjos Consolidados'!$E$3:$BM$303,$L$42,FALSE),0),""))</f>
        <v/>
      </c>
      <c r="M43" s="54" t="str">
        <f>(IFERROR(ROUND(VLOOKUP(A43,'Arranjos Consolidados'!$E$3:$BM$303,18,FALSE),0),""))</f>
        <v/>
      </c>
      <c r="N43" s="40" t="s">
        <v>9688</v>
      </c>
    </row>
    <row r="44" spans="1:14" ht="16.5" x14ac:dyDescent="0.35">
      <c r="A44" s="41" t="str">
        <f t="shared" ref="A44:A49" si="1">_xlfn.CONCAT($D$39,$F$39,B44)</f>
        <v>M1ConsolidadoRT1-B</v>
      </c>
      <c r="B44" s="41" t="s">
        <v>10322</v>
      </c>
      <c r="C44" s="39" t="s">
        <v>10443</v>
      </c>
      <c r="D44" s="43" t="str">
        <f>(IFERROR(ROUND(VLOOKUP(A44,'Arranjos Consolidados'!$E$3:$BM$303,$D$42,FALSE),0),""))</f>
        <v/>
      </c>
      <c r="E44" s="43" t="str">
        <f>(IFERROR(ROUND(VLOOKUP(A44,'Arranjos Consolidados'!$E$3:$BM$303,$E$42,FALSE),0),""))</f>
        <v/>
      </c>
      <c r="F44" s="42" t="str">
        <f>(IFERROR(ROUND(VLOOKUP(A44,'Arranjos Consolidados'!$E$3:$BM$303,$F$42,FALSE),0),""))</f>
        <v/>
      </c>
      <c r="G44" s="42" t="str">
        <f>(IFERROR(ROUND(VLOOKUP(A44,'Arranjos Consolidados'!$E$3:$BM$303,$G$42,FALSE),0),""))</f>
        <v/>
      </c>
      <c r="H44" s="40" t="str">
        <f>(IFERROR(ROUND(VLOOKUP(A44,'Arranjos Consolidados'!$E$3:$BM$303,$H$42,FALSE),0),""))</f>
        <v/>
      </c>
      <c r="I44" s="40" t="str">
        <f>(IFERROR(ROUND(VLOOKUP(A44,'Arranjos Consolidados'!$E$3:$BM$303,$I$42,FALSE),0),""))</f>
        <v/>
      </c>
      <c r="J44" s="40" t="str">
        <f>(IFERROR(ROUND(VLOOKUP(A44,'Arranjos Consolidados'!$E$3:$BM$303,$J$42,FALSE),0),""))</f>
        <v/>
      </c>
      <c r="K44" s="40" t="str">
        <f>(IFERROR(ROUND(VLOOKUP(A44,'Arranjos Consolidados'!$E$3:$BM$303,$K$42,FALSE),0),""))</f>
        <v/>
      </c>
      <c r="L44" s="40" t="str">
        <f>(IFERROR(ROUND(VLOOKUP(A44,'Arranjos Consolidados'!$E$3:$BM$303,$L$42,FALSE),0),""))</f>
        <v/>
      </c>
      <c r="M44" s="54" t="str">
        <f>(IFERROR(ROUND(VLOOKUP(A44,'Arranjos Consolidados'!$E$3:$BM$303,19,FALSE),0),""))</f>
        <v/>
      </c>
      <c r="N44" s="40" t="str">
        <f>(IFERROR(ROUND(VLOOKUP(A44,'Arranjos Consolidados'!$E$3:$BM$303,20,FALSE),0),""))</f>
        <v/>
      </c>
    </row>
    <row r="45" spans="1:14" ht="16.5" x14ac:dyDescent="0.35">
      <c r="A45" s="41" t="str">
        <f t="shared" si="1"/>
        <v>M1ConsolidadoRT1-C</v>
      </c>
      <c r="B45" s="41" t="s">
        <v>10323</v>
      </c>
      <c r="C45" s="39" t="s">
        <v>10444</v>
      </c>
      <c r="D45" s="43" t="str">
        <f>(IFERROR(ROUND(VLOOKUP(A45,'Arranjos Consolidados'!$E$3:$BM$303,$D$42,FALSE),0),""))</f>
        <v/>
      </c>
      <c r="E45" s="43" t="str">
        <f>(IFERROR(ROUND(VLOOKUP(A45,'Arranjos Consolidados'!$E$3:$BM$303,$E$42,FALSE),0),""))</f>
        <v/>
      </c>
      <c r="F45" s="42" t="str">
        <f>(IFERROR(ROUND(VLOOKUP(A45,'Arranjos Consolidados'!$E$3:$BM$303,$F$42,FALSE),0),""))</f>
        <v/>
      </c>
      <c r="G45" s="42" t="str">
        <f>(IFERROR(ROUND(VLOOKUP(A45,'Arranjos Consolidados'!$E$3:$BM$303,$G$42,FALSE),0),""))</f>
        <v/>
      </c>
      <c r="H45" s="40" t="str">
        <f>(IFERROR(ROUND(VLOOKUP(A45,'Arranjos Consolidados'!$E$3:$BM$303,$H$42,FALSE),0),""))</f>
        <v/>
      </c>
      <c r="I45" s="40" t="str">
        <f>(IFERROR(ROUND(VLOOKUP(A45,'Arranjos Consolidados'!$E$3:$BM$303,$I$42,FALSE),0),""))</f>
        <v/>
      </c>
      <c r="J45" s="40" t="str">
        <f>(IFERROR(ROUND(VLOOKUP(A45,'Arranjos Consolidados'!$E$3:$BM$303,$J$42,FALSE),0),""))</f>
        <v/>
      </c>
      <c r="K45" s="40" t="str">
        <f>(IFERROR(ROUND(VLOOKUP(A45,'Arranjos Consolidados'!$E$3:$BM$303,$K$42,FALSE),0),""))</f>
        <v/>
      </c>
      <c r="L45" s="40" t="str">
        <f>(IFERROR(ROUND(VLOOKUP(A45,'Arranjos Consolidados'!$E$3:$BM$303,$L$42,FALSE),0),""))</f>
        <v/>
      </c>
      <c r="M45" s="54" t="str">
        <f>(IFERROR(ROUND(VLOOKUP(A45,'Arranjos Consolidados'!$E$3:$BM$303,20,FALSE),0),""))</f>
        <v/>
      </c>
      <c r="N45" s="40" t="s">
        <v>9688</v>
      </c>
    </row>
    <row r="46" spans="1:14" ht="16.5" x14ac:dyDescent="0.35">
      <c r="A46" s="41" t="str">
        <f t="shared" si="1"/>
        <v>M1ConsolidadoRT2</v>
      </c>
      <c r="B46" s="41" t="s">
        <v>10324</v>
      </c>
      <c r="C46" s="39" t="s">
        <v>10445</v>
      </c>
      <c r="D46" s="43" t="str">
        <f>(IFERROR(ROUND(VLOOKUP(A46,'Arranjos Consolidados'!$E$3:$BM$303,$D$42,FALSE),0),""))</f>
        <v/>
      </c>
      <c r="E46" s="43" t="str">
        <f>(IFERROR(ROUND(VLOOKUP(A46,'Arranjos Consolidados'!$E$3:$BM$303,$E$42,FALSE),0),""))</f>
        <v/>
      </c>
      <c r="F46" s="42" t="str">
        <f>(IFERROR(ROUND(VLOOKUP(A46,'Arranjos Consolidados'!$E$3:$BM$303,$F$42,FALSE),0),""))</f>
        <v/>
      </c>
      <c r="G46" s="42" t="str">
        <f>(IFERROR(ROUND(VLOOKUP(A46,'Arranjos Consolidados'!$E$3:$BM$303,$G$42,FALSE),0),""))</f>
        <v/>
      </c>
      <c r="H46" s="40" t="str">
        <f>(IFERROR(ROUND(VLOOKUP(A46,'Arranjos Consolidados'!$E$3:$BM$303,$H$42,FALSE),0),""))</f>
        <v/>
      </c>
      <c r="I46" s="40" t="str">
        <f>(IFERROR(ROUND(VLOOKUP(A46,'Arranjos Consolidados'!$E$3:$BM$303,$I$42,FALSE),0),""))</f>
        <v/>
      </c>
      <c r="J46" s="40" t="str">
        <f>(IFERROR(ROUND(VLOOKUP(A46,'Arranjos Consolidados'!$E$3:$BM$303,$J$42,FALSE),0),""))</f>
        <v/>
      </c>
      <c r="K46" s="40" t="str">
        <f>(IFERROR(ROUND(VLOOKUP(A46,'Arranjos Consolidados'!$E$3:$BM$303,$K$42,FALSE),0),""))</f>
        <v/>
      </c>
      <c r="L46" s="40" t="str">
        <f>(IFERROR(ROUND(VLOOKUP(A46,'Arranjos Consolidados'!$E$3:$BM$303,$L$42,FALSE),0),""))</f>
        <v/>
      </c>
      <c r="M46" s="54" t="str">
        <f>(IFERROR(ROUND(VLOOKUP(A46,'Arranjos Consolidados'!$E$3:$BM$303,15,FALSE),0),""))</f>
        <v/>
      </c>
      <c r="N46" s="40" t="s">
        <v>9688</v>
      </c>
    </row>
    <row r="47" spans="1:14" ht="16.5" x14ac:dyDescent="0.35">
      <c r="A47" s="41" t="str">
        <f t="shared" si="1"/>
        <v>M1ConsolidadoRT3</v>
      </c>
      <c r="B47" s="41" t="s">
        <v>10325</v>
      </c>
      <c r="C47" s="39" t="s">
        <v>10446</v>
      </c>
      <c r="D47" s="43" t="str">
        <f>(IFERROR(ROUND(VLOOKUP(A47,'Arranjos Consolidados'!$E$3:$BM$303,$D$42,FALSE),0),""))</f>
        <v/>
      </c>
      <c r="E47" s="43" t="str">
        <f>(IFERROR(ROUND(VLOOKUP(A47,'Arranjos Consolidados'!$E$3:$BM$303,$E$42,FALSE),0),""))</f>
        <v/>
      </c>
      <c r="F47" s="42" t="str">
        <f>(IFERROR(ROUND(VLOOKUP(A47,'Arranjos Consolidados'!$E$3:$BM$303,$F$42,FALSE),0),""))</f>
        <v/>
      </c>
      <c r="G47" s="42" t="str">
        <f>(IFERROR(ROUND(VLOOKUP(A47,'Arranjos Consolidados'!$E$3:$BM$303,$G$42,FALSE),0),""))</f>
        <v/>
      </c>
      <c r="H47" s="40" t="str">
        <f>(IFERROR(ROUND(VLOOKUP(A47,'Arranjos Consolidados'!$E$3:$BM$303,$H$42,FALSE),0),""))</f>
        <v/>
      </c>
      <c r="I47" s="40" t="str">
        <f>(IFERROR(ROUND(VLOOKUP(A47,'Arranjos Consolidados'!$E$3:$BM$303,$I$42,FALSE),0),""))</f>
        <v/>
      </c>
      <c r="J47" s="40" t="str">
        <f>(IFERROR(ROUND(VLOOKUP(A47,'Arranjos Consolidados'!$E$3:$BM$303,$J$42,FALSE),0),""))</f>
        <v/>
      </c>
      <c r="K47" s="40" t="str">
        <f>(IFERROR(ROUND(VLOOKUP(A47,'Arranjos Consolidados'!$E$3:$BM$303,$K$42,FALSE),0),""))</f>
        <v/>
      </c>
      <c r="L47" s="40" t="str">
        <f>(IFERROR(ROUND(VLOOKUP(A47,'Arranjos Consolidados'!$E$3:$BM$303,$L$42,FALSE),0),""))</f>
        <v/>
      </c>
      <c r="M47" s="54" t="s">
        <v>9688</v>
      </c>
      <c r="N47" s="40" t="s">
        <v>9688</v>
      </c>
    </row>
    <row r="48" spans="1:14" ht="16.5" x14ac:dyDescent="0.35">
      <c r="A48" s="41" t="str">
        <f t="shared" si="1"/>
        <v>M1ConsolidadoRT4</v>
      </c>
      <c r="B48" s="41" t="s">
        <v>10326</v>
      </c>
      <c r="C48" s="39" t="s">
        <v>10447</v>
      </c>
      <c r="D48" s="43" t="str">
        <f>(IFERROR(ROUND(VLOOKUP(A48,'Arranjos Consolidados'!$E$3:$BM$303,$D$42,FALSE),0),""))</f>
        <v/>
      </c>
      <c r="E48" s="43" t="str">
        <f>(IFERROR(ROUND(VLOOKUP(A48,'Arranjos Consolidados'!$E$3:$BM$303,$E$42,FALSE),0),""))</f>
        <v/>
      </c>
      <c r="F48" s="42" t="str">
        <f>(IFERROR(ROUND(VLOOKUP(A48,'Arranjos Consolidados'!$E$3:$BM$303,$F$42,FALSE),0),""))</f>
        <v/>
      </c>
      <c r="G48" s="42" t="str">
        <f>(IFERROR(ROUND(VLOOKUP(A48,'Arranjos Consolidados'!$E$3:$BM$303,$G$42,FALSE),0),""))</f>
        <v/>
      </c>
      <c r="H48" s="40" t="str">
        <f>(IFERROR(ROUND(VLOOKUP(A48,'Arranjos Consolidados'!$E$3:$BM$303,$H$42,FALSE),0),""))</f>
        <v/>
      </c>
      <c r="I48" s="40" t="str">
        <f>(IFERROR(ROUND(VLOOKUP(A48,'Arranjos Consolidados'!$E$3:$BM$303,$I$42,FALSE),0)*0.75,""))</f>
        <v/>
      </c>
      <c r="J48" s="40" t="str">
        <f>(IFERROR(ROUND(VLOOKUP(A48,'Arranjos Consolidados'!$E$3:$BM$303,$J$42,FALSE),0),""))</f>
        <v/>
      </c>
      <c r="K48" s="40" t="str">
        <f>(IFERROR(ROUND(VLOOKUP(A48,'Arranjos Consolidados'!$E$3:$BM$303,$K$42,FALSE),0)*0.25,""))</f>
        <v/>
      </c>
      <c r="L48" s="40" t="str">
        <f>(IFERROR(ROUND(VLOOKUP(A48,'Arranjos Consolidados'!$E$3:$BM$303,$L$42,FALSE),0),""))</f>
        <v/>
      </c>
      <c r="M48" s="54" t="str">
        <f>(IFERROR(ROUND(VLOOKUP(A48,'Arranjos Consolidados'!$E$3:$BM$303,17,FALSE),0),""))</f>
        <v/>
      </c>
      <c r="N48" s="40" t="s">
        <v>9688</v>
      </c>
    </row>
    <row r="49" spans="1:16" ht="16.5" x14ac:dyDescent="0.35">
      <c r="A49" s="41" t="str">
        <f t="shared" si="1"/>
        <v>M1ConsolidadoRT5</v>
      </c>
      <c r="B49" s="41" t="s">
        <v>10327</v>
      </c>
      <c r="C49" s="39" t="s">
        <v>10448</v>
      </c>
      <c r="D49" s="43" t="str">
        <f>(IFERROR(ROUND(VLOOKUP(A49,'Arranjos Consolidados'!$E$3:$BM$303,$D$42,FALSE),0),""))</f>
        <v/>
      </c>
      <c r="E49" s="43" t="str">
        <f>(IFERROR(ROUND(VLOOKUP(A49,'Arranjos Consolidados'!$E$3:$BM$303,$E$42,FALSE),0),""))</f>
        <v/>
      </c>
      <c r="F49" s="42" t="str">
        <f>(IFERROR(ROUND(VLOOKUP(A49,'Arranjos Consolidados'!$E$3:$BM$303,$F$42,FALSE),0),""))</f>
        <v/>
      </c>
      <c r="G49" s="42" t="str">
        <f>(IFERROR(ROUND(VLOOKUP(A49,'Arranjos Consolidados'!$E$3:$BM$303,$G$42,FALSE),0),""))</f>
        <v/>
      </c>
      <c r="H49" s="40" t="str">
        <f>(IFERROR(ROUND(VLOOKUP(A49,'Arranjos Consolidados'!$E$3:$BM$303,$H$42,FALSE),0),""))</f>
        <v/>
      </c>
      <c r="I49" s="40" t="str">
        <f>(IFERROR(ROUND(VLOOKUP(A49,'Arranjos Consolidados'!$E$3:$BM$303,$I$42,FALSE),0)*0.75,""))</f>
        <v/>
      </c>
      <c r="J49" s="40" t="str">
        <f>(IFERROR(ROUND(VLOOKUP(A49,'Arranjos Consolidados'!$E$3:$BM$303,$J$42,FALSE),0),""))</f>
        <v/>
      </c>
      <c r="K49" s="40" t="str">
        <f>(IFERROR(ROUND(VLOOKUP(A49,'Arranjos Consolidados'!$E$3:$BM$303,$K$42,FALSE),0)*0.25,""))</f>
        <v/>
      </c>
      <c r="L49" s="40" t="str">
        <f>(IFERROR(ROUND(VLOOKUP(A49,'Arranjos Consolidados'!$E$3:$BM$303,$L$42,FALSE),0),""))</f>
        <v/>
      </c>
      <c r="M49" s="54" t="str">
        <f>(IFERROR(ROUND(VLOOKUP(A49,'Arranjos Consolidados'!$E$3:$BM$303,17,FALSE),0),""))</f>
        <v/>
      </c>
      <c r="N49" s="40" t="s">
        <v>9688</v>
      </c>
    </row>
    <row r="50" spans="1:16" ht="16.5" x14ac:dyDescent="0.35">
      <c r="A50" s="41" t="str">
        <f>_xlfn.CONCAT($D$39,$F$39)</f>
        <v>M1Consolidado</v>
      </c>
      <c r="B50" s="51" t="str">
        <f>IFERROR(VLOOKUP(A50,CHOOSE({1,2},'Arranjos Consolidados'!E:E,'Arranjos Consolidados'!D:D),2,FALSE),"")</f>
        <v/>
      </c>
      <c r="C50" s="39" t="s">
        <v>10462</v>
      </c>
      <c r="D50" s="43" t="str">
        <f>(IFERROR(ROUND(VLOOKUP(A50,'Arranjos Consolidados'!$E$3:$BM$303,$D$42,FALSE),0),""))</f>
        <v/>
      </c>
      <c r="E50" s="43" t="str">
        <f>(IFERROR(ROUND(VLOOKUP(A50,'Arranjos Consolidados'!$E$3:$BM$303,$E$42,FALSE),0),""))</f>
        <v/>
      </c>
      <c r="F50" s="42" t="str">
        <f>(IFERROR(ROUND(VLOOKUP(A50,'Arranjos Consolidados'!$E$3:$BM$303,$F$42,FALSE),0),""))</f>
        <v/>
      </c>
      <c r="G50" s="42" t="str">
        <f>(IFERROR(ROUND(VLOOKUP(A50,'Arranjos Consolidados'!$E$3:$BM$303,$G$42,FALSE),0),""))</f>
        <v/>
      </c>
      <c r="H50" s="40"/>
      <c r="I50" s="40"/>
      <c r="J50" s="40"/>
      <c r="K50" s="40"/>
      <c r="L50" s="40"/>
      <c r="M50" s="54"/>
      <c r="N50" s="39"/>
    </row>
    <row r="52" spans="1:16" ht="16.5" x14ac:dyDescent="0.25">
      <c r="D52" s="38" t="s">
        <v>9943</v>
      </c>
      <c r="E52" s="38" t="s">
        <v>9876</v>
      </c>
      <c r="F52" s="87"/>
    </row>
    <row r="53" spans="1:16" ht="16.5" x14ac:dyDescent="0.35">
      <c r="B53" s="41" t="str">
        <f>_xlfn.CONCAT(D53,E53)</f>
        <v>M1A3</v>
      </c>
      <c r="D53" s="40" t="str">
        <f>D39</f>
        <v>M1</v>
      </c>
      <c r="E53" s="40" t="str">
        <f>E39</f>
        <v>A3</v>
      </c>
      <c r="F53" s="29"/>
    </row>
    <row r="56" spans="1:16" ht="16.5" x14ac:dyDescent="0.25">
      <c r="B56" s="101" t="s">
        <v>10548</v>
      </c>
      <c r="D56" s="38" t="s">
        <v>10512</v>
      </c>
      <c r="E56" s="38" t="s">
        <v>10519</v>
      </c>
      <c r="F56" s="38" t="s">
        <v>10533</v>
      </c>
      <c r="G56" s="38" t="s">
        <v>10463</v>
      </c>
      <c r="H56" s="38" t="s">
        <v>10464</v>
      </c>
      <c r="I56" s="38" t="s">
        <v>10465</v>
      </c>
      <c r="J56" s="38" t="s">
        <v>10472</v>
      </c>
      <c r="K56" s="38" t="s">
        <v>10466</v>
      </c>
      <c r="L56" s="38" t="s">
        <v>10467</v>
      </c>
      <c r="M56" s="38" t="s">
        <v>10468</v>
      </c>
      <c r="N56" s="38" t="s">
        <v>10470</v>
      </c>
      <c r="O56" s="38" t="s">
        <v>10837</v>
      </c>
      <c r="P56" s="38" t="s">
        <v>10838</v>
      </c>
    </row>
    <row r="57" spans="1:16" x14ac:dyDescent="0.25">
      <c r="A57" s="40" t="str">
        <f>_xlfn.CONCAT(B53,"SA1")</f>
        <v>M1A3SA1</v>
      </c>
      <c r="B57" s="40" t="str">
        <f>IFERROR(VLOOKUP(A57,CHOOSE({1,2},'Arranjos Consolidados'!E:E,'Arranjos Consolidados'!D:D),2,FALSE),"")</f>
        <v>RT4</v>
      </c>
      <c r="C57" s="39"/>
      <c r="D57" s="40">
        <f>(IFERROR(ROUND(VLOOKUP($A57,'Arranjos Consolidados'!$E$3:$BM$303,21,FALSE),1),""))</f>
        <v>607.20000000000005</v>
      </c>
      <c r="E57" s="40">
        <f>(IFERROR(ROUND(VLOOKUP($A57,'Arranjos Consolidados'!$E$3:$BM$303,5,FALSE),1),""))</f>
        <v>122.9</v>
      </c>
      <c r="F57" s="131">
        <f>(IFERROR(ROUND(VLOOKUP($A57,'Arranjos Consolidados'!$E$3:$BM$303,6,FALSE)*100,1),""))</f>
        <v>745.2</v>
      </c>
      <c r="G57" s="130">
        <f>(IFERROR(ROUND(VLOOKUP($A57,'Arranjos Consolidados'!$E$3:$BM$303,D$42,FALSE),1),""))</f>
        <v>37.9</v>
      </c>
      <c r="H57" s="130">
        <f>(IFERROR(ROUND(VLOOKUP($A57,'Arranjos Consolidados'!$E$3:$BM$303,E$42,FALSE),1),""))</f>
        <v>8</v>
      </c>
      <c r="I57" s="130">
        <f>(IFERROR(ROUND(VLOOKUP($A57,'Arranjos Consolidados'!$E$3:$BM$303,F$42,FALSE),1),""))</f>
        <v>6.6</v>
      </c>
      <c r="J57" s="130">
        <f>(IFERROR(ROUND(VLOOKUP($A57,'Arranjos Consolidados'!$E$3:$BM$303,G$42,FALSE),1),""))</f>
        <v>0.6</v>
      </c>
      <c r="K57" s="130">
        <f>(IFERROR(ROUND(VLOOKUP($A57,'Arranjos Consolidados'!$E$3:$BM$303,H$42,FALSE),1),""))</f>
        <v>0</v>
      </c>
      <c r="L57" s="130">
        <f>(IFERROR(ROUND(VLOOKUP($A57,'Arranjos Consolidados'!$E$3:$BM$303,I$42,FALSE),1),""))</f>
        <v>1.2</v>
      </c>
      <c r="M57" s="130">
        <f>(IFERROR(ROUND(VLOOKUP($A57,'Arranjos Consolidados'!$E$3:$BM$303,J$42,FALSE),1),""))</f>
        <v>0</v>
      </c>
      <c r="N57" s="130">
        <f>(IFERROR(ROUND(VLOOKUP($A57,'Arranjos Consolidados'!$E$3:$BM$303,L$42,FALSE),1),""))</f>
        <v>4.8</v>
      </c>
      <c r="O57" s="130">
        <f>(IFERROR(ROUND(VLOOKUP(A57,'Arranjos Consolidados'!$E$3:$BM$303,20,FALSE),0),""))</f>
        <v>0</v>
      </c>
      <c r="P57" s="130">
        <f>(IFERROR(ROUND(VLOOKUP(A57,'Arranjos Consolidados'!$E$3:$BM$303,18,FALSE),0),""))</f>
        <v>0</v>
      </c>
    </row>
    <row r="58" spans="1:16" x14ac:dyDescent="0.25">
      <c r="A58" s="40" t="str">
        <f>_xlfn.CONCAT(B53,"SA2")</f>
        <v>M1A3SA2</v>
      </c>
      <c r="B58" s="40" t="str">
        <f>IFERROR(VLOOKUP(A58,CHOOSE({1,2},'Arranjos Consolidados'!E:E,'Arranjos Consolidados'!D:D),2,FALSE),"")</f>
        <v>RT1-A</v>
      </c>
      <c r="C58" s="39"/>
      <c r="D58" s="40">
        <f>(IFERROR(ROUND(VLOOKUP($A58,'Arranjos Consolidados'!$E$3:$BM$303,21,FALSE),1),""))</f>
        <v>300.2</v>
      </c>
      <c r="E58" s="40">
        <f>(IFERROR(ROUND(VLOOKUP($A58,'Arranjos Consolidados'!$E$3:$BM$303,5,FALSE),1),""))</f>
        <v>158.6</v>
      </c>
      <c r="F58" s="131">
        <f>(IFERROR(ROUND(VLOOKUP($A58,'Arranjos Consolidados'!$E$3:$BM$303,6,FALSE)*100,1),""))</f>
        <v>288.8</v>
      </c>
      <c r="G58" s="130">
        <f>(IFERROR(ROUND(VLOOKUP($A58,'Arranjos Consolidados'!$E$3:$BM$303,D$42,FALSE),1),""))</f>
        <v>98.2</v>
      </c>
      <c r="H58" s="130">
        <f>(IFERROR(ROUND(VLOOKUP($A58,'Arranjos Consolidados'!$E$3:$BM$303,E$42,FALSE),1),""))</f>
        <v>17.399999999999999</v>
      </c>
      <c r="I58" s="130">
        <f>(IFERROR(ROUND(VLOOKUP($A58,'Arranjos Consolidados'!$E$3:$BM$303,F$42,FALSE),1),""))</f>
        <v>35.9</v>
      </c>
      <c r="J58" s="130">
        <f>(IFERROR(ROUND(VLOOKUP($A58,'Arranjos Consolidados'!$E$3:$BM$303,G$42,FALSE),1),""))</f>
        <v>2.9</v>
      </c>
      <c r="K58" s="130">
        <f>(IFERROR(ROUND(VLOOKUP($A58,'Arranjos Consolidados'!$E$3:$BM$303,H$42,FALSE),1),""))</f>
        <v>6.4</v>
      </c>
      <c r="L58" s="130">
        <f>(IFERROR(ROUND(VLOOKUP($A58,'Arranjos Consolidados'!$E$3:$BM$303,I$42,FALSE),1),""))</f>
        <v>13.9</v>
      </c>
      <c r="M58" s="130">
        <f>(IFERROR(ROUND(VLOOKUP($A58,'Arranjos Consolidados'!$E$3:$BM$303,J$42,FALSE),1),""))</f>
        <v>6</v>
      </c>
      <c r="N58" s="130">
        <f>(IFERROR(ROUND(VLOOKUP($A58,'Arranjos Consolidados'!$E$3:$BM$303,L$42,FALSE),1),""))</f>
        <v>6.7</v>
      </c>
      <c r="O58" s="130">
        <f>(IFERROR(ROUND(VLOOKUP(A58,'Arranjos Consolidados'!$E$3:$BM$303,20,FALSE),0),""))</f>
        <v>0</v>
      </c>
      <c r="P58" s="130">
        <f>(IFERROR(ROUND(VLOOKUP(A58,'Arranjos Consolidados'!$E$3:$BM$303,18,FALSE),0),""))</f>
        <v>4354</v>
      </c>
    </row>
    <row r="59" spans="1:16" x14ac:dyDescent="0.25">
      <c r="A59" s="40" t="str">
        <f>_xlfn.CONCAT(B53,"SA3")</f>
        <v>M1A3SA3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131" t="str">
        <f>(IFERROR(ROUND(VLOOKUP($A59,'Arranjos Consolidados'!$E$3:$BM$303,6,FALSE)*100,1),""))</f>
        <v/>
      </c>
      <c r="G59" s="130" t="str">
        <f>(IFERROR(ROUND(VLOOKUP($A59,'Arranjos Consolidados'!$E$3:$BM$303,D$42,FALSE),1),""))</f>
        <v/>
      </c>
      <c r="H59" s="130" t="str">
        <f>(IFERROR(ROUND(VLOOKUP($A59,'Arranjos Consolidados'!$E$3:$BM$303,E$42,FALSE),1),""))</f>
        <v/>
      </c>
      <c r="I59" s="130" t="str">
        <f>(IFERROR(ROUND(VLOOKUP($A59,'Arranjos Consolidados'!$E$3:$BM$303,F$42,FALSE),1),""))</f>
        <v/>
      </c>
      <c r="J59" s="130" t="str">
        <f>(IFERROR(ROUND(VLOOKUP($A59,'Arranjos Consolidados'!$E$3:$BM$303,G$42,FALSE),1),""))</f>
        <v/>
      </c>
      <c r="K59" s="130" t="str">
        <f>(IFERROR(ROUND(VLOOKUP($A59,'Arranjos Consolidados'!$E$3:$BM$303,H$42,FALSE),1),""))</f>
        <v/>
      </c>
      <c r="L59" s="130" t="str">
        <f>(IFERROR(ROUND(VLOOKUP($A59,'Arranjos Consolidados'!$E$3:$BM$303,I$42,FALSE),1),""))</f>
        <v/>
      </c>
      <c r="M59" s="130" t="str">
        <f>(IFERROR(ROUND(VLOOKUP($A59,'Arranjos Consolidados'!$E$3:$BM$303,J$42,FALSE),1),""))</f>
        <v/>
      </c>
      <c r="N59" s="130" t="str">
        <f>(IFERROR(ROUND(VLOOKUP($A59,'Arranjos Consolidados'!$E$3:$BM$303,L$42,FALSE),1),""))</f>
        <v/>
      </c>
      <c r="O59" s="130" t="str">
        <f>(IFERROR(ROUND(VLOOKUP(A59,'Arranjos Consolidados'!$E$3:$BM$303,20,FALSE),0),""))</f>
        <v/>
      </c>
      <c r="P59" s="130" t="str">
        <f>(IFERROR(ROUND(VLOOKUP(A59,'Arranjos Consolidados'!$E$3:$BM$303,18,FALSE),0),""))</f>
        <v/>
      </c>
    </row>
    <row r="60" spans="1:16" x14ac:dyDescent="0.25">
      <c r="A60" s="40" t="str">
        <f>B53</f>
        <v>M1A3</v>
      </c>
      <c r="B60" s="40" t="s">
        <v>9688</v>
      </c>
      <c r="C60" s="39"/>
      <c r="D60" s="40">
        <f>(IFERROR(ROUND(VLOOKUP($A60,'Arranjos Consolidados'!$E$3:$BM$303,21,FALSE),1),""))</f>
        <v>348.2</v>
      </c>
      <c r="E60" s="40">
        <f>(IFERROR(ROUND(VLOOKUP($A60,'Arranjos Consolidados'!$E$3:$BM$303,5,FALSE),1),""))</f>
        <v>153</v>
      </c>
      <c r="F60" s="131">
        <f>(IFERROR(ROUND(VLOOKUP($A60,'Arranjos Consolidados'!$E$3:$BM$303,6,FALSE)*100,1),""))</f>
        <v>360.1</v>
      </c>
      <c r="G60" s="130">
        <f>(IFERROR(ROUND(VLOOKUP($A60,'Arranjos Consolidados'!$E$3:$BM$303,D$42,FALSE),1),""))</f>
        <v>136.1</v>
      </c>
      <c r="H60" s="130">
        <f>(IFERROR(ROUND(VLOOKUP($A60,'Arranjos Consolidados'!$E$3:$BM$303,E$42,FALSE),1),""))</f>
        <v>25.5</v>
      </c>
      <c r="I60" s="130">
        <f>(IFERROR(ROUND(VLOOKUP($A60,'Arranjos Consolidados'!$E$3:$BM$303,F$42,FALSE),1),""))</f>
        <v>42.5</v>
      </c>
      <c r="J60" s="130">
        <f>(IFERROR(ROUND(VLOOKUP($A60,'Arranjos Consolidados'!$E$3:$BM$303,G$42,FALSE),1),""))</f>
        <v>3.4</v>
      </c>
      <c r="K60" s="130">
        <f>(IFERROR(ROUND(VLOOKUP($A60,'Arranjos Consolidados'!$E$3:$BM$303,H$42,FALSE),1),""))</f>
        <v>6.4</v>
      </c>
      <c r="L60" s="130">
        <f>(IFERROR(ROUND(VLOOKUP($A60,'Arranjos Consolidados'!$E$3:$BM$303,I$42,FALSE),1),""))</f>
        <v>15.1</v>
      </c>
      <c r="M60" s="130">
        <f>(IFERROR(ROUND(VLOOKUP($A60,'Arranjos Consolidados'!$E$3:$BM$303,J$42,FALSE),1),""))</f>
        <v>6</v>
      </c>
      <c r="N60" s="130">
        <f>(IFERROR(ROUND(VLOOKUP($A60,'Arranjos Consolidados'!$E$3:$BM$303,L$42,FALSE),1),""))</f>
        <v>11.5</v>
      </c>
      <c r="O60" s="130">
        <f>(IFERROR(ROUND(VLOOKUP(A60,'Arranjos Consolidados'!$E$3:$BM$303,20,FALSE),0),""))</f>
        <v>0</v>
      </c>
      <c r="P60" s="130">
        <f>(IFERROR(ROUND(VLOOKUP(A60,'Arranjos Consolidados'!$E$3:$BM$303,18,FALSE),0),""))</f>
        <v>4354</v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12" t="s">
        <v>9943</v>
      </c>
      <c r="B1" s="112"/>
      <c r="C1" s="112"/>
      <c r="D1" s="116" t="s">
        <v>10526</v>
      </c>
      <c r="E1" s="117"/>
      <c r="F1" s="117"/>
      <c r="G1" s="117"/>
      <c r="H1" s="117"/>
      <c r="I1" s="117"/>
      <c r="J1" s="117"/>
      <c r="K1" s="117"/>
      <c r="L1" s="118"/>
      <c r="M1" s="69"/>
      <c r="N1" s="116" t="s">
        <v>10525</v>
      </c>
      <c r="O1" s="117"/>
      <c r="P1" s="117"/>
      <c r="Q1" s="117"/>
      <c r="R1" s="118"/>
      <c r="S1" s="116" t="s">
        <v>10530</v>
      </c>
      <c r="T1" s="117"/>
      <c r="U1" s="117"/>
      <c r="V1" s="117"/>
      <c r="W1" s="118"/>
      <c r="X1" s="112" t="s">
        <v>10533</v>
      </c>
      <c r="Y1" s="112" t="s">
        <v>10534</v>
      </c>
      <c r="Z1" s="112" t="s">
        <v>10535</v>
      </c>
      <c r="AA1" s="112" t="s">
        <v>10536</v>
      </c>
    </row>
    <row r="2" spans="1:27" ht="60" x14ac:dyDescent="0.25">
      <c r="A2" s="113" t="s">
        <v>10459</v>
      </c>
      <c r="B2" s="114"/>
      <c r="C2" s="115"/>
      <c r="D2" s="68" t="s">
        <v>10532</v>
      </c>
      <c r="E2" s="67" t="s">
        <v>10512</v>
      </c>
      <c r="F2" s="67" t="s">
        <v>10513</v>
      </c>
      <c r="G2" s="67" t="s">
        <v>10514</v>
      </c>
      <c r="H2" s="67" t="s">
        <v>10515</v>
      </c>
      <c r="I2" s="67" t="s">
        <v>10516</v>
      </c>
      <c r="J2" s="67" t="s">
        <v>10517</v>
      </c>
      <c r="K2" s="67" t="s">
        <v>10518</v>
      </c>
      <c r="L2" s="67" t="s">
        <v>10519</v>
      </c>
      <c r="M2" s="68" t="s">
        <v>10537</v>
      </c>
      <c r="N2" s="68" t="s">
        <v>10532</v>
      </c>
      <c r="O2" s="67" t="s">
        <v>10522</v>
      </c>
      <c r="P2" s="67" t="s">
        <v>10523</v>
      </c>
      <c r="Q2" s="67" t="s">
        <v>10524</v>
      </c>
      <c r="R2" s="67" t="s">
        <v>10525</v>
      </c>
      <c r="S2" s="68" t="s">
        <v>10532</v>
      </c>
      <c r="T2" s="67" t="s">
        <v>10527</v>
      </c>
      <c r="U2" s="67" t="s">
        <v>10528</v>
      </c>
      <c r="V2" s="67" t="s">
        <v>10529</v>
      </c>
      <c r="W2" s="67" t="s">
        <v>10531</v>
      </c>
      <c r="X2" s="112"/>
      <c r="Y2" s="112"/>
      <c r="Z2" s="112"/>
      <c r="AA2" s="112"/>
    </row>
    <row r="3" spans="1:27" x14ac:dyDescent="0.25">
      <c r="A3" s="71" t="s">
        <v>10455</v>
      </c>
      <c r="B3" s="71" t="str">
        <f>_xlfn.CONCAT($A$2,A3)</f>
        <v>M1A1</v>
      </c>
      <c r="C3" s="71" t="s">
        <v>10520</v>
      </c>
      <c r="D3" s="71" t="str">
        <f>_xlfn.CONCAT($D$1, " - ",B3)</f>
        <v>Esforço - M1A1</v>
      </c>
      <c r="E3" s="71">
        <f>(IFERROR(ROUND(VLOOKUP(B3,'Arranjos Consolidados'!$E$3:$BM$303,25,FALSE),0),""))</f>
        <v>305</v>
      </c>
      <c r="F3" s="71">
        <f>(IFERROR(ROUND(VLOOKUP(B3,'Arranjos Consolidados'!$E$3:$BM$303,23,FALSE),0),""))+(IFERROR(ROUND(VLOOKUP(B3,'Arranjos Consolidados'!$E$3:$BM$303,24,FALSE),0),""))</f>
        <v>0</v>
      </c>
      <c r="G3" s="71">
        <f>E3+F3</f>
        <v>305</v>
      </c>
      <c r="H3" s="71">
        <f>(IFERROR(ROUND(VLOOKUP(B3,'Arranjos Consolidados'!$E$3:$BM$303,27,FALSE),0),""))</f>
        <v>14</v>
      </c>
      <c r="I3" s="71">
        <f>(IFERROR(ROUND(VLOOKUP(B3,'Arranjos Consolidados'!$E$3:$BM$303,30,FALSE),0),""))</f>
        <v>26</v>
      </c>
      <c r="J3" s="71">
        <f>(IFERROR(ROUND(VLOOKUP(B3,'Arranjos Consolidados'!$E$3:$BM$303,32,FALSE),0),""))</f>
        <v>0</v>
      </c>
      <c r="K3" s="71">
        <f>(IFERROR(ROUND(VLOOKUP(B3,'Arranjos Consolidados'!$E$3:$BM$303,31,FALSE),0),""))</f>
        <v>101</v>
      </c>
      <c r="L3" s="71">
        <f>G3-H3-I3-J3-K3</f>
        <v>164</v>
      </c>
      <c r="M3" s="71">
        <f>G3-L3</f>
        <v>141</v>
      </c>
      <c r="N3" s="71" t="str">
        <f>_xlfn.CONCAT($N$1," - ",B3)</f>
        <v>Ganhos Indiretos - M1A1</v>
      </c>
      <c r="O3" s="71">
        <f>(IFERROR(ROUND(VLOOKUP(B3,'Arranjos Consolidados'!$E$3:$BM$303,44,FALSE),0),""))</f>
        <v>97</v>
      </c>
      <c r="P3" s="71">
        <f>(IFERROR(ROUND(VLOOKUP(B3,'Arranjos Consolidados'!$E$3:$BM$303,48,FALSE),0),""))</f>
        <v>266</v>
      </c>
      <c r="Q3" s="71">
        <f>(IFERROR(ROUND(VLOOKUP(B3,'Arranjos Consolidados'!$E$3:$BM$303,53,FALSE),0),""))</f>
        <v>47</v>
      </c>
      <c r="R3" s="71">
        <f>O3+P3+Q3</f>
        <v>410</v>
      </c>
      <c r="S3" s="71" t="str">
        <f>_xlfn.CONCAT($S$1," - ",B3)</f>
        <v>Desoneração Gestão Pública - M1A1</v>
      </c>
      <c r="T3" s="70">
        <f>(IFERROR(ROUND(VLOOKUP(B3,'Arranjos Consolidados'!$E$3:$BM$303,4,FALSE),0),""))</f>
        <v>200</v>
      </c>
      <c r="U3" s="70">
        <f>(IFERROR(ROUND(VLOOKUP(B3,'Arranjos Consolidados'!$E$3:$BM$303,27,FALSE),0),""))+(IFERROR(ROUND(VLOOKUP(B3,'Arranjos Consolidados'!$E$3:$BM$303,28,FALSE),0),""))</f>
        <v>14</v>
      </c>
      <c r="V3" s="70">
        <f>(IFERROR(ROUND(VLOOKUP(B3,'Arranjos Consolidados'!$E$3:$BM$303,29,FALSE),0),""))+(IFERROR(ROUND(VLOOKUP(B3,'Arranjos Consolidados'!$E$3:$BM$303,30,FALSE),0),""))</f>
        <v>26</v>
      </c>
      <c r="W3" s="70">
        <f>T3+U3+V3</f>
        <v>240</v>
      </c>
      <c r="X3" s="72">
        <f>ROUND((M3+R3+W3-E3)/L3*100,0)</f>
        <v>296</v>
      </c>
      <c r="Y3" s="71" t="str">
        <f>_xlfn.CONCAT("Modicidade Tarifaria (",M3,") + Ganhos Indiretos (",R3,") + Desoneração (",W3,") - Tarifa Bruta (",E3,")")</f>
        <v>Modicidade Tarifaria (141) + Ganhos Indiretos (410) + Desoneração (240) - Tarifa Bruta (305)</v>
      </c>
      <c r="Z3" s="71" t="str">
        <f>_xlfn.CONCAT("TARIFA LÍQUIDA (",L3,")")</f>
        <v>TARIFA LÍQUIDA (164)</v>
      </c>
      <c r="AA3" s="71" t="str">
        <f>_xlfn.CONCAT("EFICIÊNCIA VALORIZAÇÃO = ",X3,"%")</f>
        <v>EFICIÊNCIA VALORIZAÇÃO = 296%</v>
      </c>
    </row>
    <row r="4" spans="1:27" x14ac:dyDescent="0.25">
      <c r="A4" s="71" t="str">
        <f>A3</f>
        <v>A1</v>
      </c>
      <c r="B4" s="71" t="str">
        <f t="shared" ref="B4:B10" si="0">_xlfn.CONCAT($A$2,A4)</f>
        <v>M1A1</v>
      </c>
      <c r="C4" s="71" t="s">
        <v>10521</v>
      </c>
      <c r="D4" s="71" t="str">
        <f t="shared" ref="D4:D10" si="1">_xlfn.CONCAT($D$1, " - ",B4)</f>
        <v>Esforço - M1A1</v>
      </c>
      <c r="E4" s="71">
        <v>0</v>
      </c>
      <c r="F4" s="71">
        <f>E3</f>
        <v>305</v>
      </c>
      <c r="G4" s="71">
        <v>0</v>
      </c>
      <c r="H4" s="71">
        <f>G3-H3</f>
        <v>291</v>
      </c>
      <c r="I4" s="71">
        <f>H4-I3</f>
        <v>265</v>
      </c>
      <c r="J4" s="71">
        <f>I4-J3</f>
        <v>265</v>
      </c>
      <c r="K4" s="71">
        <f>J4-K3</f>
        <v>164</v>
      </c>
      <c r="L4" s="71">
        <v>0</v>
      </c>
      <c r="M4" s="71" t="s">
        <v>9688</v>
      </c>
      <c r="N4" s="71" t="str">
        <f t="shared" ref="N4:N10" si="2">_xlfn.CONCAT($N$1," - ",B4)</f>
        <v>Ganhos Indiretos - M1A1</v>
      </c>
      <c r="O4" s="71">
        <v>0</v>
      </c>
      <c r="P4" s="71">
        <f>O3+O4</f>
        <v>97</v>
      </c>
      <c r="Q4" s="71">
        <f>P3+P4</f>
        <v>363</v>
      </c>
      <c r="R4" s="71">
        <v>0</v>
      </c>
      <c r="S4" s="71" t="str">
        <f t="shared" ref="S4:S10" si="3">_xlfn.CONCAT($S$1," - ",B4)</f>
        <v>Desoneração Gestão Pública - M1A1</v>
      </c>
      <c r="T4" s="70">
        <v>0</v>
      </c>
      <c r="U4" s="70">
        <f>T3+T4</f>
        <v>200</v>
      </c>
      <c r="V4" s="70">
        <f>U3+U4</f>
        <v>214</v>
      </c>
      <c r="W4" s="70">
        <v>0</v>
      </c>
      <c r="X4" s="72" t="s">
        <v>9688</v>
      </c>
      <c r="Y4" s="71" t="s">
        <v>9688</v>
      </c>
      <c r="Z4" s="71" t="s">
        <v>9688</v>
      </c>
      <c r="AA4" s="71" t="s">
        <v>9688</v>
      </c>
    </row>
    <row r="5" spans="1:27" x14ac:dyDescent="0.25">
      <c r="A5" s="71" t="s">
        <v>10457</v>
      </c>
      <c r="B5" s="71" t="str">
        <f t="shared" si="0"/>
        <v>M1A3</v>
      </c>
      <c r="C5" s="71" t="s">
        <v>10520</v>
      </c>
      <c r="D5" s="71" t="str">
        <f t="shared" si="1"/>
        <v>Esforço - M1A3</v>
      </c>
      <c r="E5" s="71">
        <f>(IFERROR(ROUND(VLOOKUP(B5,'Arranjos Consolidados'!$E$3:$BM$303,25,FALSE),0),""))</f>
        <v>348</v>
      </c>
      <c r="F5" s="71">
        <f>(IFERROR(ROUND(VLOOKUP(B5,'Arranjos Consolidados'!$E$3:$BM$303,23,FALSE),0),""))+(IFERROR(ROUND(VLOOKUP(B5,'Arranjos Consolidados'!$E$3:$BM$303,24,FALSE),0),""))</f>
        <v>0</v>
      </c>
      <c r="G5" s="71">
        <f>E5+F5</f>
        <v>348</v>
      </c>
      <c r="H5" s="71">
        <f>(IFERROR(ROUND(VLOOKUP(B5,'Arranjos Consolidados'!$E$3:$BM$303,27,FALSE),0),""))</f>
        <v>9</v>
      </c>
      <c r="I5" s="71">
        <f>(IFERROR(ROUND(VLOOKUP(B5,'Arranjos Consolidados'!$E$3:$BM$303,30,FALSE),0),""))</f>
        <v>81</v>
      </c>
      <c r="J5" s="71">
        <f>(IFERROR(ROUND(VLOOKUP(B5,'Arranjos Consolidados'!$E$3:$BM$303,32,FALSE),0),""))</f>
        <v>0</v>
      </c>
      <c r="K5" s="71">
        <f>(IFERROR(ROUND(VLOOKUP(B5,'Arranjos Consolidados'!$E$3:$BM$303,31,FALSE),0),""))</f>
        <v>105</v>
      </c>
      <c r="L5" s="71">
        <f>G5-H5-I5-J5-K5</f>
        <v>153</v>
      </c>
      <c r="M5" s="71">
        <f t="shared" ref="M5:M9" si="4">G5-L5</f>
        <v>195</v>
      </c>
      <c r="N5" s="71" t="str">
        <f t="shared" si="2"/>
        <v>Ganhos Indiretos - M1A3</v>
      </c>
      <c r="O5" s="71">
        <f>(IFERROR(ROUND(VLOOKUP(B5,'Arranjos Consolidados'!$E$3:$BM$303,44,FALSE),0),""))</f>
        <v>112</v>
      </c>
      <c r="P5" s="71">
        <f>(IFERROR(ROUND(VLOOKUP(B5,'Arranjos Consolidados'!$E$3:$BM$303,48,FALSE),0),""))</f>
        <v>222</v>
      </c>
      <c r="Q5" s="71">
        <f>(IFERROR(ROUND(VLOOKUP(B5,'Arranjos Consolidados'!$E$3:$BM$303,53,FALSE),0),""))</f>
        <v>58</v>
      </c>
      <c r="R5" s="71">
        <f>O5+P5+Q5</f>
        <v>392</v>
      </c>
      <c r="S5" s="71" t="str">
        <f t="shared" si="3"/>
        <v>Desoneração Gestão Pública - M1A3</v>
      </c>
      <c r="T5" s="70">
        <f>(IFERROR(ROUND(VLOOKUP(B5,'Arranjos Consolidados'!$E$3:$BM$303,4,FALSE),0),""))</f>
        <v>200</v>
      </c>
      <c r="U5" s="70">
        <f>(IFERROR(ROUND(VLOOKUP(B5,'Arranjos Consolidados'!$E$3:$BM$303,27,FALSE),0),""))+(IFERROR(ROUND(VLOOKUP(B5,'Arranjos Consolidados'!$E$3:$BM$303,28,FALSE),0),""))</f>
        <v>9</v>
      </c>
      <c r="V5" s="70">
        <f>(IFERROR(ROUND(VLOOKUP(B5,'Arranjos Consolidados'!$E$3:$BM$303,29,FALSE),0),""))+(IFERROR(ROUND(VLOOKUP(B5,'Arranjos Consolidados'!$E$3:$BM$303,30,FALSE),0),""))</f>
        <v>81</v>
      </c>
      <c r="W5" s="70">
        <f>T5+U5+V5</f>
        <v>290</v>
      </c>
      <c r="X5" s="72">
        <f t="shared" ref="X5:X9" si="5">ROUND((M5+R5+W5-E5)/L5*100,0)</f>
        <v>346</v>
      </c>
      <c r="Y5" s="71" t="str">
        <f t="shared" ref="Y5:Y9" si="6">_xlfn.CONCAT("Modicidade Tarifaria (",M5,") + Ganhos Indiretos (",R5,") + Desoneração (",W5,") - Tarifa Bruta (",E5,")")</f>
        <v>Modicidade Tarifaria (195) + Ganhos Indiretos (392) + Desoneração (290) - Tarifa Bruta (348)</v>
      </c>
      <c r="Z5" s="71" t="str">
        <f t="shared" ref="Z5:Z9" si="7">_xlfn.CONCAT("TARIFA LÍQUIDA (",L5,")")</f>
        <v>TARIFA LÍQUIDA (153)</v>
      </c>
      <c r="AA5" s="71" t="str">
        <f t="shared" ref="AA5:AA9" si="8">_xlfn.CONCAT("EFICIÊNCIA VALORIZAÇÃO = ",X5,"%")</f>
        <v>EFICIÊNCIA VALORIZAÇÃO = 346%</v>
      </c>
    </row>
    <row r="6" spans="1:27" x14ac:dyDescent="0.25">
      <c r="A6" s="71" t="str">
        <f>A5</f>
        <v>A3</v>
      </c>
      <c r="B6" s="71" t="str">
        <f t="shared" si="0"/>
        <v>M1A3</v>
      </c>
      <c r="C6" s="71" t="s">
        <v>10521</v>
      </c>
      <c r="D6" s="71" t="str">
        <f t="shared" si="1"/>
        <v>Esforço - M1A3</v>
      </c>
      <c r="E6" s="71">
        <v>0</v>
      </c>
      <c r="F6" s="71">
        <f>E5</f>
        <v>348</v>
      </c>
      <c r="G6" s="71">
        <v>0</v>
      </c>
      <c r="H6" s="71">
        <f>G5-H5</f>
        <v>339</v>
      </c>
      <c r="I6" s="71">
        <f>H6-I5</f>
        <v>258</v>
      </c>
      <c r="J6" s="71">
        <f>I6-J5</f>
        <v>258</v>
      </c>
      <c r="K6" s="71">
        <f>J6-K5</f>
        <v>153</v>
      </c>
      <c r="L6" s="71">
        <v>0</v>
      </c>
      <c r="M6" s="71" t="s">
        <v>9688</v>
      </c>
      <c r="N6" s="71" t="str">
        <f t="shared" si="2"/>
        <v>Ganhos Indiretos - M1A3</v>
      </c>
      <c r="O6" s="71">
        <v>0</v>
      </c>
      <c r="P6" s="71">
        <f>O5+O6</f>
        <v>112</v>
      </c>
      <c r="Q6" s="71">
        <f>P5+P6</f>
        <v>334</v>
      </c>
      <c r="R6" s="71">
        <v>0</v>
      </c>
      <c r="S6" s="71" t="str">
        <f t="shared" si="3"/>
        <v>Desoneração Gestão Pública - M1A3</v>
      </c>
      <c r="T6" s="70">
        <v>0</v>
      </c>
      <c r="U6" s="70">
        <f>T5+T6</f>
        <v>200</v>
      </c>
      <c r="V6" s="70">
        <f>U5+U6</f>
        <v>209</v>
      </c>
      <c r="W6" s="70">
        <v>0</v>
      </c>
      <c r="X6" s="72" t="s">
        <v>9688</v>
      </c>
      <c r="Y6" s="71" t="s">
        <v>9688</v>
      </c>
      <c r="Z6" s="71" t="s">
        <v>9688</v>
      </c>
      <c r="AA6" s="71" t="s">
        <v>9688</v>
      </c>
    </row>
    <row r="7" spans="1:27" x14ac:dyDescent="0.25">
      <c r="A7" s="71" t="s">
        <v>10320</v>
      </c>
      <c r="B7" s="71" t="str">
        <f t="shared" si="0"/>
        <v>M1A4</v>
      </c>
      <c r="C7" s="71" t="s">
        <v>10520</v>
      </c>
      <c r="D7" s="71" t="str">
        <f t="shared" si="1"/>
        <v>Esforço - M1A4</v>
      </c>
      <c r="E7" s="71">
        <f>(IFERROR(ROUND(VLOOKUP(B7,'Arranjos Consolidados'!$E$3:$BM$303,25,FALSE),0),""))</f>
        <v>373</v>
      </c>
      <c r="F7" s="71">
        <f>(IFERROR(ROUND(VLOOKUP(B7,'Arranjos Consolidados'!$E$3:$BM$303,23,FALSE),0),""))+(IFERROR(ROUND(VLOOKUP(B7,'Arranjos Consolidados'!$E$3:$BM$303,24,FALSE),0),""))</f>
        <v>0</v>
      </c>
      <c r="G7" s="71">
        <f>E7+F7</f>
        <v>373</v>
      </c>
      <c r="H7" s="71">
        <f>(IFERROR(ROUND(VLOOKUP(B7,'Arranjos Consolidados'!$E$3:$BM$303,27,FALSE),0),""))</f>
        <v>8</v>
      </c>
      <c r="I7" s="71">
        <f>(IFERROR(ROUND(VLOOKUP(B7,'Arranjos Consolidados'!$E$3:$BM$303,30,FALSE),0),""))</f>
        <v>184</v>
      </c>
      <c r="J7" s="71">
        <f>(IFERROR(ROUND(VLOOKUP(B7,'Arranjos Consolidados'!$E$3:$BM$303,32,FALSE),0),""))</f>
        <v>0</v>
      </c>
      <c r="K7" s="71">
        <f>(IFERROR(ROUND(VLOOKUP(B7,'Arranjos Consolidados'!$E$3:$BM$303,31,FALSE),0),""))</f>
        <v>107</v>
      </c>
      <c r="L7" s="71">
        <f>G7-H7-I7-J7-K7</f>
        <v>74</v>
      </c>
      <c r="M7" s="71">
        <f t="shared" si="4"/>
        <v>299</v>
      </c>
      <c r="N7" s="71" t="str">
        <f t="shared" si="2"/>
        <v>Ganhos Indiretos - M1A4</v>
      </c>
      <c r="O7" s="71">
        <f>(IFERROR(ROUND(VLOOKUP(B7,'Arranjos Consolidados'!$E$3:$BM$303,44,FALSE),0),""))</f>
        <v>118</v>
      </c>
      <c r="P7" s="71">
        <f>(IFERROR(ROUND(VLOOKUP(B7,'Arranjos Consolidados'!$E$3:$BM$303,48,FALSE),0),""))</f>
        <v>222</v>
      </c>
      <c r="Q7" s="71">
        <f>(IFERROR(ROUND(VLOOKUP(B7,'Arranjos Consolidados'!$E$3:$BM$303,53,FALSE),0),""))</f>
        <v>47</v>
      </c>
      <c r="R7" s="71">
        <f>O7+P7+Q7</f>
        <v>387</v>
      </c>
      <c r="S7" s="71" t="str">
        <f t="shared" si="3"/>
        <v>Desoneração Gestão Pública - M1A4</v>
      </c>
      <c r="T7" s="70">
        <f>(IFERROR(ROUND(VLOOKUP(B7,'Arranjos Consolidados'!$E$3:$BM$303,4,FALSE),0),""))</f>
        <v>200</v>
      </c>
      <c r="U7" s="70">
        <f>(IFERROR(ROUND(VLOOKUP(B7,'Arranjos Consolidados'!$E$3:$BM$303,27,FALSE),0),""))+(IFERROR(ROUND(VLOOKUP(B7,'Arranjos Consolidados'!$E$3:$BM$303,28,FALSE),0),""))</f>
        <v>8</v>
      </c>
      <c r="V7" s="70">
        <f>(IFERROR(ROUND(VLOOKUP(B7,'Arranjos Consolidados'!$E$3:$BM$303,29,FALSE),0),""))+(IFERROR(ROUND(VLOOKUP(B7,'Arranjos Consolidados'!$E$3:$BM$303,30,FALSE),0),""))</f>
        <v>184</v>
      </c>
      <c r="W7" s="70">
        <f>T7+U7+V7</f>
        <v>392</v>
      </c>
      <c r="X7" s="72">
        <f t="shared" si="5"/>
        <v>953</v>
      </c>
      <c r="Y7" s="71" t="str">
        <f t="shared" si="6"/>
        <v>Modicidade Tarifaria (299) + Ganhos Indiretos (387) + Desoneração (392) - Tarifa Bruta (373)</v>
      </c>
      <c r="Z7" s="71" t="str">
        <f t="shared" si="7"/>
        <v>TARIFA LÍQUIDA (74)</v>
      </c>
      <c r="AA7" s="71" t="str">
        <f t="shared" si="8"/>
        <v>EFICIÊNCIA VALORIZAÇÃO = 953%</v>
      </c>
    </row>
    <row r="8" spans="1:27" x14ac:dyDescent="0.25">
      <c r="A8" s="71" t="str">
        <f>A7</f>
        <v>A4</v>
      </c>
      <c r="B8" s="71" t="str">
        <f t="shared" si="0"/>
        <v>M1A4</v>
      </c>
      <c r="C8" s="71" t="s">
        <v>10521</v>
      </c>
      <c r="D8" s="71" t="str">
        <f t="shared" si="1"/>
        <v>Esforço - M1A4</v>
      </c>
      <c r="E8" s="71">
        <v>0</v>
      </c>
      <c r="F8" s="71">
        <f>E7</f>
        <v>373</v>
      </c>
      <c r="G8" s="71">
        <v>0</v>
      </c>
      <c r="H8" s="71">
        <f>G7-H7</f>
        <v>365</v>
      </c>
      <c r="I8" s="71">
        <f>H8-I7</f>
        <v>181</v>
      </c>
      <c r="J8" s="71">
        <f>I8-J7</f>
        <v>181</v>
      </c>
      <c r="K8" s="71">
        <f>J8-K7</f>
        <v>74</v>
      </c>
      <c r="L8" s="71">
        <v>0</v>
      </c>
      <c r="M8" s="71" t="s">
        <v>9688</v>
      </c>
      <c r="N8" s="71" t="str">
        <f t="shared" si="2"/>
        <v>Ganhos Indiretos - M1A4</v>
      </c>
      <c r="O8" s="71">
        <v>0</v>
      </c>
      <c r="P8" s="71">
        <f>O7+O8</f>
        <v>118</v>
      </c>
      <c r="Q8" s="71">
        <f>P7+P8</f>
        <v>340</v>
      </c>
      <c r="R8" s="71">
        <v>0</v>
      </c>
      <c r="S8" s="71" t="str">
        <f t="shared" si="3"/>
        <v>Desoneração Gestão Pública - M1A4</v>
      </c>
      <c r="T8" s="70">
        <v>0</v>
      </c>
      <c r="U8" s="70">
        <f>T7+T8</f>
        <v>200</v>
      </c>
      <c r="V8" s="70">
        <f>U7+U8</f>
        <v>208</v>
      </c>
      <c r="W8" s="70">
        <v>0</v>
      </c>
      <c r="X8" s="72" t="s">
        <v>9688</v>
      </c>
      <c r="Y8" s="71" t="s">
        <v>9688</v>
      </c>
      <c r="Z8" s="71" t="s">
        <v>9688</v>
      </c>
      <c r="AA8" s="71" t="s">
        <v>9688</v>
      </c>
    </row>
    <row r="9" spans="1:27" x14ac:dyDescent="0.25">
      <c r="A9" s="71" t="s">
        <v>10599</v>
      </c>
      <c r="B9" s="71" t="str">
        <f t="shared" si="0"/>
        <v>M1A8</v>
      </c>
      <c r="C9" s="71" t="s">
        <v>10520</v>
      </c>
      <c r="D9" s="71" t="str">
        <f t="shared" si="1"/>
        <v>Esforço - M1A8</v>
      </c>
      <c r="E9" s="71">
        <f>(IFERROR(ROUND(VLOOKUP(B9,'Arranjos Consolidados'!$E$3:$BM$303,25,FALSE),0),""))</f>
        <v>614</v>
      </c>
      <c r="F9" s="71">
        <f>(IFERROR(ROUND(VLOOKUP(B9,'Arranjos Consolidados'!$E$3:$BM$303,23,FALSE),0),""))+(IFERROR(ROUND(VLOOKUP(B9,'Arranjos Consolidados'!$E$3:$BM$303,24,FALSE),0),""))</f>
        <v>0</v>
      </c>
      <c r="G9" s="71">
        <f>E9+F9</f>
        <v>614</v>
      </c>
      <c r="H9" s="71">
        <f>(IFERROR(ROUND(VLOOKUP(B9,'Arranjos Consolidados'!$E$3:$BM$303,27,FALSE),0),""))</f>
        <v>7</v>
      </c>
      <c r="I9" s="71">
        <f>(IFERROR(ROUND(VLOOKUP(B9,'Arranjos Consolidados'!$E$3:$BM$303,30,FALSE),0),""))</f>
        <v>350</v>
      </c>
      <c r="J9" s="71">
        <f>(IFERROR(ROUND(VLOOKUP(B9,'Arranjos Consolidados'!$E$3:$BM$303,32,FALSE),0),""))</f>
        <v>0</v>
      </c>
      <c r="K9" s="71">
        <f>(IFERROR(ROUND(VLOOKUP(B9,'Arranjos Consolidados'!$E$3:$BM$303,31,FALSE),0),""))</f>
        <v>123</v>
      </c>
      <c r="L9" s="71">
        <f>G9-H9-I9-J9-K9</f>
        <v>134</v>
      </c>
      <c r="M9" s="71">
        <f t="shared" si="4"/>
        <v>480</v>
      </c>
      <c r="N9" s="71" t="str">
        <f t="shared" si="2"/>
        <v>Ganhos Indiretos - M1A8</v>
      </c>
      <c r="O9" s="71">
        <f>(IFERROR(ROUND(VLOOKUP(B9,'Arranjos Consolidados'!$E$3:$BM$303,44,FALSE),0),""))</f>
        <v>161</v>
      </c>
      <c r="P9" s="71">
        <f>(IFERROR(ROUND(VLOOKUP(B9,'Arranjos Consolidados'!$E$3:$BM$303,48,FALSE),0),""))</f>
        <v>319</v>
      </c>
      <c r="Q9" s="71">
        <f>(IFERROR(ROUND(VLOOKUP(B9,'Arranjos Consolidados'!$E$3:$BM$303,53,FALSE),0),""))</f>
        <v>59</v>
      </c>
      <c r="R9" s="71">
        <f>O9+P9+Q9</f>
        <v>539</v>
      </c>
      <c r="S9" s="71" t="str">
        <f t="shared" si="3"/>
        <v>Desoneração Gestão Pública - M1A8</v>
      </c>
      <c r="T9" s="70">
        <f>(IFERROR(ROUND(VLOOKUP(B9,'Arranjos Consolidados'!$E$3:$BM$303,4,FALSE),0),""))</f>
        <v>200</v>
      </c>
      <c r="U9" s="70">
        <f>(IFERROR(ROUND(VLOOKUP(B9,'Arranjos Consolidados'!$E$3:$BM$303,27,FALSE),0),""))+(IFERROR(ROUND(VLOOKUP(B9,'Arranjos Consolidados'!$E$3:$BM$303,28,FALSE),0),""))</f>
        <v>7</v>
      </c>
      <c r="V9" s="70">
        <f>(IFERROR(ROUND(VLOOKUP(B9,'Arranjos Consolidados'!$E$3:$BM$303,29,FALSE),0),""))+(IFERROR(ROUND(VLOOKUP(B9,'Arranjos Consolidados'!$E$3:$BM$303,30,FALSE),0),""))</f>
        <v>350</v>
      </c>
      <c r="W9" s="70">
        <f>T9+U9+V9</f>
        <v>557</v>
      </c>
      <c r="X9" s="72">
        <f t="shared" si="5"/>
        <v>718</v>
      </c>
      <c r="Y9" s="71" t="str">
        <f t="shared" si="6"/>
        <v>Modicidade Tarifaria (480) + Ganhos Indiretos (539) + Desoneração (557) - Tarifa Bruta (614)</v>
      </c>
      <c r="Z9" s="71" t="str">
        <f t="shared" si="7"/>
        <v>TARIFA LÍQUIDA (134)</v>
      </c>
      <c r="AA9" s="71" t="str">
        <f t="shared" si="8"/>
        <v>EFICIÊNCIA VALORIZAÇÃO = 718%</v>
      </c>
    </row>
    <row r="10" spans="1:27" x14ac:dyDescent="0.25">
      <c r="A10" s="71" t="str">
        <f>A9</f>
        <v>A8</v>
      </c>
      <c r="B10" s="71" t="str">
        <f t="shared" si="0"/>
        <v>M1A8</v>
      </c>
      <c r="C10" s="71" t="s">
        <v>10521</v>
      </c>
      <c r="D10" s="71" t="str">
        <f t="shared" si="1"/>
        <v>Esforço - M1A8</v>
      </c>
      <c r="E10" s="71">
        <v>0</v>
      </c>
      <c r="F10" s="71">
        <f>E9</f>
        <v>614</v>
      </c>
      <c r="G10" s="71">
        <v>0</v>
      </c>
      <c r="H10" s="71">
        <f>G9-H9</f>
        <v>607</v>
      </c>
      <c r="I10" s="71">
        <f>H10-I9</f>
        <v>257</v>
      </c>
      <c r="J10" s="71">
        <f>I10-J9</f>
        <v>257</v>
      </c>
      <c r="K10" s="71">
        <f>J10-K9</f>
        <v>134</v>
      </c>
      <c r="L10" s="71">
        <v>0</v>
      </c>
      <c r="M10" s="71" t="s">
        <v>9688</v>
      </c>
      <c r="N10" s="71" t="str">
        <f t="shared" si="2"/>
        <v>Ganhos Indiretos - M1A8</v>
      </c>
      <c r="O10" s="71">
        <v>0</v>
      </c>
      <c r="P10" s="71">
        <f>O9+O10</f>
        <v>161</v>
      </c>
      <c r="Q10" s="71">
        <f>P9+P10</f>
        <v>480</v>
      </c>
      <c r="R10" s="71">
        <v>0</v>
      </c>
      <c r="S10" s="71" t="str">
        <f t="shared" si="3"/>
        <v>Desoneração Gestão Pública - M1A8</v>
      </c>
      <c r="T10" s="70">
        <v>0</v>
      </c>
      <c r="U10" s="70">
        <f>T9+T10</f>
        <v>200</v>
      </c>
      <c r="V10" s="70">
        <f>U9+U10</f>
        <v>207</v>
      </c>
      <c r="W10" s="70">
        <v>0</v>
      </c>
      <c r="X10" s="72" t="s">
        <v>9688</v>
      </c>
      <c r="Y10" s="71" t="s">
        <v>9688</v>
      </c>
      <c r="Z10" s="70" t="s">
        <v>9688</v>
      </c>
      <c r="AA10" s="70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U40" sqref="U40"/>
    </sheetView>
  </sheetViews>
  <sheetFormatPr defaultRowHeight="15" x14ac:dyDescent="0.25"/>
  <cols>
    <col min="1" max="21" width="9.140625" customWidth="1"/>
  </cols>
  <sheetData>
    <row r="11" spans="6:21" x14ac:dyDescent="0.25"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6:21" ht="15.75" x14ac:dyDescent="0.25">
      <c r="F12" s="63"/>
      <c r="G12" s="63"/>
      <c r="H12" s="64"/>
      <c r="I12" s="64"/>
      <c r="J12" s="64"/>
      <c r="K12" s="64"/>
      <c r="L12" s="64"/>
      <c r="M12" s="64"/>
      <c r="N12" s="64"/>
      <c r="O12" s="64"/>
    </row>
    <row r="13" spans="6:21" x14ac:dyDescent="0.25">
      <c r="F13" s="65"/>
      <c r="G13" s="65"/>
      <c r="H13" s="66"/>
      <c r="I13" s="66"/>
      <c r="J13" s="66"/>
      <c r="K13" s="66"/>
      <c r="L13" s="66"/>
      <c r="M13" s="66"/>
      <c r="N13" s="66"/>
      <c r="O13" s="66"/>
    </row>
    <row r="14" spans="6:21" x14ac:dyDescent="0.25">
      <c r="F14" s="65"/>
      <c r="G14" s="65"/>
      <c r="H14" s="66"/>
      <c r="I14" s="66"/>
      <c r="J14" s="66"/>
      <c r="K14" s="66"/>
      <c r="L14" s="66"/>
      <c r="M14" s="66"/>
      <c r="N14" s="66"/>
      <c r="O14" s="66"/>
    </row>
    <row r="15" spans="6:21" ht="15.75" x14ac:dyDescent="0.25">
      <c r="F15" s="63"/>
      <c r="G15" s="63"/>
      <c r="H15" s="66"/>
      <c r="I15" s="64"/>
      <c r="J15" s="64"/>
      <c r="K15" s="64"/>
      <c r="L15" s="64"/>
      <c r="M15" s="64"/>
      <c r="N15" s="64"/>
      <c r="O15" s="64"/>
      <c r="S15" s="29"/>
      <c r="T15" s="29"/>
      <c r="U15" s="29"/>
    </row>
    <row r="16" spans="6:21" x14ac:dyDescent="0.25">
      <c r="F16" s="65"/>
      <c r="G16" s="65"/>
      <c r="H16" s="66"/>
      <c r="I16" s="66"/>
      <c r="J16" s="66"/>
      <c r="K16" s="66"/>
      <c r="L16" s="66"/>
      <c r="M16" s="66"/>
      <c r="N16" s="66"/>
      <c r="O16" s="66"/>
      <c r="S16" s="61"/>
      <c r="T16" s="29"/>
      <c r="U16" s="29"/>
    </row>
    <row r="17" spans="6:21" x14ac:dyDescent="0.25">
      <c r="F17" s="65"/>
      <c r="G17" s="65"/>
      <c r="H17" s="66"/>
      <c r="I17" s="66"/>
      <c r="J17" s="66"/>
      <c r="K17" s="66"/>
      <c r="L17" s="66"/>
      <c r="M17" s="66"/>
      <c r="N17" s="66"/>
      <c r="O17" s="66"/>
      <c r="S17" s="61"/>
      <c r="T17" s="29"/>
      <c r="U17" s="29"/>
    </row>
    <row r="18" spans="6:21" ht="15.75" x14ac:dyDescent="0.25">
      <c r="F18" s="63"/>
      <c r="G18" s="63"/>
      <c r="H18" s="66"/>
      <c r="I18" s="64"/>
      <c r="J18" s="64"/>
      <c r="K18" s="64"/>
      <c r="L18" s="64"/>
      <c r="M18" s="64"/>
      <c r="N18" s="64"/>
      <c r="O18" s="64"/>
      <c r="S18" s="61"/>
      <c r="T18" s="29"/>
      <c r="U18" s="29"/>
    </row>
    <row r="19" spans="6:21" x14ac:dyDescent="0.25">
      <c r="F19" s="65"/>
      <c r="G19" s="65"/>
      <c r="H19" s="66"/>
      <c r="I19" s="66"/>
      <c r="J19" s="66"/>
      <c r="K19" s="66"/>
      <c r="L19" s="66"/>
      <c r="M19" s="66"/>
      <c r="N19" s="66"/>
      <c r="O19" s="66"/>
      <c r="S19" s="61"/>
      <c r="T19" s="29"/>
      <c r="U19" s="29"/>
    </row>
    <row r="20" spans="6:21" x14ac:dyDescent="0.25">
      <c r="F20" s="65"/>
      <c r="G20" s="65"/>
      <c r="H20" s="66"/>
      <c r="I20" s="66"/>
      <c r="J20" s="66"/>
      <c r="K20" s="66"/>
      <c r="L20" s="66"/>
      <c r="M20" s="66"/>
      <c r="N20" s="66"/>
      <c r="O20" s="66"/>
      <c r="S20" s="61"/>
      <c r="T20" s="29"/>
      <c r="U20" s="29"/>
    </row>
    <row r="21" spans="6:21" ht="15.75" x14ac:dyDescent="0.25">
      <c r="F21" s="63"/>
      <c r="G21" s="63"/>
      <c r="H21" s="64"/>
      <c r="I21" s="64"/>
      <c r="J21" s="64"/>
      <c r="K21" s="64"/>
      <c r="L21" s="64"/>
      <c r="M21" s="64"/>
      <c r="N21" s="64"/>
      <c r="O21" s="64"/>
      <c r="S21" s="61"/>
      <c r="T21" s="29"/>
      <c r="U21" s="29"/>
    </row>
    <row r="22" spans="6:21" x14ac:dyDescent="0.25">
      <c r="F22" s="65"/>
      <c r="G22" s="65"/>
      <c r="H22" s="66"/>
      <c r="I22" s="66"/>
      <c r="J22" s="66"/>
      <c r="K22" s="66"/>
      <c r="L22" s="66"/>
      <c r="M22" s="66"/>
      <c r="N22" s="66"/>
      <c r="O22" s="66"/>
      <c r="S22" s="61"/>
      <c r="T22" s="29"/>
      <c r="U22" s="29"/>
    </row>
    <row r="23" spans="6:21" x14ac:dyDescent="0.25">
      <c r="F23" s="65"/>
      <c r="G23" s="65"/>
      <c r="H23" s="66"/>
      <c r="I23" s="66"/>
      <c r="J23" s="66"/>
      <c r="K23" s="66"/>
      <c r="L23" s="66"/>
      <c r="M23" s="66"/>
      <c r="N23" s="66"/>
      <c r="O23" s="66"/>
      <c r="S23" s="61"/>
      <c r="T23" s="29"/>
      <c r="U23" s="29"/>
    </row>
    <row r="24" spans="6:21" x14ac:dyDescent="0.25">
      <c r="F24" s="65"/>
      <c r="G24" s="65"/>
      <c r="H24" s="66"/>
      <c r="I24" s="66"/>
      <c r="J24" s="66"/>
      <c r="K24" s="66"/>
      <c r="L24" s="66"/>
      <c r="M24" s="66"/>
      <c r="N24" s="66"/>
      <c r="O24" s="66"/>
    </row>
    <row r="25" spans="6:21" x14ac:dyDescent="0.25">
      <c r="F25" s="65"/>
      <c r="G25" s="65"/>
      <c r="H25" s="66"/>
      <c r="I25" s="66"/>
      <c r="J25" s="66"/>
      <c r="K25" s="66"/>
      <c r="L25" s="66"/>
      <c r="M25" s="66"/>
      <c r="N25" s="66"/>
      <c r="O25" s="66"/>
    </row>
    <row r="26" spans="6:21" ht="16.5" customHeight="1" x14ac:dyDescent="0.25">
      <c r="F26" s="65"/>
      <c r="G26" s="65"/>
      <c r="H26" s="66"/>
      <c r="I26" s="66"/>
      <c r="J26" s="66"/>
      <c r="K26" s="66"/>
      <c r="L26" s="66"/>
      <c r="M26" s="66"/>
      <c r="N26" s="66"/>
      <c r="O26" s="66"/>
    </row>
    <row r="27" spans="6:21" ht="15.75" x14ac:dyDescent="0.25">
      <c r="F27" s="63"/>
      <c r="G27" s="63"/>
      <c r="H27" s="64"/>
      <c r="I27" s="64"/>
      <c r="J27" s="64"/>
      <c r="K27" s="64"/>
      <c r="L27" s="64"/>
      <c r="M27" s="64"/>
      <c r="N27" s="64"/>
      <c r="O27" s="64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topLeftCell="A49" zoomScaleNormal="100" workbookViewId="0">
      <selection activeCell="F79" sqref="F79"/>
    </sheetView>
  </sheetViews>
  <sheetFormatPr defaultColWidth="0" defaultRowHeight="16.5" x14ac:dyDescent="0.35"/>
  <cols>
    <col min="1" max="10" width="9.140625" style="1" customWidth="1"/>
    <col min="11" max="11" width="7.140625" style="1" customWidth="1"/>
    <col min="12" max="16383" width="9.140625" style="1" hidden="1"/>
    <col min="16384" max="16384" width="22.28515625" style="1" hidden="1"/>
  </cols>
  <sheetData>
    <row r="1" spans="1:11" s="74" customFormat="1" ht="18.75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s="74" customFormat="1" ht="18.75" x14ac:dyDescent="0.4">
      <c r="A2" s="49"/>
      <c r="B2" s="49"/>
      <c r="C2" s="49"/>
      <c r="D2" s="119" t="s">
        <v>10460</v>
      </c>
      <c r="E2" s="119"/>
      <c r="F2" s="119"/>
      <c r="G2" s="119"/>
      <c r="H2" s="119"/>
      <c r="I2" s="119"/>
      <c r="J2" s="119"/>
      <c r="K2" s="119"/>
    </row>
    <row r="3" spans="1:11" s="74" customFormat="1" ht="15" customHeight="1" x14ac:dyDescent="0.4">
      <c r="A3" s="49"/>
      <c r="B3" s="49"/>
      <c r="C3" s="49"/>
      <c r="D3" s="119"/>
      <c r="E3" s="119"/>
      <c r="F3" s="119"/>
      <c r="G3" s="119"/>
      <c r="H3" s="119"/>
      <c r="I3" s="119"/>
      <c r="J3" s="119"/>
      <c r="K3" s="119"/>
    </row>
    <row r="4" spans="1:11" s="74" customFormat="1" ht="15" customHeight="1" x14ac:dyDescent="0.4">
      <c r="A4" s="49"/>
      <c r="B4" s="49"/>
      <c r="C4" s="49"/>
      <c r="D4" s="107" t="s">
        <v>10461</v>
      </c>
      <c r="E4" s="107"/>
      <c r="F4" s="107"/>
      <c r="G4" s="107"/>
      <c r="H4" s="107"/>
      <c r="I4" s="107"/>
      <c r="J4" s="107"/>
      <c r="K4" s="107"/>
    </row>
    <row r="5" spans="1:11" s="74" customFormat="1" ht="18.75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</row>
    <row r="6" spans="1:11" s="74" customFormat="1" ht="18.75" x14ac:dyDescent="0.4">
      <c r="A6" s="49"/>
      <c r="B6" s="120" t="str">
        <f ca="1">_xlfn.CONCAT("Data: ",DAY(TODAY()),"/",MONTH(TODAY()),"/",YEAR(TODAY()))</f>
        <v>Data: 23/12/2022</v>
      </c>
      <c r="C6" s="120"/>
      <c r="D6" s="120"/>
      <c r="E6" s="120"/>
      <c r="F6" s="120"/>
      <c r="G6" s="120"/>
      <c r="H6" s="120"/>
      <c r="I6" s="120"/>
      <c r="J6" s="120"/>
      <c r="K6" s="73"/>
    </row>
    <row r="7" spans="1:11" x14ac:dyDescent="0.35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</row>
    <row r="8" spans="1:11" ht="26.25" x14ac:dyDescent="0.55000000000000004">
      <c r="A8" s="77" t="s">
        <v>10539</v>
      </c>
      <c r="B8" s="75"/>
      <c r="C8" s="75"/>
      <c r="D8" s="75"/>
      <c r="E8" s="75"/>
      <c r="F8" s="75"/>
      <c r="G8" s="75"/>
      <c r="H8" s="75"/>
      <c r="I8" s="75"/>
      <c r="J8" s="75"/>
      <c r="K8" s="75"/>
    </row>
    <row r="9" spans="1:11" x14ac:dyDescent="0.35">
      <c r="A9" s="76"/>
      <c r="B9" s="75"/>
      <c r="C9" s="75"/>
      <c r="D9" s="75"/>
      <c r="E9" s="75"/>
      <c r="F9" s="75"/>
      <c r="G9" s="75"/>
      <c r="H9" s="75"/>
      <c r="I9" s="75"/>
      <c r="J9" s="75"/>
      <c r="K9" s="75"/>
    </row>
    <row r="10" spans="1:11" x14ac:dyDescent="0.35">
      <c r="A10" s="75" t="s">
        <v>10538</v>
      </c>
      <c r="B10" s="75" t="str">
        <f>'Banco de Dados'!I2</f>
        <v>Litoral Paranaense</v>
      </c>
      <c r="C10" s="75"/>
      <c r="D10" s="75"/>
      <c r="E10" s="75"/>
      <c r="F10" s="75"/>
      <c r="G10" s="75"/>
      <c r="H10" s="75"/>
      <c r="I10" s="75"/>
      <c r="J10" s="75"/>
      <c r="K10" s="75"/>
    </row>
    <row r="11" spans="1:11" x14ac:dyDescent="0.35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1" ht="16.5" customHeight="1" x14ac:dyDescent="0.35">
      <c r="A12" s="121">
        <v>1234</v>
      </c>
      <c r="B12" s="122"/>
      <c r="C12" s="122"/>
      <c r="D12" s="122"/>
      <c r="E12" s="122"/>
      <c r="F12" s="122"/>
      <c r="G12" s="122"/>
      <c r="H12" s="122"/>
      <c r="I12" s="122"/>
      <c r="J12" s="122"/>
      <c r="K12" s="123"/>
    </row>
    <row r="13" spans="1:11" x14ac:dyDescent="0.35">
      <c r="A13" s="124"/>
      <c r="B13" s="125"/>
      <c r="C13" s="125"/>
      <c r="D13" s="125"/>
      <c r="E13" s="125"/>
      <c r="F13" s="125"/>
      <c r="G13" s="125"/>
      <c r="H13" s="125"/>
      <c r="I13" s="125"/>
      <c r="J13" s="125"/>
      <c r="K13" s="126"/>
    </row>
    <row r="14" spans="1:11" x14ac:dyDescent="0.35">
      <c r="A14" s="124"/>
      <c r="B14" s="125"/>
      <c r="C14" s="125"/>
      <c r="D14" s="125"/>
      <c r="E14" s="125"/>
      <c r="F14" s="125"/>
      <c r="G14" s="125"/>
      <c r="H14" s="125"/>
      <c r="I14" s="125"/>
      <c r="J14" s="125"/>
      <c r="K14" s="126"/>
    </row>
    <row r="15" spans="1:11" x14ac:dyDescent="0.35">
      <c r="A15" s="124"/>
      <c r="B15" s="125"/>
      <c r="C15" s="125"/>
      <c r="D15" s="125"/>
      <c r="E15" s="125"/>
      <c r="F15" s="125"/>
      <c r="G15" s="125"/>
      <c r="H15" s="125"/>
      <c r="I15" s="125"/>
      <c r="J15" s="125"/>
      <c r="K15" s="126"/>
    </row>
    <row r="16" spans="1:11" x14ac:dyDescent="0.35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6"/>
    </row>
    <row r="17" spans="1:11" x14ac:dyDescent="0.35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6"/>
    </row>
    <row r="18" spans="1:11" x14ac:dyDescent="0.35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6"/>
    </row>
    <row r="19" spans="1:11" x14ac:dyDescent="0.35">
      <c r="A19" s="127"/>
      <c r="B19" s="128"/>
      <c r="C19" s="128"/>
      <c r="D19" s="128"/>
      <c r="E19" s="128"/>
      <c r="F19" s="128"/>
      <c r="G19" s="128"/>
      <c r="H19" s="128"/>
      <c r="I19" s="128"/>
      <c r="J19" s="128"/>
      <c r="K19" s="129"/>
    </row>
    <row r="20" spans="1:11" x14ac:dyDescent="0.35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</row>
    <row r="21" spans="1:11" ht="26.25" x14ac:dyDescent="0.55000000000000004">
      <c r="A21" s="77" t="s">
        <v>10540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</row>
    <row r="22" spans="1:11" x14ac:dyDescent="0.35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</row>
    <row r="23" spans="1:11" x14ac:dyDescent="0.35">
      <c r="A23" s="121">
        <v>22</v>
      </c>
      <c r="B23" s="122"/>
      <c r="C23" s="122"/>
      <c r="D23" s="122"/>
      <c r="E23" s="122"/>
      <c r="F23" s="122"/>
      <c r="G23" s="122"/>
      <c r="H23" s="122"/>
      <c r="I23" s="122"/>
      <c r="J23" s="122"/>
      <c r="K23" s="123"/>
    </row>
    <row r="24" spans="1:11" x14ac:dyDescent="0.35">
      <c r="A24" s="124"/>
      <c r="B24" s="125"/>
      <c r="C24" s="125"/>
      <c r="D24" s="125"/>
      <c r="E24" s="125"/>
      <c r="F24" s="125"/>
      <c r="G24" s="125"/>
      <c r="H24" s="125"/>
      <c r="I24" s="125"/>
      <c r="J24" s="125"/>
      <c r="K24" s="126"/>
    </row>
    <row r="25" spans="1:11" x14ac:dyDescent="0.35">
      <c r="A25" s="124"/>
      <c r="B25" s="125"/>
      <c r="C25" s="125"/>
      <c r="D25" s="125"/>
      <c r="E25" s="125"/>
      <c r="F25" s="125"/>
      <c r="G25" s="125"/>
      <c r="H25" s="125"/>
      <c r="I25" s="125"/>
      <c r="J25" s="125"/>
      <c r="K25" s="126"/>
    </row>
    <row r="26" spans="1:11" x14ac:dyDescent="0.35">
      <c r="A26" s="124"/>
      <c r="B26" s="125"/>
      <c r="C26" s="125"/>
      <c r="D26" s="125"/>
      <c r="E26" s="125"/>
      <c r="F26" s="125"/>
      <c r="G26" s="125"/>
      <c r="H26" s="125"/>
      <c r="I26" s="125"/>
      <c r="J26" s="125"/>
      <c r="K26" s="126"/>
    </row>
    <row r="27" spans="1:11" x14ac:dyDescent="0.35">
      <c r="A27" s="124"/>
      <c r="B27" s="125"/>
      <c r="C27" s="125"/>
      <c r="D27" s="125"/>
      <c r="E27" s="125"/>
      <c r="F27" s="125"/>
      <c r="G27" s="125"/>
      <c r="H27" s="125"/>
      <c r="I27" s="125"/>
      <c r="J27" s="125"/>
      <c r="K27" s="126"/>
    </row>
    <row r="28" spans="1:11" x14ac:dyDescent="0.35">
      <c r="A28" s="124"/>
      <c r="B28" s="125"/>
      <c r="C28" s="125"/>
      <c r="D28" s="125"/>
      <c r="E28" s="125"/>
      <c r="F28" s="125"/>
      <c r="G28" s="125"/>
      <c r="H28" s="125"/>
      <c r="I28" s="125"/>
      <c r="J28" s="125"/>
      <c r="K28" s="126"/>
    </row>
    <row r="29" spans="1:11" x14ac:dyDescent="0.35">
      <c r="A29" s="124"/>
      <c r="B29" s="125"/>
      <c r="C29" s="125"/>
      <c r="D29" s="125"/>
      <c r="E29" s="125"/>
      <c r="F29" s="125"/>
      <c r="G29" s="125"/>
      <c r="H29" s="125"/>
      <c r="I29" s="125"/>
      <c r="J29" s="125"/>
      <c r="K29" s="126"/>
    </row>
    <row r="30" spans="1:11" x14ac:dyDescent="0.35">
      <c r="A30" s="127"/>
      <c r="B30" s="128"/>
      <c r="C30" s="128"/>
      <c r="D30" s="128"/>
      <c r="E30" s="128"/>
      <c r="F30" s="128"/>
      <c r="G30" s="128"/>
      <c r="H30" s="128"/>
      <c r="I30" s="128"/>
      <c r="J30" s="128"/>
      <c r="K30" s="129"/>
    </row>
    <row r="31" spans="1:11" x14ac:dyDescent="0.35">
      <c r="A31" s="75"/>
      <c r="B31" s="103" t="s">
        <v>10569</v>
      </c>
      <c r="C31" s="103" t="s">
        <v>10570</v>
      </c>
      <c r="D31" s="103" t="s">
        <v>10571</v>
      </c>
      <c r="E31" s="75"/>
      <c r="F31" s="75"/>
      <c r="G31" s="75"/>
      <c r="H31" s="75"/>
      <c r="I31" s="75"/>
      <c r="J31" s="75"/>
      <c r="K31" s="75"/>
    </row>
    <row r="32" spans="1:11" x14ac:dyDescent="0.35">
      <c r="A32" s="75"/>
      <c r="B32" s="102">
        <f>'Banco de Dados'!I14</f>
        <v>2.2999999999999998</v>
      </c>
      <c r="C32" s="102">
        <f>'Banco de Dados'!I29</f>
        <v>300</v>
      </c>
      <c r="D32" s="75"/>
      <c r="E32" s="75"/>
      <c r="F32" s="75"/>
      <c r="G32" s="75"/>
      <c r="H32" s="75"/>
      <c r="I32" s="75"/>
      <c r="J32" s="75"/>
      <c r="K32" s="75"/>
    </row>
    <row r="33" spans="1:11" x14ac:dyDescent="0.35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</row>
    <row r="34" spans="1:11" x14ac:dyDescent="0.35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</row>
    <row r="35" spans="1:11" x14ac:dyDescent="0.35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</row>
    <row r="36" spans="1:11" x14ac:dyDescent="0.35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</row>
    <row r="37" spans="1:11" x14ac:dyDescent="0.35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</row>
    <row r="38" spans="1:11" x14ac:dyDescent="0.35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</row>
    <row r="39" spans="1:11" x14ac:dyDescent="0.35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</row>
    <row r="40" spans="1:11" x14ac:dyDescent="0.35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</row>
    <row r="41" spans="1:11" ht="26.25" x14ac:dyDescent="0.55000000000000004">
      <c r="A41" s="77" t="s">
        <v>10544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</row>
    <row r="42" spans="1:11" x14ac:dyDescent="0.35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</row>
    <row r="43" spans="1:11" x14ac:dyDescent="0.35">
      <c r="A43" s="121">
        <v>33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3"/>
    </row>
    <row r="44" spans="1:11" x14ac:dyDescent="0.35">
      <c r="A44" s="124"/>
      <c r="B44" s="125"/>
      <c r="C44" s="125"/>
      <c r="D44" s="125"/>
      <c r="E44" s="125"/>
      <c r="F44" s="125"/>
      <c r="G44" s="125"/>
      <c r="H44" s="125"/>
      <c r="I44" s="125"/>
      <c r="J44" s="125"/>
      <c r="K44" s="126"/>
    </row>
    <row r="45" spans="1:11" x14ac:dyDescent="0.35">
      <c r="A45" s="124"/>
      <c r="B45" s="125"/>
      <c r="C45" s="125"/>
      <c r="D45" s="125"/>
      <c r="E45" s="125"/>
      <c r="F45" s="125"/>
      <c r="G45" s="125"/>
      <c r="H45" s="125"/>
      <c r="I45" s="125"/>
      <c r="J45" s="125"/>
      <c r="K45" s="126"/>
    </row>
    <row r="46" spans="1:11" x14ac:dyDescent="0.35">
      <c r="A46" s="124"/>
      <c r="B46" s="125"/>
      <c r="C46" s="125"/>
      <c r="D46" s="125"/>
      <c r="E46" s="125"/>
      <c r="F46" s="125"/>
      <c r="G46" s="125"/>
      <c r="H46" s="125"/>
      <c r="I46" s="125"/>
      <c r="J46" s="125"/>
      <c r="K46" s="126"/>
    </row>
    <row r="47" spans="1:11" x14ac:dyDescent="0.35">
      <c r="A47" s="124"/>
      <c r="B47" s="125"/>
      <c r="C47" s="125"/>
      <c r="D47" s="125"/>
      <c r="E47" s="125"/>
      <c r="F47" s="125"/>
      <c r="G47" s="125"/>
      <c r="H47" s="125"/>
      <c r="I47" s="125"/>
      <c r="J47" s="125"/>
      <c r="K47" s="126"/>
    </row>
    <row r="48" spans="1:11" x14ac:dyDescent="0.35">
      <c r="A48" s="124"/>
      <c r="B48" s="125"/>
      <c r="C48" s="125"/>
      <c r="D48" s="125"/>
      <c r="E48" s="125"/>
      <c r="F48" s="125"/>
      <c r="G48" s="125"/>
      <c r="H48" s="125"/>
      <c r="I48" s="125"/>
      <c r="J48" s="125"/>
      <c r="K48" s="126"/>
    </row>
    <row r="49" spans="1:11" x14ac:dyDescent="0.35">
      <c r="A49" s="124"/>
      <c r="B49" s="125"/>
      <c r="C49" s="125"/>
      <c r="D49" s="125"/>
      <c r="E49" s="125"/>
      <c r="F49" s="125"/>
      <c r="G49" s="125"/>
      <c r="H49" s="125"/>
      <c r="I49" s="125"/>
      <c r="J49" s="125"/>
      <c r="K49" s="126"/>
    </row>
    <row r="50" spans="1:11" x14ac:dyDescent="0.35">
      <c r="A50" s="127"/>
      <c r="B50" s="128"/>
      <c r="C50" s="128"/>
      <c r="D50" s="128"/>
      <c r="E50" s="128"/>
      <c r="F50" s="128"/>
      <c r="G50" s="128"/>
      <c r="H50" s="128"/>
      <c r="I50" s="128"/>
      <c r="J50" s="128"/>
      <c r="K50" s="129"/>
    </row>
    <row r="51" spans="1:11" x14ac:dyDescent="0.35">
      <c r="A51" s="75" t="str">
        <f>'Dados - Gráfico'!A4</f>
        <v>M1A1</v>
      </c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1:11" x14ac:dyDescent="0.35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1:11" x14ac:dyDescent="0.35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1:11" x14ac:dyDescent="0.35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</row>
    <row r="55" spans="1:11" x14ac:dyDescent="0.35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</row>
    <row r="56" spans="1:11" x14ac:dyDescent="0.35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</row>
    <row r="57" spans="1:11" x14ac:dyDescent="0.35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</row>
    <row r="58" spans="1:11" x14ac:dyDescent="0.35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</row>
    <row r="59" spans="1:11" x14ac:dyDescent="0.35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</row>
    <row r="60" spans="1:11" x14ac:dyDescent="0.35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</row>
    <row r="61" spans="1:11" ht="26.25" x14ac:dyDescent="0.55000000000000004">
      <c r="A61" s="77" t="s">
        <v>10541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</row>
    <row r="62" spans="1:11" x14ac:dyDescent="0.35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</row>
    <row r="63" spans="1:11" x14ac:dyDescent="0.35">
      <c r="A63" s="121">
        <v>44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3"/>
    </row>
    <row r="64" spans="1:11" x14ac:dyDescent="0.35">
      <c r="A64" s="124"/>
      <c r="B64" s="125"/>
      <c r="C64" s="125"/>
      <c r="D64" s="125"/>
      <c r="E64" s="125"/>
      <c r="F64" s="125"/>
      <c r="G64" s="125"/>
      <c r="H64" s="125"/>
      <c r="I64" s="125"/>
      <c r="J64" s="125"/>
      <c r="K64" s="126"/>
    </row>
    <row r="65" spans="1:11" x14ac:dyDescent="0.35">
      <c r="A65" s="124"/>
      <c r="B65" s="125"/>
      <c r="C65" s="125"/>
      <c r="D65" s="125"/>
      <c r="E65" s="125"/>
      <c r="F65" s="125"/>
      <c r="G65" s="125"/>
      <c r="H65" s="125"/>
      <c r="I65" s="125"/>
      <c r="J65" s="125"/>
      <c r="K65" s="126"/>
    </row>
    <row r="66" spans="1:11" x14ac:dyDescent="0.35">
      <c r="A66" s="124"/>
      <c r="B66" s="125"/>
      <c r="C66" s="125"/>
      <c r="D66" s="125"/>
      <c r="E66" s="125"/>
      <c r="F66" s="125"/>
      <c r="G66" s="125"/>
      <c r="H66" s="125"/>
      <c r="I66" s="125"/>
      <c r="J66" s="125"/>
      <c r="K66" s="126"/>
    </row>
    <row r="67" spans="1:11" x14ac:dyDescent="0.35">
      <c r="A67" s="124"/>
      <c r="B67" s="125"/>
      <c r="C67" s="125"/>
      <c r="D67" s="125"/>
      <c r="E67" s="125"/>
      <c r="F67" s="125"/>
      <c r="G67" s="125"/>
      <c r="H67" s="125"/>
      <c r="I67" s="125"/>
      <c r="J67" s="125"/>
      <c r="K67" s="126"/>
    </row>
    <row r="68" spans="1:11" x14ac:dyDescent="0.35">
      <c r="A68" s="124"/>
      <c r="B68" s="125"/>
      <c r="C68" s="125"/>
      <c r="D68" s="125"/>
      <c r="E68" s="125"/>
      <c r="F68" s="125"/>
      <c r="G68" s="125"/>
      <c r="H68" s="125"/>
      <c r="I68" s="125"/>
      <c r="J68" s="125"/>
      <c r="K68" s="126"/>
    </row>
    <row r="69" spans="1:11" x14ac:dyDescent="0.35">
      <c r="A69" s="124"/>
      <c r="B69" s="125"/>
      <c r="C69" s="125"/>
      <c r="D69" s="125"/>
      <c r="E69" s="125"/>
      <c r="F69" s="125"/>
      <c r="G69" s="125"/>
      <c r="H69" s="125"/>
      <c r="I69" s="125"/>
      <c r="J69" s="125"/>
      <c r="K69" s="126"/>
    </row>
    <row r="70" spans="1:11" x14ac:dyDescent="0.35">
      <c r="A70" s="127"/>
      <c r="B70" s="128"/>
      <c r="C70" s="128"/>
      <c r="D70" s="128"/>
      <c r="E70" s="128"/>
      <c r="F70" s="128"/>
      <c r="G70" s="128"/>
      <c r="H70" s="128"/>
      <c r="I70" s="128"/>
      <c r="J70" s="128"/>
      <c r="K70" s="129"/>
    </row>
    <row r="71" spans="1:11" x14ac:dyDescent="0.35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</row>
    <row r="72" spans="1:11" x14ac:dyDescent="0.35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</row>
    <row r="73" spans="1:11" x14ac:dyDescent="0.35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</row>
    <row r="74" spans="1:11" x14ac:dyDescent="0.35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</row>
    <row r="75" spans="1:11" x14ac:dyDescent="0.35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</row>
    <row r="76" spans="1:11" x14ac:dyDescent="0.35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</row>
    <row r="77" spans="1:11" x14ac:dyDescent="0.35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</row>
    <row r="78" spans="1:11" x14ac:dyDescent="0.35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</row>
    <row r="79" spans="1:11" x14ac:dyDescent="0.35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</row>
    <row r="80" spans="1:11" x14ac:dyDescent="0.35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</row>
    <row r="81" spans="1:11" ht="26.25" x14ac:dyDescent="0.55000000000000004">
      <c r="A81" s="77" t="s">
        <v>10542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</row>
    <row r="82" spans="1:11" x14ac:dyDescent="0.35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</row>
    <row r="83" spans="1:11" x14ac:dyDescent="0.35">
      <c r="A83" s="121" t="s">
        <v>10568</v>
      </c>
      <c r="B83" s="122"/>
      <c r="C83" s="122"/>
      <c r="D83" s="122"/>
      <c r="E83" s="122"/>
      <c r="F83" s="122"/>
      <c r="G83" s="122"/>
      <c r="H83" s="122"/>
      <c r="I83" s="122"/>
      <c r="J83" s="122"/>
      <c r="K83" s="123"/>
    </row>
    <row r="84" spans="1:11" x14ac:dyDescent="0.35">
      <c r="A84" s="124"/>
      <c r="B84" s="125"/>
      <c r="C84" s="125"/>
      <c r="D84" s="125"/>
      <c r="E84" s="125"/>
      <c r="F84" s="125"/>
      <c r="G84" s="125"/>
      <c r="H84" s="125"/>
      <c r="I84" s="125"/>
      <c r="J84" s="125"/>
      <c r="K84" s="126"/>
    </row>
    <row r="85" spans="1:11" x14ac:dyDescent="0.35">
      <c r="A85" s="124"/>
      <c r="B85" s="125"/>
      <c r="C85" s="125"/>
      <c r="D85" s="125"/>
      <c r="E85" s="125"/>
      <c r="F85" s="125"/>
      <c r="G85" s="125"/>
      <c r="H85" s="125"/>
      <c r="I85" s="125"/>
      <c r="J85" s="125"/>
      <c r="K85" s="126"/>
    </row>
    <row r="86" spans="1:11" x14ac:dyDescent="0.35">
      <c r="A86" s="124"/>
      <c r="B86" s="125"/>
      <c r="C86" s="125"/>
      <c r="D86" s="125"/>
      <c r="E86" s="125"/>
      <c r="F86" s="125"/>
      <c r="G86" s="125"/>
      <c r="H86" s="125"/>
      <c r="I86" s="125"/>
      <c r="J86" s="125"/>
      <c r="K86" s="126"/>
    </row>
    <row r="87" spans="1:11" x14ac:dyDescent="0.35">
      <c r="A87" s="124"/>
      <c r="B87" s="125"/>
      <c r="C87" s="125"/>
      <c r="D87" s="125"/>
      <c r="E87" s="125"/>
      <c r="F87" s="125"/>
      <c r="G87" s="125"/>
      <c r="H87" s="125"/>
      <c r="I87" s="125"/>
      <c r="J87" s="125"/>
      <c r="K87" s="126"/>
    </row>
    <row r="88" spans="1:11" x14ac:dyDescent="0.35">
      <c r="A88" s="124"/>
      <c r="B88" s="125"/>
      <c r="C88" s="125"/>
      <c r="D88" s="125"/>
      <c r="E88" s="125"/>
      <c r="F88" s="125"/>
      <c r="G88" s="125"/>
      <c r="H88" s="125"/>
      <c r="I88" s="125"/>
      <c r="J88" s="125"/>
      <c r="K88" s="126"/>
    </row>
    <row r="89" spans="1:11" x14ac:dyDescent="0.35">
      <c r="A89" s="124"/>
      <c r="B89" s="125"/>
      <c r="C89" s="125"/>
      <c r="D89" s="125"/>
      <c r="E89" s="125"/>
      <c r="F89" s="125"/>
      <c r="G89" s="125"/>
      <c r="H89" s="125"/>
      <c r="I89" s="125"/>
      <c r="J89" s="125"/>
      <c r="K89" s="126"/>
    </row>
    <row r="90" spans="1:11" x14ac:dyDescent="0.35">
      <c r="A90" s="127"/>
      <c r="B90" s="128"/>
      <c r="C90" s="128"/>
      <c r="D90" s="128"/>
      <c r="E90" s="128"/>
      <c r="F90" s="128"/>
      <c r="G90" s="128"/>
      <c r="H90" s="128"/>
      <c r="I90" s="128"/>
      <c r="J90" s="128"/>
      <c r="K90" s="129"/>
    </row>
    <row r="91" spans="1:11" x14ac:dyDescent="0.35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</row>
    <row r="92" spans="1:11" x14ac:dyDescent="0.35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</row>
    <row r="93" spans="1:11" x14ac:dyDescent="0.35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</row>
    <row r="94" spans="1:11" x14ac:dyDescent="0.35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</row>
    <row r="95" spans="1:11" x14ac:dyDescent="0.35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</row>
    <row r="96" spans="1:11" x14ac:dyDescent="0.35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</row>
    <row r="97" spans="1:11" x14ac:dyDescent="0.35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</row>
    <row r="98" spans="1:11" x14ac:dyDescent="0.35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</row>
    <row r="99" spans="1:11" x14ac:dyDescent="0.35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</row>
    <row r="100" spans="1:11" x14ac:dyDescent="0.35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</row>
    <row r="101" spans="1:11" ht="26.25" x14ac:dyDescent="0.55000000000000004">
      <c r="A101" s="77" t="s">
        <v>10543</v>
      </c>
      <c r="B101" s="75"/>
      <c r="C101" s="75"/>
      <c r="D101" s="75"/>
      <c r="E101" s="75"/>
      <c r="F101" s="75"/>
      <c r="G101" s="75"/>
      <c r="H101" s="75"/>
      <c r="I101" s="75"/>
      <c r="J101" s="75"/>
      <c r="K101" s="75"/>
    </row>
    <row r="102" spans="1:11" x14ac:dyDescent="0.35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</row>
    <row r="103" spans="1:11" x14ac:dyDescent="0.35">
      <c r="A103" s="121">
        <v>66</v>
      </c>
      <c r="B103" s="122"/>
      <c r="C103" s="122"/>
      <c r="D103" s="122"/>
      <c r="E103" s="122"/>
      <c r="F103" s="122"/>
      <c r="G103" s="122"/>
      <c r="H103" s="122"/>
      <c r="I103" s="122"/>
      <c r="J103" s="122"/>
      <c r="K103" s="123"/>
    </row>
    <row r="104" spans="1:11" x14ac:dyDescent="0.35">
      <c r="A104" s="124"/>
      <c r="B104" s="125"/>
      <c r="C104" s="125"/>
      <c r="D104" s="125"/>
      <c r="E104" s="125"/>
      <c r="F104" s="125"/>
      <c r="G104" s="125"/>
      <c r="H104" s="125"/>
      <c r="I104" s="125"/>
      <c r="J104" s="125"/>
      <c r="K104" s="126"/>
    </row>
    <row r="105" spans="1:11" x14ac:dyDescent="0.35">
      <c r="A105" s="124"/>
      <c r="B105" s="125"/>
      <c r="C105" s="125"/>
      <c r="D105" s="125"/>
      <c r="E105" s="125"/>
      <c r="F105" s="125"/>
      <c r="G105" s="125"/>
      <c r="H105" s="125"/>
      <c r="I105" s="125"/>
      <c r="J105" s="125"/>
      <c r="K105" s="126"/>
    </row>
    <row r="106" spans="1:11" x14ac:dyDescent="0.35">
      <c r="A106" s="124"/>
      <c r="B106" s="125"/>
      <c r="C106" s="125"/>
      <c r="D106" s="125"/>
      <c r="E106" s="125"/>
      <c r="F106" s="125"/>
      <c r="G106" s="125"/>
      <c r="H106" s="125"/>
      <c r="I106" s="125"/>
      <c r="J106" s="125"/>
      <c r="K106" s="126"/>
    </row>
    <row r="107" spans="1:11" x14ac:dyDescent="0.35">
      <c r="A107" s="124"/>
      <c r="B107" s="125"/>
      <c r="C107" s="125"/>
      <c r="D107" s="125"/>
      <c r="E107" s="125"/>
      <c r="F107" s="125"/>
      <c r="G107" s="125"/>
      <c r="H107" s="125"/>
      <c r="I107" s="125"/>
      <c r="J107" s="125"/>
      <c r="K107" s="126"/>
    </row>
    <row r="108" spans="1:11" x14ac:dyDescent="0.35">
      <c r="A108" s="124"/>
      <c r="B108" s="125"/>
      <c r="C108" s="125"/>
      <c r="D108" s="125"/>
      <c r="E108" s="125"/>
      <c r="F108" s="125"/>
      <c r="G108" s="125"/>
      <c r="H108" s="125"/>
      <c r="I108" s="125"/>
      <c r="J108" s="125"/>
      <c r="K108" s="126"/>
    </row>
    <row r="109" spans="1:11" x14ac:dyDescent="0.35">
      <c r="A109" s="124"/>
      <c r="B109" s="125"/>
      <c r="C109" s="125"/>
      <c r="D109" s="125"/>
      <c r="E109" s="125"/>
      <c r="F109" s="125"/>
      <c r="G109" s="125"/>
      <c r="H109" s="125"/>
      <c r="I109" s="125"/>
      <c r="J109" s="125"/>
      <c r="K109" s="126"/>
    </row>
    <row r="110" spans="1:11" x14ac:dyDescent="0.35">
      <c r="A110" s="127"/>
      <c r="B110" s="128"/>
      <c r="C110" s="128"/>
      <c r="D110" s="128"/>
      <c r="E110" s="128"/>
      <c r="F110" s="128"/>
      <c r="G110" s="128"/>
      <c r="H110" s="128"/>
      <c r="I110" s="128"/>
      <c r="J110" s="128"/>
      <c r="K110" s="129"/>
    </row>
    <row r="111" spans="1:11" x14ac:dyDescent="0.35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</row>
    <row r="112" spans="1:11" x14ac:dyDescent="0.35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</row>
    <row r="113" spans="1:11" x14ac:dyDescent="0.35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</row>
    <row r="114" spans="1:11" x14ac:dyDescent="0.35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</row>
    <row r="115" spans="1:11" x14ac:dyDescent="0.35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</row>
    <row r="116" spans="1:11" x14ac:dyDescent="0.35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</row>
    <row r="117" spans="1:11" x14ac:dyDescent="0.35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</row>
    <row r="118" spans="1:11" x14ac:dyDescent="0.35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</row>
    <row r="119" spans="1:11" x14ac:dyDescent="0.35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</row>
    <row r="120" spans="1:11" x14ac:dyDescent="0.35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</row>
    <row r="121" spans="1:11" ht="26.25" x14ac:dyDescent="0.55000000000000004">
      <c r="A121" s="77" t="s">
        <v>10545</v>
      </c>
      <c r="B121" s="75"/>
      <c r="C121" s="75"/>
      <c r="D121" s="75"/>
      <c r="E121" s="75"/>
      <c r="F121" s="75"/>
      <c r="G121" s="75"/>
      <c r="H121" s="75"/>
      <c r="I121" s="75"/>
      <c r="J121" s="75"/>
      <c r="K121" s="75"/>
    </row>
    <row r="122" spans="1:11" x14ac:dyDescent="0.35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</row>
    <row r="123" spans="1:11" x14ac:dyDescent="0.35">
      <c r="A123" s="121">
        <v>77</v>
      </c>
      <c r="B123" s="122"/>
      <c r="C123" s="122"/>
      <c r="D123" s="122"/>
      <c r="E123" s="122"/>
      <c r="F123" s="122"/>
      <c r="G123" s="122"/>
      <c r="H123" s="122"/>
      <c r="I123" s="122"/>
      <c r="J123" s="122"/>
      <c r="K123" s="123"/>
    </row>
    <row r="124" spans="1:11" x14ac:dyDescent="0.35">
      <c r="A124" s="124"/>
      <c r="B124" s="125"/>
      <c r="C124" s="125"/>
      <c r="D124" s="125"/>
      <c r="E124" s="125"/>
      <c r="F124" s="125"/>
      <c r="G124" s="125"/>
      <c r="H124" s="125"/>
      <c r="I124" s="125"/>
      <c r="J124" s="125"/>
      <c r="K124" s="126"/>
    </row>
    <row r="125" spans="1:11" x14ac:dyDescent="0.35">
      <c r="A125" s="124"/>
      <c r="B125" s="125"/>
      <c r="C125" s="125"/>
      <c r="D125" s="125"/>
      <c r="E125" s="125"/>
      <c r="F125" s="125"/>
      <c r="G125" s="125"/>
      <c r="H125" s="125"/>
      <c r="I125" s="125"/>
      <c r="J125" s="125"/>
      <c r="K125" s="126"/>
    </row>
    <row r="126" spans="1:11" x14ac:dyDescent="0.35">
      <c r="A126" s="124"/>
      <c r="B126" s="125"/>
      <c r="C126" s="125"/>
      <c r="D126" s="125"/>
      <c r="E126" s="125"/>
      <c r="F126" s="125"/>
      <c r="G126" s="125"/>
      <c r="H126" s="125"/>
      <c r="I126" s="125"/>
      <c r="J126" s="125"/>
      <c r="K126" s="126"/>
    </row>
    <row r="127" spans="1:11" x14ac:dyDescent="0.35">
      <c r="A127" s="124"/>
      <c r="B127" s="125"/>
      <c r="C127" s="125"/>
      <c r="D127" s="125"/>
      <c r="E127" s="125"/>
      <c r="F127" s="125"/>
      <c r="G127" s="125"/>
      <c r="H127" s="125"/>
      <c r="I127" s="125"/>
      <c r="J127" s="125"/>
      <c r="K127" s="126"/>
    </row>
    <row r="128" spans="1:11" x14ac:dyDescent="0.35">
      <c r="A128" s="124"/>
      <c r="B128" s="125"/>
      <c r="C128" s="125"/>
      <c r="D128" s="125"/>
      <c r="E128" s="125"/>
      <c r="F128" s="125"/>
      <c r="G128" s="125"/>
      <c r="H128" s="125"/>
      <c r="I128" s="125"/>
      <c r="J128" s="125"/>
      <c r="K128" s="126"/>
    </row>
    <row r="129" spans="1:11" x14ac:dyDescent="0.35">
      <c r="A129" s="124"/>
      <c r="B129" s="125"/>
      <c r="C129" s="125"/>
      <c r="D129" s="125"/>
      <c r="E129" s="125"/>
      <c r="F129" s="125"/>
      <c r="G129" s="125"/>
      <c r="H129" s="125"/>
      <c r="I129" s="125"/>
      <c r="J129" s="125"/>
      <c r="K129" s="126"/>
    </row>
    <row r="130" spans="1:11" x14ac:dyDescent="0.35">
      <c r="A130" s="127"/>
      <c r="B130" s="128"/>
      <c r="C130" s="128"/>
      <c r="D130" s="128"/>
      <c r="E130" s="128"/>
      <c r="F130" s="128"/>
      <c r="G130" s="128"/>
      <c r="H130" s="128"/>
      <c r="I130" s="128"/>
      <c r="J130" s="128"/>
      <c r="K130" s="129"/>
    </row>
    <row r="131" spans="1:11" x14ac:dyDescent="0.35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</row>
    <row r="132" spans="1:11" x14ac:dyDescent="0.35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</row>
    <row r="133" spans="1:11" x14ac:dyDescent="0.35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</row>
    <row r="134" spans="1:11" x14ac:dyDescent="0.35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</row>
    <row r="135" spans="1:11" x14ac:dyDescent="0.35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</row>
    <row r="136" spans="1:11" x14ac:dyDescent="0.35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</row>
    <row r="137" spans="1:11" x14ac:dyDescent="0.35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</row>
    <row r="138" spans="1:11" x14ac:dyDescent="0.35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</row>
    <row r="139" spans="1:11" x14ac:dyDescent="0.35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</row>
    <row r="140" spans="1:11" x14ac:dyDescent="0.35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</row>
    <row r="141" spans="1:11" x14ac:dyDescent="0.35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</row>
  </sheetData>
  <mergeCells count="10">
    <mergeCell ref="D2:K3"/>
    <mergeCell ref="D4:K4"/>
    <mergeCell ref="B6:J6"/>
    <mergeCell ref="A12:K19"/>
    <mergeCell ref="A123:K130"/>
    <mergeCell ref="A23:K30"/>
    <mergeCell ref="A43:K50"/>
    <mergeCell ref="A63:K70"/>
    <mergeCell ref="A83:K90"/>
    <mergeCell ref="A103:K110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4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6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2022-12-15T23:31:48Z</cp:lastPrinted>
  <dcterms:created xsi:type="dcterms:W3CDTF">2022-05-11T01:44:06Z</dcterms:created>
  <dcterms:modified xsi:type="dcterms:W3CDTF">2022-12-23T19:32:25Z</dcterms:modified>
</cp:coreProperties>
</file>