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EstaPastaDeTrabalho"/>
  <mc:AlternateContent xmlns:mc="http://schemas.openxmlformats.org/markup-compatibility/2006">
    <mc:Choice Requires="x15">
      <x15ac:absPath xmlns:x15ac="http://schemas.microsoft.com/office/spreadsheetml/2010/11/ac" url="C:\Backup 05 Abr 2023\02 - UNIDO\Contrato 03\Tool Development\Version 04 05 - 21 Abr\Coefic Algoritmo\"/>
    </mc:Choice>
  </mc:AlternateContent>
  <xr:revisionPtr revIDLastSave="0" documentId="13_ncr:1_{2ED1231C-29E8-4F26-B03B-4BE2EC9CF5DF}" xr6:coauthVersionLast="47" xr6:coauthVersionMax="47" xr10:uidLastSave="{00000000-0000-0000-0000-000000000000}"/>
  <bookViews>
    <workbookView xWindow="-120" yWindow="-120" windowWidth="29040" windowHeight="15720" tabRatio="882" firstSheet="8"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1" i="19" l="1"/>
  <c r="P11" i="19"/>
  <c r="L11" i="19"/>
  <c r="H11" i="19"/>
  <c r="T11" i="16"/>
  <c r="P11" i="16"/>
  <c r="L11" i="16"/>
  <c r="H11" i="16"/>
  <c r="T11" i="20"/>
  <c r="P11" i="20"/>
  <c r="L11" i="20"/>
  <c r="H11" i="20"/>
  <c r="T11" i="18"/>
  <c r="P11" i="18"/>
  <c r="L11" i="18"/>
  <c r="H11" i="18"/>
  <c r="T11" i="17"/>
  <c r="P11" i="17"/>
  <c r="L11" i="17"/>
  <c r="H11" i="17"/>
  <c r="T11" i="15"/>
  <c r="P11" i="15"/>
  <c r="L11" i="15"/>
  <c r="H11" i="15"/>
  <c r="T11" i="14"/>
  <c r="P11" i="14"/>
  <c r="L11" i="14"/>
  <c r="H11" i="14"/>
  <c r="E10" i="2" l="1"/>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U39" i="17"/>
  <c r="Q39" i="17"/>
  <c r="M39" i="17"/>
  <c r="I39" i="17"/>
  <c r="E39" i="17"/>
  <c r="U34" i="17"/>
  <c r="Q34" i="17"/>
  <c r="M34" i="17"/>
  <c r="I34" i="17"/>
  <c r="E34" i="17"/>
  <c r="AA21" i="17"/>
  <c r="Z21" i="17"/>
  <c r="Y21" i="17"/>
  <c r="X21" i="17"/>
  <c r="U21" i="17"/>
  <c r="Q21" i="17"/>
  <c r="M21" i="17"/>
  <c r="I21" i="17"/>
  <c r="E21" i="17"/>
  <c r="H16" i="17"/>
  <c r="D16" i="17"/>
  <c r="H15" i="17"/>
  <c r="D15"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31" i="20" s="1"/>
  <c r="I28" i="20"/>
  <c r="I22" i="20"/>
  <c r="I17" i="20"/>
  <c r="I27" i="20"/>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47"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C67" i="22" s="1"/>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1" i="22" l="1"/>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T30" i="22"/>
  <c r="T31" i="22" s="1"/>
  <c r="Q149" i="11"/>
  <c r="R30" i="22" s="1"/>
  <c r="P148" i="11" l="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157" i="11"/>
  <c r="N42" i="22"/>
  <c r="N159" i="11" l="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<sst xmlns="http://schemas.openxmlformats.org/spreadsheetml/2006/main" count="2679" uniqueCount="1124">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</sst>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84">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Border="1" applyAlignment="1">
      <alignmen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4" fillId="0" borderId="30" xfId="0" applyFont="1" applyBorder="1" applyAlignment="1">
      <alignment vertical="center"/>
    </xf>
    <xf numFmtId="4" fontId="48" fillId="0" borderId="29" xfId="0" applyNumberFormat="1"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477.96287444798207</c:v>
                </c:pt>
                <c:pt idx="3">
                  <c:v>0</c:v>
                </c:pt>
                <c:pt idx="4">
                  <c:v>0</c:v>
                </c:pt>
                <c:pt idx="5">
                  <c:v>0</c:v>
                </c:pt>
                <c:pt idx="6">
                  <c:v>0</c:v>
                </c:pt>
                <c:pt idx="7">
                  <c:v>3551.0785167033505</c:v>
                </c:pt>
                <c:pt idx="8">
                  <c:v>159.7914030221354</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3811.4866920835889</c:v>
                </c:pt>
                <c:pt idx="3">
                  <c:v>0</c:v>
                </c:pt>
                <c:pt idx="4">
                  <c:v>0</c:v>
                </c:pt>
                <c:pt idx="5">
                  <c:v>0</c:v>
                </c:pt>
                <c:pt idx="6">
                  <c:v>0</c:v>
                </c:pt>
                <c:pt idx="7">
                  <c:v>3575.375239850197</c:v>
                </c:pt>
                <c:pt idx="8">
                  <c:v>363.64980490010794</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c:v>
                </c:pt>
                <c:pt idx="1">
                  <c:v>0</c:v>
                </c:pt>
                <c:pt idx="2">
                  <c:v>96.753025091778852</c:v>
                </c:pt>
                <c:pt idx="3">
                  <c:v>0</c:v>
                </c:pt>
                <c:pt idx="4">
                  <c:v>0</c:v>
                </c:pt>
                <c:pt idx="5">
                  <c:v>0</c:v>
                </c:pt>
                <c:pt idx="6">
                  <c:v>0</c:v>
                </c:pt>
                <c:pt idx="7">
                  <c:v>313.70502796340759</c:v>
                </c:pt>
                <c:pt idx="8">
                  <c:v>60.626063434799917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771.5512799651118</c:v>
                </c:pt>
                <c:pt idx="3">
                  <c:v>0</c:v>
                </c:pt>
                <c:pt idx="4">
                  <c:v>0</c:v>
                </c:pt>
                <c:pt idx="5">
                  <c:v>0</c:v>
                </c:pt>
                <c:pt idx="6">
                  <c:v>0</c:v>
                </c:pt>
                <c:pt idx="7">
                  <c:v>315.8514193141898</c:v>
                </c:pt>
                <c:pt idx="8" formatCode="0">
                  <c:v>137.97147858369144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250</c:v>
                </c:pt>
                <c:pt idx="1">
                  <c:v>0</c:v>
                </c:pt>
                <c:pt idx="2">
                  <c:v>31.350160256410255</c:v>
                </c:pt>
                <c:pt idx="3">
                  <c:v>0</c:v>
                </c:pt>
                <c:pt idx="4">
                  <c:v>0</c:v>
                </c:pt>
                <c:pt idx="5">
                  <c:v>0</c:v>
                </c:pt>
                <c:pt idx="6">
                  <c:v>0</c:v>
                </c:pt>
                <c:pt idx="7">
                  <c:v>248.30110677083334</c:v>
                </c:pt>
                <c:pt idx="8">
                  <c:v>49.501562499999999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-58.377062215241679</c:v>
                </c:pt>
                <c:pt idx="1">
                  <c:v>-192.31852118407824</c:v>
                </c:pt>
                <c:pt idx="2">
                  <c:v>-283.53356224729396</c:v>
                </c:pt>
                <c:pt idx="3">
                  <c:v>-283.15765617082269</c:v>
                </c:pt>
                <c:pt idx="4">
                  <c:v>-282.67081594424519</c:v>
                </c:pt>
                <c:pt idx="5">
                  <c:v>-282.07252017705599</c:v>
                </c:pt>
                <c:pt idx="6">
                  <c:v>-281.3622450282142</c:v>
                </c:pt>
                <c:pt idx="7">
                  <c:v>-280.53946419462608</c:v>
                </c:pt>
                <c:pt idx="8">
                  <c:v>-279.60364889957333</c:v>
                </c:pt>
                <c:pt idx="9">
                  <c:v>-278.55426788108707</c:v>
                </c:pt>
                <c:pt idx="10">
                  <c:v>-277.39078738026711</c:v>
                </c:pt>
                <c:pt idx="11">
                  <c:v>-276.11267112954653</c:v>
                </c:pt>
                <c:pt idx="12">
                  <c:v>-274.71938034090078</c:v>
                </c:pt>
                <c:pt idx="13">
                  <c:v>-273.21037369400159</c:v>
                </c:pt>
                <c:pt idx="14">
                  <c:v>-271.58510732431517</c:v>
                </c:pt>
                <c:pt idx="15">
                  <c:v>-269.84303481114443</c:v>
                </c:pt>
                <c:pt idx="16">
                  <c:v>-267.98360716561501</c:v>
                </c:pt>
                <c:pt idx="17">
                  <c:v>-266.00627281860483</c:v>
                </c:pt>
                <c:pt idx="18">
                  <c:v>-263.91047760861693</c:v>
                </c:pt>
                <c:pt idx="19">
                  <c:v>-261.69566476959528</c:v>
                </c:pt>
                <c:pt idx="20">
                  <c:v>-259.36127491868342</c:v>
                </c:pt>
                <c:pt idx="21">
                  <c:v>-256.90674604392552</c:v>
                </c:pt>
                <c:pt idx="22">
                  <c:v>-254.33151349190945</c:v>
                </c:pt>
                <c:pt idx="23">
                  <c:v>-251.63500995535213</c:v>
                </c:pt>
                <c:pt idx="24">
                  <c:v>-248.81666546062621</c:v>
                </c:pt>
                <c:pt idx="25">
                  <c:v>-245.87590735522826</c:v>
                </c:pt>
                <c:pt idx="26">
                  <c:v>-242.81216029518816</c:v>
                </c:pt>
                <c:pt idx="27">
                  <c:v>-239.62484623241909</c:v>
                </c:pt>
                <c:pt idx="28">
                  <c:v>-236.31338440200821</c:v>
                </c:pt>
                <c:pt idx="29">
                  <c:v>-232.87719130944762</c:v>
                </c:pt>
                <c:pt idx="30">
                  <c:v>-229.31568071780521</c:v>
                </c:pt>
                <c:pt idx="31">
                  <c:v>-225.62826363483529</c:v>
                </c:pt>
                <c:pt idx="32">
                  <c:v>-221.81434830002863</c:v>
                </c:pt>
                <c:pt idx="33">
                  <c:v>-217.8733401716016</c:v>
                </c:pt>
                <c:pt idx="34">
                  <c:v>-213.80464191342415</c:v>
                </c:pt>
                <c:pt idx="35">
                  <c:v>-209.60765338188648</c:v>
                </c:pt>
                <c:pt idx="36">
                  <c:v>-205.28177161270381</c:v>
                </c:pt>
                <c:pt idx="37">
                  <c:v>-200.82639080765918</c:v>
                </c:pt>
                <c:pt idx="38">
                  <c:v>-196.24090232128407</c:v>
                </c:pt>
                <c:pt idx="39">
                  <c:v>-191.5246946474762</c:v>
                </c:pt>
                <c:pt idx="40">
                  <c:v>-186.67715340605463</c:v>
                </c:pt>
                <c:pt idx="41">
                  <c:v>-181.69766132925162</c:v>
                </c:pt>
                <c:pt idx="42">
                  <c:v>-176.58559824814083</c:v>
                </c:pt>
                <c:pt idx="43">
                  <c:v>-171.34034107900203</c:v>
                </c:pt>
                <c:pt idx="44">
                  <c:v>-165.9612638096215</c:v>
                </c:pt>
                <c:pt idx="45">
                  <c:v>-160.44773748552811</c:v>
                </c:pt>
                <c:pt idx="46">
                  <c:v>-154.7991301961647</c:v>
                </c:pt>
                <c:pt idx="47">
                  <c:v>-149.01480706099449</c:v>
                </c:pt>
                <c:pt idx="48">
                  <c:v>-143.09413021554218</c:v>
                </c:pt>
                <c:pt idx="49">
                  <c:v>-137.03645879736945</c:v>
                </c:pt>
                <c:pt idx="50">
                  <c:v>-130.84114893198455</c:v>
                </c:pt>
                <c:pt idx="51">
                  <c:v>-124.50755371868554</c:v>
                </c:pt>
                <c:pt idx="52">
                  <c:v>-118.03502321633724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10.14710340754756</c:v>
                </c:pt>
                <c:pt idx="1">
                  <c:v>-5.9227009673553379</c:v>
                </c:pt>
                <c:pt idx="2">
                  <c:v>-13.876199375116482</c:v>
                </c:pt>
                <c:pt idx="3">
                  <c:v>-37.418012377864898</c:v>
                </c:pt>
                <c:pt idx="4">
                  <c:v>-60.129384196032746</c:v>
                </c:pt>
                <c:pt idx="5">
                  <c:v>-82.009688037812452</c:v>
                </c:pt>
                <c:pt idx="6">
                  <c:v>-103.05829416547498</c:v>
                </c:pt>
                <c:pt idx="7">
                  <c:v>-123.2745698815239</c:v>
                </c:pt>
                <c:pt idx="8">
                  <c:v>-142.65787951478464</c:v>
                </c:pt>
                <c:pt idx="9">
                  <c:v>-161.207584406428</c:v>
                </c:pt>
                <c:pt idx="10">
                  <c:v>-178.92304289592838</c:v>
                </c:pt>
                <c:pt idx="11">
                  <c:v>-195.80361030695565</c:v>
                </c:pt>
                <c:pt idx="12">
                  <c:v>-211.84863893320096</c:v>
                </c:pt>
                <c:pt idx="13">
                  <c:v>-227.05747802413578</c:v>
                </c:pt>
                <c:pt idx="14">
                  <c:v>-241.42947377070413</c:v>
                </c:pt>
                <c:pt idx="15">
                  <c:v>-254.96396929094746</c:v>
                </c:pt>
                <c:pt idx="16">
                  <c:v>-267.66030461556198</c:v>
                </c:pt>
                <c:pt idx="17">
                  <c:v>-279.51781667338821</c:v>
                </c:pt>
                <c:pt idx="18">
                  <c:v>-290.53583927683218</c:v>
                </c:pt>
                <c:pt idx="19">
                  <c:v>-300.71370310721829</c:v>
                </c:pt>
                <c:pt idx="20">
                  <c:v>-310.05073570007312</c:v>
                </c:pt>
                <c:pt idx="21">
                  <c:v>-318.54626143034022</c:v>
                </c:pt>
                <c:pt idx="22">
                  <c:v>-326.19960149752541</c:v>
                </c:pt>
                <c:pt idx="23">
                  <c:v>-319.06844940029765</c:v>
                </c:pt>
                <c:pt idx="24">
                  <c:v>-311.79082567844165</c:v>
                </c:pt>
                <c:pt idx="25">
                  <c:v>-304.3660419153216</c:v>
                </c:pt>
                <c:pt idx="26">
                  <c:v>-296.79340645874362</c:v>
                </c:pt>
                <c:pt idx="27">
                  <c:v>-289.07222440574839</c:v>
                </c:pt>
                <c:pt idx="28">
                  <c:v>-281.20179758733281</c:v>
                </c:pt>
                <c:pt idx="29">
                  <c:v>-273.18142455309936</c:v>
                </c:pt>
                <c:pt idx="30">
                  <c:v>-265.01040055583371</c:v>
                </c:pt>
                <c:pt idx="31">
                  <c:v>-256.68801753600962</c:v>
                </c:pt>
                <c:pt idx="32">
                  <c:v>-248.21356410622104</c:v>
                </c:pt>
                <c:pt idx="33">
                  <c:v>-239.58632553554114</c:v>
                </c:pt>
                <c:pt idx="34">
                  <c:v>-230.80558373380774</c:v>
                </c:pt>
                <c:pt idx="35">
                  <c:v>-221.87061723583489</c:v>
                </c:pt>
                <c:pt idx="36">
                  <c:v>-212.78070118555027</c:v>
                </c:pt>
                <c:pt idx="37">
                  <c:v>-203.53510732005799</c:v>
                </c:pt>
                <c:pt idx="38">
                  <c:v>-194.1331039536266</c:v>
                </c:pt>
                <c:pt idx="39">
                  <c:v>-184.57395596160168</c:v>
                </c:pt>
                <c:pt idx="40">
                  <c:v>-174.85692476424296</c:v>
                </c:pt>
                <c:pt idx="41">
                  <c:v>-164.98126831048535</c:v>
                </c:pt>
                <c:pt idx="42">
                  <c:v>-154.94624106162377</c:v>
                </c:pt>
                <c:pt idx="43">
                  <c:v>-144.75109397492122</c:v>
                </c:pt>
                <c:pt idx="44">
                  <c:v>-134.39507448713988</c:v>
                </c:pt>
                <c:pt idx="45">
                  <c:v>-123.87742649799466</c:v>
                </c:pt>
                <c:pt idx="46">
                  <c:v>-113.19739035352916</c:v>
                </c:pt>
                <c:pt idx="47">
                  <c:v>-102.35420282941337</c:v>
                </c:pt>
                <c:pt idx="48">
                  <c:v>-91.347097114162935</c:v>
                </c:pt>
                <c:pt idx="49">
                  <c:v>-80.175302792279524</c:v>
                </c:pt>
                <c:pt idx="50">
                  <c:v>-68.838045827311959</c:v>
                </c:pt>
                <c:pt idx="51">
                  <c:v>-57.334548544837745</c:v>
                </c:pt>
                <c:pt idx="52">
                  <c:v>-45.664029615364598</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-64.062988075006217</c:v>
                </c:pt>
                <c:pt idx="1">
                  <c:v>-211.05034514740746</c:v>
                </c:pt>
                <c:pt idx="2">
                  <c:v>-311.14973121018033</c:v>
                </c:pt>
                <c:pt idx="3">
                  <c:v>-310.73721188186079</c:v>
                </c:pt>
                <c:pt idx="4">
                  <c:v>-310.20295341721464</c:v>
                </c:pt>
                <c:pt idx="5">
                  <c:v>-309.54638364230124</c:v>
                </c:pt>
                <c:pt idx="6">
                  <c:v>-308.76692769396232</c:v>
                </c:pt>
                <c:pt idx="7">
                  <c:v>-307.86400800718275</c:v>
                </c:pt>
                <c:pt idx="8">
                  <c:v>-306.83704430239186</c:v>
                </c:pt>
                <c:pt idx="9">
                  <c:v>-305.685453572705</c:v>
                </c:pt>
                <c:pt idx="10">
                  <c:v>-304.40865007110517</c:v>
                </c:pt>
                <c:pt idx="11">
                  <c:v>-303.00604529756436</c:v>
                </c:pt>
                <c:pt idx="12">
                  <c:v>-301.47704798610448</c:v>
                </c:pt>
                <c:pt idx="13">
                  <c:v>-299.82106409179733</c:v>
                </c:pt>
                <c:pt idx="14">
                  <c:v>-298.03749677770344</c:v>
                </c:pt>
                <c:pt idx="15">
                  <c:v>-296.12574640174989</c:v>
                </c:pt>
                <c:pt idx="16">
                  <c:v>-294.08521050354591</c:v>
                </c:pt>
                <c:pt idx="17">
                  <c:v>-291.91528379113691</c:v>
                </c:pt>
                <c:pt idx="18">
                  <c:v>-289.61535812769614</c:v>
                </c:pt>
                <c:pt idx="19">
                  <c:v>-287.18482251815379</c:v>
                </c:pt>
                <c:pt idx="20">
                  <c:v>-284.62306309576314</c:v>
                </c:pt>
                <c:pt idx="21">
                  <c:v>-281.92946310860378</c:v>
                </c:pt>
                <c:pt idx="22">
                  <c:v>-279.10340290602136</c:v>
                </c:pt>
                <c:pt idx="23">
                  <c:v>-276.14425992500333</c:v>
                </c:pt>
                <c:pt idx="24">
                  <c:v>-273.05140867649106</c:v>
                </c:pt>
                <c:pt idx="25">
                  <c:v>-269.82422073162735</c:v>
                </c:pt>
                <c:pt idx="26">
                  <c:v>-266.46206470793936</c:v>
                </c:pt>
                <c:pt idx="27">
                  <c:v>-262.96430625545656</c:v>
                </c:pt>
                <c:pt idx="28">
                  <c:v>-259.33030804276365</c:v>
                </c:pt>
                <c:pt idx="29">
                  <c:v>-255.55942974298765</c:v>
                </c:pt>
                <c:pt idx="30">
                  <c:v>-251.65102801971926</c:v>
                </c:pt>
                <c:pt idx="31">
                  <c:v>-247.60445651286807</c:v>
                </c:pt>
                <c:pt idx="32">
                  <c:v>-243.41906582445122</c:v>
                </c:pt>
                <c:pt idx="33">
                  <c:v>-239.09420350431537</c:v>
                </c:pt>
                <c:pt idx="34">
                  <c:v>-234.62921403579145</c:v>
                </c:pt>
                <c:pt idx="35">
                  <c:v>-230.02343882128201</c:v>
                </c:pt>
                <c:pt idx="36">
                  <c:v>-225.27621616778094</c:v>
                </c:pt>
                <c:pt idx="37">
                  <c:v>-220.38688127232498</c:v>
                </c:pt>
                <c:pt idx="38">
                  <c:v>-215.35476620737694</c:v>
                </c:pt>
                <c:pt idx="39">
                  <c:v>-210.17919990614018</c:v>
                </c:pt>
                <c:pt idx="40">
                  <c:v>-204.85950814780418</c:v>
                </c:pt>
                <c:pt idx="41">
                  <c:v>-199.39501354272053</c:v>
                </c:pt>
                <c:pt idx="42">
                  <c:v>-193.78503551750956</c:v>
                </c:pt>
                <c:pt idx="43">
                  <c:v>-188.02889030009663</c:v>
                </c:pt>
                <c:pt idx="44">
                  <c:v>-182.12589090467844</c:v>
                </c:pt>
                <c:pt idx="45">
                  <c:v>-176.07534711661836</c:v>
                </c:pt>
                <c:pt idx="46">
                  <c:v>-169.87656547727093</c:v>
                </c:pt>
                <c:pt idx="47">
                  <c:v>-163.52884926873514</c:v>
                </c:pt>
                <c:pt idx="48">
                  <c:v>-157.03149849853577</c:v>
                </c:pt>
                <c:pt idx="49">
                  <c:v>-150.38380988423302</c:v>
                </c:pt>
                <c:pt idx="50">
                  <c:v>-143.5850768379596</c:v>
                </c:pt>
                <c:pt idx="51">
                  <c:v>-136.63458945088527</c:v>
                </c:pt>
                <c:pt idx="52">
                  <c:v>-129.53163447760824</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10.762017874044941</c:v>
                </c:pt>
                <c:pt idx="1">
                  <c:v>-6.2816166459770724</c:v>
                </c:pt>
                <c:pt idx="2">
                  <c:v>-14.717097057248543</c:v>
                </c:pt>
                <c:pt idx="3">
                  <c:v>-39.685543927963515</c:v>
                </c:pt>
                <c:pt idx="4">
                  <c:v>-63.773224878312334</c:v>
                </c:pt>
                <c:pt idx="5">
                  <c:v>-86.9794751329039</c:v>
                </c:pt>
                <c:pt idx="6">
                  <c:v>-109.30362679190277</c:v>
                </c:pt>
                <c:pt idx="7">
                  <c:v>-130.74500881634427</c:v>
                </c:pt>
                <c:pt idx="8">
                  <c:v>-151.30294701338059</c:v>
                </c:pt>
                <c:pt idx="9">
                  <c:v>-170.97676402145754</c:v>
                </c:pt>
                <c:pt idx="10">
                  <c:v>-189.76577929542165</c:v>
                </c:pt>
                <c:pt idx="11">
                  <c:v>-207.66930909155718</c:v>
                </c:pt>
                <c:pt idx="12">
                  <c:v>-224.68666645255294</c:v>
                </c:pt>
                <c:pt idx="13">
                  <c:v>-240.81716119239843</c:v>
                </c:pt>
                <c:pt idx="14">
                  <c:v>-256.06009988120883</c:v>
                </c:pt>
                <c:pt idx="15">
                  <c:v>-270.41478582997888</c:v>
                </c:pt>
                <c:pt idx="16">
                  <c:v>-283.88051907526506</c:v>
                </c:pt>
                <c:pt idx="17">
                  <c:v>-296.45659636379554</c:v>
                </c:pt>
                <c:pt idx="18">
                  <c:v>-308.14231113700822</c:v>
                </c:pt>
                <c:pt idx="19">
                  <c:v>-318.93695351551571</c:v>
                </c:pt>
                <c:pt idx="20">
                  <c:v>-328.83981028349751</c:v>
                </c:pt>
                <c:pt idx="21">
                  <c:v>-337.8501648730188</c:v>
                </c:pt>
                <c:pt idx="22">
                  <c:v>-345.96729734827539</c:v>
                </c:pt>
                <c:pt idx="23">
                  <c:v>-338.40399743395568</c:v>
                </c:pt>
                <c:pt idx="24">
                  <c:v>-330.68534971455517</c:v>
                </c:pt>
                <c:pt idx="25">
                  <c:v>-322.81062405539006</c:v>
                </c:pt>
                <c:pt idx="26">
                  <c:v>-314.77908689014345</c:v>
                </c:pt>
                <c:pt idx="27">
                  <c:v>-306.59000120473672</c:v>
                </c:pt>
                <c:pt idx="28">
                  <c:v>-298.24262652112515</c:v>
                </c:pt>
                <c:pt idx="29">
                  <c:v>-289.73621888101712</c:v>
                </c:pt>
                <c:pt idx="30">
                  <c:v>-281.07003082951718</c:v>
                </c:pt>
                <c:pt idx="31">
                  <c:v>-272.24331139869173</c:v>
                </c:pt>
                <c:pt idx="32">
                  <c:v>-263.25530609105795</c:v>
                </c:pt>
                <c:pt idx="33">
                  <c:v>-254.10525686299485</c:v>
                </c:pt>
                <c:pt idx="34">
                  <c:v>-244.7924021080764</c:v>
                </c:pt>
                <c:pt idx="35">
                  <c:v>-235.3159766403264</c:v>
                </c:pt>
                <c:pt idx="36">
                  <c:v>-225.67521167739451</c:v>
                </c:pt>
                <c:pt idx="37">
                  <c:v>-215.86933482365342</c:v>
                </c:pt>
                <c:pt idx="38">
                  <c:v>-205.8975700532163</c:v>
                </c:pt>
                <c:pt idx="39">
                  <c:v>-195.75913769287467</c:v>
                </c:pt>
                <c:pt idx="40">
                  <c:v>-185.453254404956</c:v>
                </c:pt>
                <c:pt idx="41">
                  <c:v>-174.97913317010068</c:v>
                </c:pt>
                <c:pt idx="42">
                  <c:v>-164.33598326995809</c:v>
                </c:pt>
                <c:pt idx="43">
                  <c:v>-153.52301026980138</c:v>
                </c:pt>
                <c:pt idx="44">
                  <c:v>-142.53941600106049</c:v>
                </c:pt>
                <c:pt idx="45">
                  <c:v>-131.38439854377307</c:v>
                </c:pt>
                <c:pt idx="46">
                  <c:v>-120.05715220895296</c:v>
                </c:pt>
                <c:pt idx="47">
                  <c:v>-108.55686752087574</c:v>
                </c:pt>
                <c:pt idx="48">
                  <c:v>-96.882731199281125</c:v>
                </c:pt>
                <c:pt idx="49">
                  <c:v>-85.033926141491577</c:v>
                </c:pt>
                <c:pt idx="50">
                  <c:v>-73.009631404446964</c:v>
                </c:pt>
                <c:pt idx="51">
                  <c:v>-60.809022186654815</c:v>
                </c:pt>
                <c:pt idx="52">
                  <c:v>-48.431269810055596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Backup%2005%20Abr%202023\02%20-%20UNIDO\Contrato%2003\Tool%20Development\Version%2004%2005%20-%2021%20Abr\Coefic%20Algoritmo\Base%20Ferramenta%203%20-%20Algoritmo%20RT%201%20-%2022%20Abr%202023.xlsm" TargetMode="External"/><Relationship Id="rId1" Type="http://schemas.openxmlformats.org/officeDocument/2006/relationships/externalLinkPath" Target="Base%20Ferramenta%203%20-%20Algoritmo%20RT%201%20-%2022%20Abr%20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oef. Algoritmos"/>
      <sheetName val="Transpor para Codigo"/>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sheetData sheetId="11">
        <row r="3">
          <cell r="T3">
            <v>250</v>
          </cell>
        </row>
      </sheetData>
      <sheetData sheetId="12"/>
      <sheetData sheetId="13"/>
      <sheetData sheetId="14"/>
      <sheetData sheetId="15"/>
      <sheetData sheetId="16"/>
      <sheetData sheetId="17"/>
      <sheetData sheetId="18"/>
      <sheetData sheetId="19"/>
      <sheetData sheetId="20"/>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79" t="s">
        <v>473</v>
      </c>
      <c r="D2" s="1980"/>
      <c r="E2" s="1980"/>
      <c r="F2" s="1980"/>
      <c r="G2" s="1980"/>
      <c r="H2" s="395"/>
      <c r="I2" s="1983" t="s">
        <v>962</v>
      </c>
      <c r="J2" s="1984"/>
      <c r="K2" s="1984"/>
    </row>
    <row r="3" spans="2:18" ht="10.5" customHeight="1" x14ac:dyDescent="0.25">
      <c r="B3" s="394"/>
      <c r="C3" s="393"/>
      <c r="D3" s="393"/>
      <c r="E3" s="393"/>
      <c r="F3" s="393"/>
      <c r="G3" s="393"/>
      <c r="H3" s="394"/>
      <c r="I3" s="394"/>
      <c r="J3" s="394"/>
      <c r="K3" s="394"/>
    </row>
    <row r="4" spans="2:18" ht="37.9" customHeight="1" x14ac:dyDescent="0.25">
      <c r="B4" s="396"/>
      <c r="C4" s="1981" t="s">
        <v>770</v>
      </c>
      <c r="D4" s="1982"/>
      <c r="E4" s="1982"/>
      <c r="F4" s="1982"/>
      <c r="G4" s="1982"/>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76" t="s">
        <v>497</v>
      </c>
      <c r="K6" s="1978"/>
      <c r="L6" s="1978"/>
      <c r="M6" s="1978"/>
      <c r="N6" s="1978"/>
      <c r="O6" s="1978"/>
      <c r="P6" s="1978"/>
      <c r="Q6" s="1978"/>
      <c r="R6" s="1978"/>
    </row>
    <row r="7" spans="2:18" ht="18" customHeight="1" x14ac:dyDescent="0.25">
      <c r="B7" s="71"/>
      <c r="I7" s="397"/>
      <c r="J7" s="1978"/>
      <c r="K7" s="1978"/>
      <c r="L7" s="1978"/>
      <c r="M7" s="1978"/>
      <c r="N7" s="1978"/>
      <c r="O7" s="1978"/>
      <c r="P7" s="1978"/>
      <c r="Q7" s="1978"/>
      <c r="R7" s="1978"/>
    </row>
    <row r="8" spans="2:18" ht="18" customHeight="1" x14ac:dyDescent="0.25">
      <c r="B8" s="71"/>
      <c r="I8" s="397"/>
      <c r="J8" s="72"/>
      <c r="K8" s="72"/>
      <c r="L8" s="72"/>
      <c r="M8" s="72"/>
      <c r="N8" s="72"/>
      <c r="O8" s="72"/>
      <c r="P8" s="72"/>
      <c r="Q8" s="72"/>
      <c r="R8" s="72"/>
    </row>
    <row r="9" spans="2:18" ht="22.9" customHeight="1" x14ac:dyDescent="0.25">
      <c r="B9" s="71"/>
      <c r="I9" s="105" t="s">
        <v>772</v>
      </c>
      <c r="J9" s="1976" t="s">
        <v>775</v>
      </c>
      <c r="K9" s="1978"/>
      <c r="L9" s="1978"/>
      <c r="M9" s="1978"/>
      <c r="N9" s="1978"/>
      <c r="O9" s="1978"/>
      <c r="P9" s="1978"/>
      <c r="Q9" s="1978"/>
      <c r="R9" s="1978"/>
    </row>
    <row r="10" spans="2:18" ht="22.9" customHeight="1" x14ac:dyDescent="0.25">
      <c r="B10" s="71"/>
      <c r="I10" s="397"/>
      <c r="J10" s="1978"/>
      <c r="K10" s="1978"/>
      <c r="L10" s="1978"/>
      <c r="M10" s="1978"/>
      <c r="N10" s="1978"/>
      <c r="O10" s="1978"/>
      <c r="P10" s="1978"/>
      <c r="Q10" s="1978"/>
      <c r="R10" s="1978"/>
    </row>
    <row r="11" spans="2:18" ht="22.9" customHeight="1" x14ac:dyDescent="0.25">
      <c r="I11" s="397"/>
      <c r="J11" s="1978"/>
      <c r="K11" s="1978"/>
      <c r="L11" s="1978"/>
      <c r="M11" s="1978"/>
      <c r="N11" s="1978"/>
      <c r="O11" s="1978"/>
      <c r="P11" s="1978"/>
      <c r="Q11" s="1978"/>
      <c r="R11" s="1978"/>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77" t="s">
        <v>776</v>
      </c>
      <c r="K13" s="1977"/>
      <c r="L13" s="1977"/>
      <c r="M13" s="1977"/>
      <c r="N13" s="1977"/>
      <c r="O13" s="1977"/>
      <c r="P13" s="1977"/>
      <c r="Q13" s="1977"/>
      <c r="R13" s="1977"/>
    </row>
    <row r="14" spans="2:18" ht="18" customHeight="1" x14ac:dyDescent="0.25">
      <c r="B14" s="71"/>
      <c r="C14" s="76"/>
      <c r="I14" s="397"/>
      <c r="J14" s="1977"/>
      <c r="K14" s="1977"/>
      <c r="L14" s="1977"/>
      <c r="M14" s="1977"/>
      <c r="N14" s="1977"/>
      <c r="O14" s="1977"/>
      <c r="P14" s="1977"/>
      <c r="Q14" s="1977"/>
      <c r="R14" s="1977"/>
    </row>
    <row r="15" spans="2:18" ht="18" customHeight="1" x14ac:dyDescent="0.25">
      <c r="B15" s="71"/>
      <c r="C15" s="76"/>
      <c r="I15" s="397"/>
      <c r="J15" s="1977"/>
      <c r="K15" s="1977"/>
      <c r="L15" s="1977"/>
      <c r="M15" s="1977"/>
      <c r="N15" s="1977"/>
      <c r="O15" s="1977"/>
      <c r="P15" s="1977"/>
      <c r="Q15" s="1977"/>
      <c r="R15" s="1977"/>
    </row>
    <row r="16" spans="2:18" ht="18" customHeight="1" x14ac:dyDescent="0.25">
      <c r="B16" s="71"/>
      <c r="C16" s="76"/>
      <c r="I16" s="397"/>
      <c r="J16" s="1977"/>
      <c r="K16" s="1977"/>
      <c r="L16" s="1977"/>
      <c r="M16" s="1977"/>
      <c r="N16" s="1977"/>
      <c r="O16" s="1977"/>
      <c r="P16" s="1977"/>
      <c r="Q16" s="1977"/>
      <c r="R16" s="1977"/>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76" t="s">
        <v>498</v>
      </c>
      <c r="K18" s="1976"/>
      <c r="L18" s="1976"/>
      <c r="M18" s="1976"/>
      <c r="N18" s="1976"/>
      <c r="O18" s="1976"/>
      <c r="P18" s="1976"/>
      <c r="Q18" s="1976"/>
      <c r="R18" s="1976"/>
    </row>
    <row r="19" spans="1:18" ht="18" customHeight="1" x14ac:dyDescent="0.25">
      <c r="B19" s="71"/>
      <c r="D19" s="76"/>
      <c r="E19" s="76"/>
      <c r="F19" s="76"/>
      <c r="G19" s="76"/>
      <c r="H19" s="76"/>
      <c r="I19" s="76"/>
      <c r="J19" s="1976"/>
      <c r="K19" s="1976"/>
      <c r="L19" s="1976"/>
      <c r="M19" s="1976"/>
      <c r="N19" s="1976"/>
      <c r="O19" s="1976"/>
      <c r="P19" s="1976"/>
      <c r="Q19" s="1976"/>
      <c r="R19" s="1976"/>
    </row>
    <row r="20" spans="1:18" ht="18" customHeight="1" x14ac:dyDescent="0.25">
      <c r="B20" s="71"/>
      <c r="C20" s="76"/>
      <c r="D20" s="76"/>
      <c r="E20" s="76"/>
      <c r="F20" s="76"/>
      <c r="G20" s="76"/>
      <c r="H20" s="76"/>
      <c r="I20" s="76"/>
      <c r="J20" s="1976"/>
      <c r="K20" s="1976"/>
      <c r="L20" s="1976"/>
      <c r="M20" s="1976"/>
      <c r="N20" s="1976"/>
      <c r="O20" s="1976"/>
      <c r="P20" s="1976"/>
      <c r="Q20" s="1976"/>
      <c r="R20" s="1976"/>
    </row>
    <row r="21" spans="1:18" ht="40.15" customHeight="1" x14ac:dyDescent="0.25">
      <c r="A21" s="496"/>
      <c r="B21" s="398"/>
      <c r="C21" s="399"/>
      <c r="D21" s="399"/>
      <c r="E21" s="399"/>
      <c r="F21" s="399"/>
      <c r="G21" s="402"/>
      <c r="I21" s="76"/>
      <c r="J21" s="1976"/>
      <c r="K21" s="1976"/>
      <c r="L21" s="1976"/>
      <c r="M21" s="1976"/>
      <c r="N21" s="1976"/>
      <c r="O21" s="1976"/>
      <c r="P21" s="1976"/>
      <c r="Q21" s="1976"/>
      <c r="R21" s="1976"/>
    </row>
    <row r="22" spans="1:18" ht="34.9" customHeight="1" x14ac:dyDescent="0.25">
      <c r="B22" s="73"/>
      <c r="C22" s="73"/>
      <c r="D22" s="73"/>
      <c r="E22" s="73"/>
      <c r="F22" s="73"/>
      <c r="G22" s="73"/>
      <c r="H22" s="73"/>
      <c r="I22" s="73"/>
      <c r="J22" s="1976"/>
      <c r="K22" s="1976"/>
      <c r="L22" s="1976"/>
      <c r="M22" s="1976"/>
      <c r="N22" s="1976"/>
      <c r="O22" s="1976"/>
      <c r="P22" s="1976"/>
      <c r="Q22" s="1976"/>
      <c r="R22" s="1976"/>
    </row>
    <row r="23" spans="1:18" ht="18" customHeight="1" x14ac:dyDescent="0.25">
      <c r="B23" s="73"/>
      <c r="C23" s="198" t="s">
        <v>499</v>
      </c>
      <c r="D23" s="497" t="s">
        <v>472</v>
      </c>
      <c r="E23" s="74"/>
      <c r="F23" s="73"/>
      <c r="G23" s="73"/>
      <c r="H23" s="73"/>
      <c r="J23" s="1976"/>
      <c r="K23" s="1976"/>
      <c r="L23" s="1976"/>
      <c r="M23" s="1976"/>
      <c r="N23" s="1976"/>
      <c r="O23" s="1976"/>
      <c r="P23" s="1976"/>
      <c r="Q23" s="1976"/>
      <c r="R23" s="1976"/>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5" sqref="C5"/>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2005" t="s">
        <v>1000</v>
      </c>
      <c r="E2" s="2006"/>
      <c r="F2" s="2007"/>
      <c r="G2" s="414"/>
      <c r="H2" s="2008" t="s">
        <v>5</v>
      </c>
      <c r="I2" s="2009"/>
      <c r="J2" s="2010"/>
      <c r="K2" s="414"/>
      <c r="L2" s="414"/>
      <c r="M2" s="414"/>
      <c r="N2" s="414"/>
      <c r="O2" s="939"/>
      <c r="P2" s="939" t="s">
        <v>6</v>
      </c>
      <c r="Q2" s="939"/>
      <c r="R2" s="939"/>
      <c r="S2" s="939"/>
      <c r="T2" s="939"/>
      <c r="U2" s="939"/>
      <c r="V2" s="3"/>
      <c r="W2" s="3"/>
      <c r="X2" s="3"/>
      <c r="Y2" s="3"/>
    </row>
    <row r="3" spans="1:25" ht="18" customHeight="1" x14ac:dyDescent="0.25">
      <c r="B3" s="414"/>
      <c r="C3" s="504" t="s">
        <v>486</v>
      </c>
      <c r="D3" s="2005" t="s">
        <v>1001</v>
      </c>
      <c r="E3" s="2006"/>
      <c r="F3" s="2007"/>
      <c r="G3" s="414"/>
      <c r="H3" s="2011"/>
      <c r="I3" s="2012"/>
      <c r="J3" s="2013"/>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1994" t="s">
        <v>473</v>
      </c>
      <c r="M4" s="1995"/>
      <c r="N4" s="1995"/>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1996" t="str">
        <f>Apresentação!I2</f>
        <v>RC-RSU V.1.0 - 15/10/2020</v>
      </c>
      <c r="M5" s="1996"/>
      <c r="N5" s="1996"/>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1096</v>
      </c>
      <c r="G8" s="502" t="s">
        <v>1097</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0.75316389575239862</v>
      </c>
      <c r="F9" s="574">
        <f>(E10)*1000/E8</f>
        <v>0.60739023850999885</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'[1]Coef. Algoritmos'!$T$3</f>
        <v>250</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250</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01" t="s">
        <v>931</v>
      </c>
      <c r="D16" s="2002"/>
      <c r="E16" s="2002"/>
      <c r="F16" s="2002"/>
      <c r="G16" s="2002"/>
      <c r="H16" s="2002"/>
      <c r="I16" s="2002"/>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2014" t="s">
        <v>16</v>
      </c>
      <c r="D23" s="2016" t="s">
        <v>736</v>
      </c>
      <c r="E23" s="1990"/>
      <c r="F23" s="1990"/>
      <c r="G23" s="1989" t="s">
        <v>830</v>
      </c>
      <c r="H23" s="1989" t="s">
        <v>17</v>
      </c>
      <c r="I23" s="1990"/>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1990"/>
      <c r="D24" s="2015" t="s">
        <v>18</v>
      </c>
      <c r="E24" s="2015" t="s">
        <v>19</v>
      </c>
      <c r="F24" s="2015" t="s">
        <v>20</v>
      </c>
      <c r="G24" s="1990"/>
      <c r="H24" s="1990"/>
      <c r="I24" s="1990"/>
      <c r="J24" s="502"/>
      <c r="K24" s="519"/>
      <c r="L24" s="502"/>
      <c r="M24" s="502"/>
      <c r="N24" s="414"/>
      <c r="O24" s="939"/>
      <c r="P24" s="939"/>
      <c r="Q24" s="939"/>
      <c r="R24" s="939"/>
      <c r="S24" s="939"/>
      <c r="T24" s="939"/>
      <c r="U24" s="939"/>
      <c r="V24" s="3"/>
      <c r="W24" s="7"/>
      <c r="X24" s="7"/>
      <c r="Y24" s="7"/>
    </row>
    <row r="25" spans="1:25" ht="30.4" customHeight="1" x14ac:dyDescent="0.25">
      <c r="B25" s="414"/>
      <c r="C25" s="1990"/>
      <c r="D25" s="1990"/>
      <c r="E25" s="1990"/>
      <c r="F25" s="1990"/>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121</v>
      </c>
      <c r="H26" s="1997">
        <f>E26+E27</f>
        <v>51.4</v>
      </c>
      <c r="I26" s="1999"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7.5</v>
      </c>
      <c r="H27" s="1998"/>
      <c r="I27" s="2000"/>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32.75</v>
      </c>
      <c r="H28" s="1997">
        <f>SUM(E28:E33)</f>
        <v>31.900000000000002</v>
      </c>
      <c r="I28" s="1999"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22.25</v>
      </c>
      <c r="H29" s="1998"/>
      <c r="I29" s="2000"/>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11.5</v>
      </c>
      <c r="H30" s="1998"/>
      <c r="I30" s="2000"/>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6</v>
      </c>
      <c r="H31" s="1998"/>
      <c r="I31" s="2000"/>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5.75</v>
      </c>
      <c r="H32" s="1998"/>
      <c r="I32" s="2000"/>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1.5</v>
      </c>
      <c r="H33" s="1998"/>
      <c r="I33" s="2000"/>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11.125</v>
      </c>
      <c r="H34" s="1997">
        <f>SUM(E34:E37)</f>
        <v>10.14</v>
      </c>
      <c r="I34" s="2004"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2.4</v>
      </c>
      <c r="H35" s="1998"/>
      <c r="I35" s="2000"/>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10</v>
      </c>
      <c r="H36" s="1998"/>
      <c r="I36" s="2000"/>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1.825</v>
      </c>
      <c r="H37" s="1998"/>
      <c r="I37" s="2000"/>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1997">
        <f>SUM(E38:E39)</f>
        <v>6.5600000000000023</v>
      </c>
      <c r="I38" s="2004"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16.400000000000006</v>
      </c>
      <c r="H39" s="1998"/>
      <c r="I39" s="2000"/>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250</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250</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250</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1991" t="s">
        <v>48</v>
      </c>
      <c r="D51" s="1987" t="s">
        <v>508</v>
      </c>
      <c r="E51" s="1988"/>
      <c r="F51" s="1988"/>
      <c r="G51" s="1988"/>
      <c r="H51" s="1988"/>
      <c r="I51" s="1988"/>
      <c r="J51" s="1988"/>
      <c r="K51" s="1988"/>
      <c r="L51" s="1988"/>
      <c r="M51" s="1988"/>
      <c r="N51" s="1988"/>
      <c r="O51" s="939"/>
      <c r="P51" s="939"/>
      <c r="Q51" s="939"/>
      <c r="R51" s="939"/>
      <c r="S51" s="939"/>
      <c r="T51" s="939"/>
      <c r="U51" s="939"/>
      <c r="V51" s="3"/>
      <c r="W51" s="3"/>
      <c r="X51" s="3"/>
      <c r="Y51" s="3"/>
    </row>
    <row r="52" spans="1:25" ht="18" customHeight="1" x14ac:dyDescent="0.25">
      <c r="B52" s="414"/>
      <c r="C52" s="1992"/>
      <c r="D52" s="1985" t="s">
        <v>25</v>
      </c>
      <c r="E52" s="1992"/>
      <c r="F52" s="1993" t="s">
        <v>49</v>
      </c>
      <c r="G52" s="1985" t="s">
        <v>475</v>
      </c>
      <c r="H52" s="1992"/>
      <c r="I52" s="1985" t="s">
        <v>476</v>
      </c>
      <c r="J52" s="1985" t="s">
        <v>52</v>
      </c>
      <c r="K52" s="1992"/>
      <c r="L52" s="1985" t="s">
        <v>477</v>
      </c>
      <c r="M52" s="1986"/>
      <c r="N52" s="2003" t="s">
        <v>53</v>
      </c>
      <c r="O52" s="939"/>
      <c r="P52" s="939"/>
      <c r="Q52" s="939"/>
      <c r="R52" s="939"/>
      <c r="S52" s="939"/>
      <c r="T52" s="939"/>
      <c r="U52" s="939"/>
      <c r="V52" s="3"/>
      <c r="W52" s="3"/>
      <c r="X52" s="3"/>
      <c r="Y52" s="3"/>
    </row>
    <row r="53" spans="1:25" ht="31.15" customHeight="1" x14ac:dyDescent="0.25">
      <c r="B53" s="414"/>
      <c r="C53" s="1992"/>
      <c r="D53" s="476" t="s">
        <v>54</v>
      </c>
      <c r="E53" s="476" t="s">
        <v>55</v>
      </c>
      <c r="F53" s="1992"/>
      <c r="G53" s="476" t="s">
        <v>56</v>
      </c>
      <c r="H53" s="476" t="s">
        <v>57</v>
      </c>
      <c r="I53" s="1992"/>
      <c r="J53" s="476" t="s">
        <v>58</v>
      </c>
      <c r="K53" s="476" t="s">
        <v>510</v>
      </c>
      <c r="L53" s="476" t="s">
        <v>478</v>
      </c>
      <c r="M53" s="477" t="s">
        <v>509</v>
      </c>
      <c r="N53" s="1992"/>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121</v>
      </c>
      <c r="E56" s="97">
        <f>G27-E55</f>
        <v>7.5</v>
      </c>
      <c r="F56" s="97">
        <f>G28-F54</f>
        <v>32.75</v>
      </c>
      <c r="G56" s="97">
        <f>G29-G54</f>
        <v>22.25</v>
      </c>
      <c r="H56" s="97">
        <f>G30-H54</f>
        <v>11.5</v>
      </c>
      <c r="I56" s="97">
        <f>G31-I54</f>
        <v>6</v>
      </c>
      <c r="J56" s="97">
        <f>G32-J54</f>
        <v>5.75</v>
      </c>
      <c r="K56" s="97">
        <f>G33-K54</f>
        <v>1.5</v>
      </c>
      <c r="L56" s="97">
        <f>SUM(G34:G37)</f>
        <v>25.349999999999998</v>
      </c>
      <c r="M56" s="97">
        <f>SUM(G38:G39)</f>
        <v>16.400000000000006</v>
      </c>
      <c r="N56" s="97">
        <f>SUM(D56:M56)</f>
        <v>250</v>
      </c>
      <c r="O56" s="939"/>
      <c r="P56" s="939"/>
      <c r="Q56" s="939"/>
      <c r="R56" s="939"/>
      <c r="S56" s="939"/>
      <c r="T56" s="939"/>
      <c r="U56" s="939"/>
      <c r="V56" s="3"/>
      <c r="W56" s="3"/>
      <c r="X56" s="3"/>
      <c r="Y56" s="3"/>
    </row>
    <row r="57" spans="1:25" ht="18" customHeight="1" x14ac:dyDescent="0.25">
      <c r="B57" s="414"/>
      <c r="C57" s="223" t="s">
        <v>53</v>
      </c>
      <c r="D57" s="97">
        <f>SUM(D55:D56)</f>
        <v>121</v>
      </c>
      <c r="E57" s="97">
        <f>SUM(E55:E56)</f>
        <v>7.5</v>
      </c>
      <c r="F57" s="97">
        <f t="shared" ref="F57:L57" si="2">SUM(F54:F56)</f>
        <v>32.75</v>
      </c>
      <c r="G57" s="97">
        <f t="shared" si="2"/>
        <v>22.25</v>
      </c>
      <c r="H57" s="97">
        <f t="shared" si="2"/>
        <v>11.5</v>
      </c>
      <c r="I57" s="97">
        <f t="shared" si="2"/>
        <v>6</v>
      </c>
      <c r="J57" s="97">
        <f t="shared" si="2"/>
        <v>5.75</v>
      </c>
      <c r="K57" s="97">
        <f t="shared" si="2"/>
        <v>1.5</v>
      </c>
      <c r="L57" s="97">
        <f t="shared" si="2"/>
        <v>25.349999999999998</v>
      </c>
      <c r="M57" s="97">
        <f>M56</f>
        <v>16.400000000000006</v>
      </c>
      <c r="N57" s="97">
        <f>SUM(N54:N56)</f>
        <v>250</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28" t="str">
        <f>IF('R-Entrada'!D2&lt;&gt;0,'R-Entrada'!D2,"")</f>
        <v>CIRSOP - Consórcio RSU Oeste Paulista</v>
      </c>
      <c r="E2" s="2029"/>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28" t="str">
        <f>IF('R-Entrada'!D3&lt;&gt;0,'R-Entrada'!D3,"")</f>
        <v>Biodigestão c/ Prod. E. Elétrica</v>
      </c>
      <c r="E3" s="2029"/>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2008" t="s">
        <v>737</v>
      </c>
      <c r="G5" s="2017"/>
      <c r="H5" s="2018"/>
      <c r="I5" s="414"/>
      <c r="J5" s="125"/>
      <c r="K5" s="556" t="s">
        <v>725</v>
      </c>
      <c r="L5" s="414"/>
      <c r="M5" s="414"/>
      <c r="N5" s="1994" t="s">
        <v>473</v>
      </c>
      <c r="O5" s="2026"/>
      <c r="P5" s="2026"/>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19"/>
      <c r="G6" s="2020"/>
      <c r="H6" s="2021"/>
      <c r="I6" s="505"/>
      <c r="J6" s="672"/>
      <c r="K6" s="556" t="s">
        <v>726</v>
      </c>
      <c r="L6" s="414"/>
      <c r="M6" s="414"/>
      <c r="N6" s="1996" t="str">
        <f>Apresentação!I2</f>
        <v>RC-RSU V.1.0 - 15/10/2020</v>
      </c>
      <c r="O6" s="1996"/>
      <c r="P6" s="1996"/>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27" t="s">
        <v>511</v>
      </c>
      <c r="C8" s="2027"/>
      <c r="D8" s="2027"/>
      <c r="E8" s="2027"/>
      <c r="F8" s="2027"/>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1989" t="s">
        <v>48</v>
      </c>
      <c r="D10" s="2016" t="s">
        <v>508</v>
      </c>
      <c r="E10" s="1990"/>
      <c r="F10" s="1990"/>
      <c r="G10" s="1990"/>
      <c r="H10" s="1990"/>
      <c r="I10" s="1990"/>
      <c r="J10" s="1990"/>
      <c r="K10" s="1990"/>
      <c r="L10" s="1990"/>
      <c r="M10" s="1990"/>
      <c r="N10" s="1990"/>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1990"/>
      <c r="D11" s="2016" t="s">
        <v>25</v>
      </c>
      <c r="E11" s="1990"/>
      <c r="F11" s="1989" t="s">
        <v>49</v>
      </c>
      <c r="G11" s="2016" t="s">
        <v>475</v>
      </c>
      <c r="H11" s="1990"/>
      <c r="I11" s="2016" t="s">
        <v>476</v>
      </c>
      <c r="J11" s="2016" t="s">
        <v>52</v>
      </c>
      <c r="K11" s="1990"/>
      <c r="L11" s="2016" t="s">
        <v>477</v>
      </c>
      <c r="M11" s="1990"/>
      <c r="N11" s="2044"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1990"/>
      <c r="D12" s="480" t="s">
        <v>54</v>
      </c>
      <c r="E12" s="480" t="s">
        <v>55</v>
      </c>
      <c r="F12" s="1990"/>
      <c r="G12" s="480" t="s">
        <v>56</v>
      </c>
      <c r="H12" s="480" t="s">
        <v>57</v>
      </c>
      <c r="I12" s="1990"/>
      <c r="J12" s="480" t="s">
        <v>58</v>
      </c>
      <c r="K12" s="480" t="s">
        <v>510</v>
      </c>
      <c r="L12" s="480" t="s">
        <v>478</v>
      </c>
      <c r="M12" s="474" t="s">
        <v>509</v>
      </c>
      <c r="N12" s="1990"/>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121</v>
      </c>
      <c r="E15" s="115">
        <f>'R-Entrada'!E56</f>
        <v>7.5</v>
      </c>
      <c r="F15" s="115">
        <f>'R-Entrada'!F56</f>
        <v>32.75</v>
      </c>
      <c r="G15" s="115">
        <f>'R-Entrada'!G56</f>
        <v>22.25</v>
      </c>
      <c r="H15" s="115">
        <f>'R-Entrada'!H56</f>
        <v>11.5</v>
      </c>
      <c r="I15" s="115">
        <f>'R-Entrada'!I56</f>
        <v>6</v>
      </c>
      <c r="J15" s="115">
        <f>'R-Entrada'!J56</f>
        <v>5.75</v>
      </c>
      <c r="K15" s="115">
        <f>'R-Entrada'!K56</f>
        <v>1.5</v>
      </c>
      <c r="L15" s="115">
        <f>'R-Entrada'!L56</f>
        <v>25.349999999999998</v>
      </c>
      <c r="M15" s="115">
        <f>'R-Entrada'!M56</f>
        <v>16.400000000000006</v>
      </c>
      <c r="N15" s="92">
        <f>SUM(D15:M15)</f>
        <v>250</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121</v>
      </c>
      <c r="E16" s="147">
        <f>SUM(E14:E15)</f>
        <v>7.5</v>
      </c>
      <c r="F16" s="147">
        <f t="shared" ref="F16:L16" si="0">SUM(F13:F15)</f>
        <v>32.75</v>
      </c>
      <c r="G16" s="147">
        <f t="shared" si="0"/>
        <v>22.25</v>
      </c>
      <c r="H16" s="147">
        <f t="shared" si="0"/>
        <v>11.5</v>
      </c>
      <c r="I16" s="147">
        <f t="shared" si="0"/>
        <v>6</v>
      </c>
      <c r="J16" s="147">
        <f t="shared" si="0"/>
        <v>5.75</v>
      </c>
      <c r="K16" s="147">
        <f t="shared" si="0"/>
        <v>1.5</v>
      </c>
      <c r="L16" s="147">
        <f t="shared" si="0"/>
        <v>25.349999999999998</v>
      </c>
      <c r="M16" s="147">
        <f>M15</f>
        <v>16.400000000000006</v>
      </c>
      <c r="N16" s="92">
        <f>SUM(N13:N15)</f>
        <v>250</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1.0234375</v>
      </c>
      <c r="M24" s="108">
        <f>IF($E$28="Sim",F$13*'R-Avançado'!$H$11/100*$E$29/$N$13,0)</f>
        <v>0</v>
      </c>
      <c r="N24" s="108">
        <f>IF($E$32="Sim",F$13*'R-Avançado'!$G$11/100*$E$33/$N$13,0)</f>
        <v>0</v>
      </c>
      <c r="O24" s="600">
        <f>IF(AND($I$25&gt;0,$I$24="Sim"),$I$27/$N$15*F$15*'R-Avançado'!$F$11/100,0)</f>
        <v>1.0234375</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250</v>
      </c>
      <c r="J25" s="563"/>
      <c r="K25" s="597" t="s">
        <v>29</v>
      </c>
      <c r="L25" s="107">
        <f t="shared" si="1"/>
        <v>0.6953125</v>
      </c>
      <c r="M25" s="108">
        <f>IF($E$28="Sim",G$13*'R-Avançado'!$H$11/100*$E$29/$N$13,0)</f>
        <v>0</v>
      </c>
      <c r="N25" s="108">
        <f>IF($E$32="Sim",G$13*'R-Avançado'!$G$11/100*$E$33/$N$13,0)</f>
        <v>0</v>
      </c>
      <c r="O25" s="600">
        <f>IF(AND($I$25&gt;0,$I$24="Sim"),$I$27/$N$15*G$15*'R-Avançado'!$F$11/100,0)</f>
        <v>0.6953125</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12.5</v>
      </c>
      <c r="J26" s="2023" t="str">
        <f>IF(AND(I24="Sim",I27&lt;&gt;0,I27&lt;50),"Mín. é 50 t/d. Rever Célula I26","")</f>
        <v>Mín. é 50 t/d. Rever Célula I26</v>
      </c>
      <c r="K26" s="597" t="s">
        <v>78</v>
      </c>
      <c r="L26" s="107">
        <f t="shared" si="1"/>
        <v>0.359375</v>
      </c>
      <c r="M26" s="108">
        <f>IF($E$28="Sim",H$13*'R-Avançado'!$H$11/100*$E$29/$N$13,0)</f>
        <v>0</v>
      </c>
      <c r="N26" s="108">
        <f>IF($E$32="Sim",H$13*'R-Avançado'!$G$11/100*$E$33/$N$13,0)</f>
        <v>0</v>
      </c>
      <c r="O26" s="600">
        <f>IF(AND($I$25&gt;0,$I$24="Sim"),$I$27/$N$15*H$15*'R-Avançado'!$F$11/100,0)</f>
        <v>0.359375</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31.25</v>
      </c>
      <c r="J27" s="2024"/>
      <c r="K27" s="597" t="s">
        <v>31</v>
      </c>
      <c r="L27" s="107">
        <f t="shared" si="1"/>
        <v>0.1875</v>
      </c>
      <c r="M27" s="108">
        <f>IF($E$28="Sim",I$13*'R-Avançado'!$H$11/100*$E$29/$N$13,0)</f>
        <v>0</v>
      </c>
      <c r="N27" s="108">
        <f>IF($E$32="Sim",I$13*'R-Avançado'!$G$11/100*$E$33/$N$13,0)</f>
        <v>0</v>
      </c>
      <c r="O27" s="600">
        <f>IF(AND($I$25&gt;0,$I$24="Sim"),$I$27/$N$15*I$15*'R-Avançado'!$F$11/100,0)</f>
        <v>0.1875</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23" t="str">
        <f>IF(E29&gt;100,"Máx. é 100 t/d. Rever Célula E25","")</f>
        <v/>
      </c>
      <c r="G28" s="612"/>
      <c r="H28" s="566" t="s">
        <v>81</v>
      </c>
      <c r="I28" s="915" t="s">
        <v>64</v>
      </c>
      <c r="J28" s="503"/>
      <c r="K28" s="597" t="s">
        <v>32</v>
      </c>
      <c r="L28" s="107">
        <f t="shared" si="1"/>
        <v>0.1796875</v>
      </c>
      <c r="M28" s="108">
        <f>IF($E$28="Sim",J$13*'R-Avançado'!$H$11/100*$E$29/$N$13,0)</f>
        <v>0</v>
      </c>
      <c r="N28" s="108">
        <f>IF($E$32="Sim",J$13*'R-Avançado'!$G$11/100*$E$33/$N$13,0)</f>
        <v>0</v>
      </c>
      <c r="O28" s="600">
        <f>IF(AND($I$25&gt;0,$I$24="Sim"),$I$27/$N$15*J$15*'R-Avançado'!$F$11/100,0)</f>
        <v>0.1796875</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24"/>
      <c r="G29" s="612"/>
      <c r="H29" s="566" t="s">
        <v>83</v>
      </c>
      <c r="I29" s="915" t="s">
        <v>64</v>
      </c>
      <c r="J29" s="503"/>
      <c r="K29" s="597" t="s">
        <v>84</v>
      </c>
      <c r="L29" s="107">
        <f t="shared" si="1"/>
        <v>4.6875E-2</v>
      </c>
      <c r="M29" s="108">
        <f>IF($E$28="Sim",K$13*'R-Avançado'!$H$11/100*$E$29/$N$13,0)</f>
        <v>0</v>
      </c>
      <c r="N29" s="108">
        <f>IF($E$32="Sim",K$13*'R-Avançado'!$G$11/100*$E$33/$N$13,0)</f>
        <v>0</v>
      </c>
      <c r="O29" s="600">
        <f>IF(AND($I$25&gt;0,$I$24="Sim"),$I$27/$N$15*K$15*'R-Avançado'!$F$11/100,0)</f>
        <v>4.6875E-2</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24"/>
      <c r="G30" s="414"/>
      <c r="H30" s="414"/>
      <c r="I30" s="414"/>
      <c r="J30" s="574"/>
      <c r="K30" s="598" t="s">
        <v>513</v>
      </c>
      <c r="L30" s="109">
        <f>SUM(L24:L29)</f>
        <v>2.4921875</v>
      </c>
      <c r="M30" s="190">
        <f>SUM(M24:M29)</f>
        <v>0</v>
      </c>
      <c r="N30" s="190">
        <f>SUM(N24:N29)</f>
        <v>0</v>
      </c>
      <c r="O30" s="601">
        <f>SUM(O24:O29)</f>
        <v>2.4921875</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32" t="s">
        <v>85</v>
      </c>
      <c r="H31" s="2033"/>
      <c r="I31" s="2034"/>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23" t="str">
        <f>IF(AND(E24&gt;0,E33&lt;50,E33&gt;0),"Mín. é 50 t/d. Rever Célula E25","")</f>
        <v/>
      </c>
      <c r="G32" s="603"/>
      <c r="H32" s="566" t="s">
        <v>92</v>
      </c>
      <c r="I32" s="703" t="s">
        <v>89</v>
      </c>
      <c r="J32" s="414"/>
      <c r="K32" s="223" t="s">
        <v>780</v>
      </c>
      <c r="L32" s="92">
        <f>O32+O33</f>
        <v>13.653124999999999</v>
      </c>
      <c r="M32" s="616"/>
      <c r="N32" s="943" t="s">
        <v>54</v>
      </c>
      <c r="O32" s="941">
        <f>IF(AND($I$25&gt;0,$I$24="Sim"),I27/N15*D15*'R-Avançado'!E11/100,0)</f>
        <v>12.856249999999999</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24"/>
      <c r="G33" s="603"/>
      <c r="H33" s="566" t="s">
        <v>93</v>
      </c>
      <c r="I33" s="703" t="s">
        <v>89</v>
      </c>
      <c r="J33" s="414"/>
      <c r="K33" s="223" t="s">
        <v>781</v>
      </c>
      <c r="L33" s="92">
        <f>'R-Entrada'!E45</f>
        <v>0</v>
      </c>
      <c r="M33" s="617"/>
      <c r="N33" s="943" t="s">
        <v>55</v>
      </c>
      <c r="O33" s="941">
        <f>IF(AND($I$25&gt;0,$I$24="Sim"),I27/N15*E15*'R-Avançado'!E11/100,0)</f>
        <v>0.796875</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24"/>
      <c r="G34" s="613"/>
      <c r="H34" s="566" t="s">
        <v>960</v>
      </c>
      <c r="I34" s="914" t="s">
        <v>89</v>
      </c>
      <c r="J34" s="414"/>
      <c r="K34" s="614" t="s">
        <v>818</v>
      </c>
      <c r="L34" s="92">
        <f>SUM(M34:O34)</f>
        <v>11.8125</v>
      </c>
      <c r="M34" s="92">
        <f>IF(E28="Sim",E29*(1-'R-Avançado'!H11/100)*0.9,0)</f>
        <v>0</v>
      </c>
      <c r="N34" s="942">
        <f>IF(E32="Sim",E33*(1-'R-Avançado'!G11/100)*0.9,0)</f>
        <v>0</v>
      </c>
      <c r="O34" s="92">
        <f>D43+E43+F43+G43+H43+L43</f>
        <v>11.8125</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3.2921875000000007</v>
      </c>
      <c r="M35" s="92">
        <f>IF(E28="Sim",E29*(1-'R-Avançado'!H11/100)*0.1,0)</f>
        <v>0</v>
      </c>
      <c r="N35" s="92">
        <f>IF(E32="Sim",E33*(1-'R-Avançado'!G11/100)*0.1,0)</f>
        <v>0</v>
      </c>
      <c r="O35" s="92">
        <f>M43+K43+J43+I43</f>
        <v>3.2921875000000007</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1985" t="s">
        <v>514</v>
      </c>
      <c r="E38" s="1992"/>
      <c r="F38" s="1992"/>
      <c r="G38" s="1992"/>
      <c r="H38" s="1992"/>
      <c r="I38" s="1992"/>
      <c r="J38" s="1992"/>
      <c r="K38" s="1992"/>
      <c r="L38" s="1992"/>
      <c r="M38" s="1992"/>
      <c r="N38" s="1992"/>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1985" t="s">
        <v>25</v>
      </c>
      <c r="E39" s="2022"/>
      <c r="F39" s="1993" t="s">
        <v>49</v>
      </c>
      <c r="G39" s="1985" t="s">
        <v>475</v>
      </c>
      <c r="H39" s="2022"/>
      <c r="I39" s="1985" t="s">
        <v>51</v>
      </c>
      <c r="J39" s="1985" t="s">
        <v>52</v>
      </c>
      <c r="K39" s="2022"/>
      <c r="L39" s="1985" t="s">
        <v>477</v>
      </c>
      <c r="M39" s="2022"/>
      <c r="N39" s="2003"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25"/>
      <c r="G40" s="476" t="s">
        <v>56</v>
      </c>
      <c r="H40" s="476" t="s">
        <v>57</v>
      </c>
      <c r="I40" s="2022"/>
      <c r="J40" s="476" t="s">
        <v>58</v>
      </c>
      <c r="K40" s="476" t="s">
        <v>510</v>
      </c>
      <c r="L40" s="476" t="s">
        <v>478</v>
      </c>
      <c r="M40" s="477" t="s">
        <v>509</v>
      </c>
      <c r="N40" s="2022"/>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15.125</v>
      </c>
      <c r="E41" s="114">
        <f t="shared" si="2"/>
        <v>0.9375</v>
      </c>
      <c r="F41" s="114">
        <f t="shared" si="2"/>
        <v>4.09375</v>
      </c>
      <c r="G41" s="114">
        <f t="shared" si="2"/>
        <v>2.78125</v>
      </c>
      <c r="H41" s="114">
        <f t="shared" si="2"/>
        <v>1.4375</v>
      </c>
      <c r="I41" s="114">
        <f t="shared" si="2"/>
        <v>0.75</v>
      </c>
      <c r="J41" s="114">
        <f t="shared" si="2"/>
        <v>0.71875</v>
      </c>
      <c r="K41" s="114">
        <f t="shared" si="2"/>
        <v>0.1875</v>
      </c>
      <c r="L41" s="114">
        <f t="shared" si="2"/>
        <v>3.1687499999999997</v>
      </c>
      <c r="M41" s="114">
        <f t="shared" si="2"/>
        <v>2.0500000000000007</v>
      </c>
      <c r="N41" s="92">
        <f>SUM(D41:M41)</f>
        <v>31.25</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12.856249999999999</v>
      </c>
      <c r="E42" s="114">
        <f>O33</f>
        <v>0.796875</v>
      </c>
      <c r="F42" s="114">
        <f>O24</f>
        <v>1.0234375</v>
      </c>
      <c r="G42" s="114">
        <f>O25</f>
        <v>0.6953125</v>
      </c>
      <c r="H42" s="114">
        <f>O26</f>
        <v>0.359375</v>
      </c>
      <c r="I42" s="114">
        <f>O27</f>
        <v>0.1875</v>
      </c>
      <c r="J42" s="114">
        <f>O28</f>
        <v>0.1796875</v>
      </c>
      <c r="K42" s="114">
        <f>O29</f>
        <v>4.6875E-2</v>
      </c>
      <c r="L42" s="114">
        <v>0</v>
      </c>
      <c r="M42" s="114">
        <v>0</v>
      </c>
      <c r="N42" s="92">
        <f>SUM(D42:M42)</f>
        <v>16.145312499999999</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2.2687500000000007</v>
      </c>
      <c r="E43" s="115">
        <f t="shared" si="3"/>
        <v>0.140625</v>
      </c>
      <c r="F43" s="115">
        <f t="shared" si="3"/>
        <v>3.0703125</v>
      </c>
      <c r="G43" s="115">
        <f t="shared" si="3"/>
        <v>2.0859375</v>
      </c>
      <c r="H43" s="115">
        <f t="shared" si="3"/>
        <v>1.078125</v>
      </c>
      <c r="I43" s="115">
        <f t="shared" si="3"/>
        <v>0.5625</v>
      </c>
      <c r="J43" s="115">
        <f t="shared" si="3"/>
        <v>0.5390625</v>
      </c>
      <c r="K43" s="115">
        <f t="shared" si="3"/>
        <v>0.140625</v>
      </c>
      <c r="L43" s="115">
        <f t="shared" si="3"/>
        <v>3.1687499999999997</v>
      </c>
      <c r="M43" s="115">
        <f t="shared" si="3"/>
        <v>2.0500000000000007</v>
      </c>
      <c r="N43" s="92">
        <f>SUM(D43:M43)</f>
        <v>15.104687500000001</v>
      </c>
      <c r="O43" s="520"/>
      <c r="P43" s="469"/>
      <c r="Q43" s="516"/>
      <c r="R43" s="516"/>
      <c r="S43" s="516" t="s">
        <v>62</v>
      </c>
      <c r="T43" s="516">
        <f>IF($I$28="CDR",O34,0)</f>
        <v>0</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105.875</v>
      </c>
      <c r="E44" s="92">
        <f t="shared" si="4"/>
        <v>6.5625</v>
      </c>
      <c r="F44" s="92">
        <f t="shared" si="4"/>
        <v>28.65625</v>
      </c>
      <c r="G44" s="92">
        <f t="shared" si="4"/>
        <v>19.46875</v>
      </c>
      <c r="H44" s="92">
        <f t="shared" si="4"/>
        <v>10.0625</v>
      </c>
      <c r="I44" s="92">
        <f t="shared" si="4"/>
        <v>5.25</v>
      </c>
      <c r="J44" s="92">
        <f t="shared" si="4"/>
        <v>5.03125</v>
      </c>
      <c r="K44" s="92">
        <f t="shared" si="4"/>
        <v>1.3125</v>
      </c>
      <c r="L44" s="92">
        <f t="shared" si="4"/>
        <v>22.181249999999999</v>
      </c>
      <c r="M44" s="92">
        <f t="shared" si="4"/>
        <v>14.350000000000005</v>
      </c>
      <c r="N44" s="92">
        <f>SUM(D44:M44)</f>
        <v>218.75</v>
      </c>
      <c r="O44" s="520"/>
      <c r="P44" s="469"/>
      <c r="Q44" s="516"/>
      <c r="R44" s="516" t="s">
        <v>99</v>
      </c>
      <c r="S44" s="516" t="s">
        <v>64</v>
      </c>
      <c r="T44" s="516">
        <f>IF($I$28="Incineração",O34+O35,0)</f>
        <v>15.104687500000001</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0</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0</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0</v>
      </c>
      <c r="F51" s="414"/>
      <c r="G51" s="86"/>
      <c r="H51" s="111" t="s">
        <v>520</v>
      </c>
      <c r="I51" s="92">
        <f>IF(E52=0,I49,0)</f>
        <v>0</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0</v>
      </c>
      <c r="F52" s="414"/>
      <c r="G52" s="86"/>
      <c r="H52" s="111" t="s">
        <v>521</v>
      </c>
      <c r="I52" s="92">
        <f>IF(E52&gt;0,I49,0)</f>
        <v>0</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0</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0</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0</v>
      </c>
      <c r="F59" s="337" t="str">
        <f>IF(E59&gt;0,E59/E60,"")</f>
        <v/>
      </c>
      <c r="G59" s="413"/>
      <c r="H59" s="125"/>
      <c r="I59" s="111" t="s">
        <v>110</v>
      </c>
      <c r="J59" s="124">
        <v>100</v>
      </c>
      <c r="K59" s="625" t="str">
        <f>IF(J59&lt;&gt;0,"&gt;&gt;&gt;&gt;","")</f>
        <v>&gt;&gt;&gt;&gt;</v>
      </c>
      <c r="L59" s="626">
        <f>IF(J59&gt;0,J59/100*E60,"")</f>
        <v>0</v>
      </c>
      <c r="M59" s="615" t="str">
        <f>IF(J59&gt;0,"t/d","")</f>
        <v>t/d</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0</v>
      </c>
      <c r="F60" s="339" t="str">
        <f>IF(E60&gt;0,E60/E60,"")</f>
        <v/>
      </c>
      <c r="G60" s="413"/>
      <c r="H60" s="125"/>
      <c r="I60" s="111" t="s">
        <v>112</v>
      </c>
      <c r="J60" s="124">
        <v>0</v>
      </c>
      <c r="K60" s="415" t="str">
        <f>IF(J60&lt;&gt;0,"&gt;&gt;&gt;&gt;","")</f>
        <v/>
      </c>
      <c r="L60" s="623" t="str">
        <f>IF(J60&gt;0,J60/100*E60,"")</f>
        <v/>
      </c>
      <c r="M60" s="416" t="str">
        <f>IF(J60&gt;0,"t/d","")</f>
        <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30" t="s">
        <v>113</v>
      </c>
      <c r="O61" s="2031"/>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0</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0</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39" t="s">
        <v>126</v>
      </c>
      <c r="J72" s="2040"/>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0</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0</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37" t="s">
        <v>533</v>
      </c>
      <c r="E77" s="2038"/>
      <c r="F77" s="2038"/>
      <c r="G77" s="2038"/>
      <c r="H77" s="2038"/>
      <c r="I77" s="2038"/>
      <c r="J77" s="2038"/>
      <c r="K77" s="2038"/>
      <c r="L77" s="2038"/>
      <c r="M77" s="2038"/>
      <c r="N77" s="2038"/>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37" t="s">
        <v>25</v>
      </c>
      <c r="E78" s="2038"/>
      <c r="F78" s="2042" t="s">
        <v>49</v>
      </c>
      <c r="G78" s="2037" t="s">
        <v>475</v>
      </c>
      <c r="H78" s="2038"/>
      <c r="I78" s="2037" t="s">
        <v>476</v>
      </c>
      <c r="J78" s="2037" t="s">
        <v>52</v>
      </c>
      <c r="K78" s="2038"/>
      <c r="L78" s="2037" t="s">
        <v>477</v>
      </c>
      <c r="M78" s="2038"/>
      <c r="N78" s="2041"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43"/>
      <c r="G79" s="481" t="s">
        <v>56</v>
      </c>
      <c r="H79" s="481" t="s">
        <v>57</v>
      </c>
      <c r="I79" s="2038"/>
      <c r="J79" s="481" t="s">
        <v>58</v>
      </c>
      <c r="K79" s="481" t="s">
        <v>510</v>
      </c>
      <c r="L79" s="481" t="s">
        <v>478</v>
      </c>
      <c r="M79" s="482" t="s">
        <v>509</v>
      </c>
      <c r="N79" s="2038"/>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108.14375</v>
      </c>
      <c r="E80" s="128">
        <f t="shared" si="5"/>
        <v>6.703125</v>
      </c>
      <c r="F80" s="128">
        <f t="shared" si="5"/>
        <v>31.7265625</v>
      </c>
      <c r="G80" s="128">
        <f t="shared" si="5"/>
        <v>21.5546875</v>
      </c>
      <c r="H80" s="128">
        <f t="shared" si="5"/>
        <v>11.140625</v>
      </c>
      <c r="I80" s="128">
        <f t="shared" si="5"/>
        <v>5.8125</v>
      </c>
      <c r="J80" s="128">
        <f t="shared" si="5"/>
        <v>5.5703125</v>
      </c>
      <c r="K80" s="128">
        <f t="shared" si="5"/>
        <v>1.453125</v>
      </c>
      <c r="L80" s="128">
        <f t="shared" si="5"/>
        <v>25.349999999999998</v>
      </c>
      <c r="M80" s="128">
        <f t="shared" si="5"/>
        <v>16.400000000000006</v>
      </c>
      <c r="N80" s="641">
        <f>SUM(D80:M80)</f>
        <v>233.85468750000001</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105.875</v>
      </c>
      <c r="E81" s="134">
        <f t="shared" si="6"/>
        <v>6.5625</v>
      </c>
      <c r="F81" s="134">
        <f t="shared" si="6"/>
        <v>28.65625</v>
      </c>
      <c r="G81" s="134">
        <f t="shared" si="6"/>
        <v>19.46875</v>
      </c>
      <c r="H81" s="134">
        <f t="shared" si="6"/>
        <v>10.0625</v>
      </c>
      <c r="I81" s="134">
        <f t="shared" si="6"/>
        <v>5.25</v>
      </c>
      <c r="J81" s="134">
        <f t="shared" si="6"/>
        <v>5.03125</v>
      </c>
      <c r="K81" s="134">
        <f t="shared" si="6"/>
        <v>1.3125</v>
      </c>
      <c r="L81" s="134">
        <f t="shared" si="6"/>
        <v>22.181249999999999</v>
      </c>
      <c r="M81" s="134">
        <f t="shared" si="6"/>
        <v>14.350000000000005</v>
      </c>
      <c r="N81" s="642">
        <f>SUM(D81:M81)</f>
        <v>218.75</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2.2687500000000007</v>
      </c>
      <c r="E82" s="134">
        <f t="shared" si="7"/>
        <v>0.140625</v>
      </c>
      <c r="F82" s="134">
        <f t="shared" si="7"/>
        <v>3.0703125</v>
      </c>
      <c r="G82" s="134">
        <f t="shared" si="7"/>
        <v>2.0859375</v>
      </c>
      <c r="H82" s="134">
        <f t="shared" si="7"/>
        <v>1.078125</v>
      </c>
      <c r="I82" s="134">
        <f t="shared" si="7"/>
        <v>0.5625</v>
      </c>
      <c r="J82" s="134">
        <f t="shared" si="7"/>
        <v>0.5390625</v>
      </c>
      <c r="K82" s="134">
        <f t="shared" si="7"/>
        <v>0.140625</v>
      </c>
      <c r="L82" s="134">
        <f t="shared" si="7"/>
        <v>3.1687499999999997</v>
      </c>
      <c r="M82" s="134">
        <f t="shared" si="7"/>
        <v>2.0500000000000007</v>
      </c>
      <c r="N82" s="642">
        <f>SUM(D82:M82)</f>
        <v>15.104687500000001</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0</v>
      </c>
      <c r="E86" s="191">
        <f t="shared" si="8"/>
        <v>0</v>
      </c>
      <c r="F86" s="191">
        <f t="shared" si="8"/>
        <v>0</v>
      </c>
      <c r="G86" s="191">
        <f t="shared" si="8"/>
        <v>0</v>
      </c>
      <c r="H86" s="191">
        <f t="shared" si="8"/>
        <v>0</v>
      </c>
      <c r="I86" s="191">
        <f t="shared" si="8"/>
        <v>0</v>
      </c>
      <c r="J86" s="191">
        <f t="shared" si="8"/>
        <v>0</v>
      </c>
      <c r="K86" s="191">
        <f t="shared" si="8"/>
        <v>0</v>
      </c>
      <c r="L86" s="191">
        <f t="shared" si="8"/>
        <v>0</v>
      </c>
      <c r="M86" s="191">
        <f t="shared" si="8"/>
        <v>0</v>
      </c>
      <c r="N86" s="191">
        <f>SUM(D86:M86)</f>
        <v>0</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0</v>
      </c>
      <c r="E87" s="136">
        <f>IF($E$51&gt;0,E43,0)</f>
        <v>0</v>
      </c>
      <c r="F87" s="136">
        <f>IF($E$51&gt;0,F43,0)</f>
        <v>0</v>
      </c>
      <c r="G87" s="136">
        <f>IF($E$51&gt;0,G43,0)</f>
        <v>0</v>
      </c>
      <c r="H87" s="136">
        <f>IF($E$51&gt;0,H43,0)</f>
        <v>0</v>
      </c>
      <c r="I87" s="126"/>
      <c r="J87" s="126"/>
      <c r="K87" s="126"/>
      <c r="L87" s="149">
        <f>IF($E$51&gt;0,L43,0)</f>
        <v>0</v>
      </c>
      <c r="M87" s="136"/>
      <c r="N87" s="649">
        <f>SUM(D87:M87)</f>
        <v>0</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108.14375</v>
      </c>
      <c r="E90" s="128">
        <f t="shared" si="9"/>
        <v>6.703125</v>
      </c>
      <c r="F90" s="128">
        <f t="shared" si="9"/>
        <v>31.7265625</v>
      </c>
      <c r="G90" s="128">
        <f t="shared" si="9"/>
        <v>21.5546875</v>
      </c>
      <c r="H90" s="128">
        <f t="shared" si="9"/>
        <v>11.140625</v>
      </c>
      <c r="I90" s="128">
        <f t="shared" si="9"/>
        <v>5.8125</v>
      </c>
      <c r="J90" s="128">
        <f t="shared" si="9"/>
        <v>5.5703125</v>
      </c>
      <c r="K90" s="128">
        <f t="shared" si="9"/>
        <v>1.453125</v>
      </c>
      <c r="L90" s="128">
        <f t="shared" si="9"/>
        <v>25.349999999999998</v>
      </c>
      <c r="M90" s="128">
        <f t="shared" si="9"/>
        <v>16.400000000000006</v>
      </c>
      <c r="N90" s="641">
        <f>SUM(D90:M90)</f>
        <v>233.85468750000001</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121</v>
      </c>
      <c r="E92" s="191">
        <f>E90-E94+E97+(IF(I29="Incineração",O33,0))</f>
        <v>7.5</v>
      </c>
      <c r="F92" s="191">
        <f t="shared" ref="F92:L92" si="10">F90-F94</f>
        <v>31.7265625</v>
      </c>
      <c r="G92" s="191">
        <f t="shared" si="10"/>
        <v>21.5546875</v>
      </c>
      <c r="H92" s="191">
        <f t="shared" si="10"/>
        <v>11.140625</v>
      </c>
      <c r="I92" s="191">
        <f t="shared" si="10"/>
        <v>5.8125</v>
      </c>
      <c r="J92" s="191">
        <f t="shared" si="10"/>
        <v>5.5703125</v>
      </c>
      <c r="K92" s="191">
        <f t="shared" si="10"/>
        <v>1.453125</v>
      </c>
      <c r="L92" s="191">
        <f t="shared" si="10"/>
        <v>25.349999999999998</v>
      </c>
      <c r="M92" s="191">
        <f>M90-M94+M100+M101</f>
        <v>16.400000000000006</v>
      </c>
      <c r="N92" s="191">
        <f>SUM(D92:M93)</f>
        <v>247.5078125</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0</v>
      </c>
      <c r="J94" s="191">
        <f t="shared" si="11"/>
        <v>0</v>
      </c>
      <c r="K94" s="191">
        <f t="shared" si="11"/>
        <v>0</v>
      </c>
      <c r="L94" s="191">
        <f t="shared" si="11"/>
        <v>0</v>
      </c>
      <c r="M94" s="191">
        <f>SUM(M95:M101)</f>
        <v>49.501562499999999</v>
      </c>
      <c r="N94" s="191">
        <f t="shared" ref="N94:N101" si="12">SUM(D94:M94)</f>
        <v>49.501562499999999</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0</v>
      </c>
      <c r="J96" s="134">
        <f t="shared" si="14"/>
        <v>0</v>
      </c>
      <c r="K96" s="134">
        <f t="shared" si="14"/>
        <v>0</v>
      </c>
      <c r="L96" s="134">
        <f>IF(OR($I$28="Incineração",I28="CDR"),0,L43)</f>
        <v>0</v>
      </c>
      <c r="M96" s="134">
        <f>IF($I$28="Incineração",0,M43)</f>
        <v>0</v>
      </c>
      <c r="N96" s="642">
        <f t="shared" si="12"/>
        <v>0</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0</v>
      </c>
      <c r="N100" s="642">
        <f t="shared" si="12"/>
        <v>0</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49.501562499999999</v>
      </c>
      <c r="N101" s="642">
        <f t="shared" si="12"/>
        <v>49.501562499999999</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218.75</v>
      </c>
      <c r="F107" s="584" t="str">
        <f>IF(AND(H106="Sim",E107=0),"Valor '0,00', mesmo com 'Sim' porque não há mistos sem triagem disponíveis","")</f>
        <v/>
      </c>
      <c r="G107" s="553"/>
      <c r="H107" s="553"/>
      <c r="I107" s="553"/>
      <c r="J107" s="553"/>
      <c r="K107" s="553"/>
      <c r="L107" s="653"/>
      <c r="M107" s="587"/>
      <c r="N107" s="119" t="s">
        <v>531</v>
      </c>
      <c r="O107" s="656">
        <f>IF(E112&gt;0,K112*J90*(E110/E112+E107/E112)*(E110+E107)/E112,0)</f>
        <v>4.475446862332026</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
      </c>
      <c r="G108" s="553"/>
      <c r="H108" s="585"/>
      <c r="I108" s="553"/>
      <c r="J108" s="583"/>
      <c r="K108" s="553"/>
      <c r="L108" s="653"/>
      <c r="M108" s="587"/>
      <c r="N108" s="119" t="s">
        <v>153</v>
      </c>
      <c r="O108" s="656">
        <f>IF(E112&gt;0,K90*K112*(E107/E112+E110/E112)*(E107+E110)/E112,0)</f>
        <v>1.1675078771300935</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35" t="str">
        <f>IF(AND(E112&gt;0,E112&lt;500),"Cap. mín. é 500 t/d.  Rever envios à incineração em H106, E30, E34 ou I28","")</f>
        <v>Cap. mín. é 500 t/d.  Rever envios à incineração em H106, E30, E34 ou I28</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15.104687500000001</v>
      </c>
      <c r="F110" s="2036"/>
      <c r="G110" s="588"/>
      <c r="H110" s="588"/>
      <c r="I110" s="588"/>
      <c r="J110" s="592"/>
      <c r="K110" s="651"/>
      <c r="L110" s="653"/>
      <c r="M110" s="587"/>
      <c r="N110" s="119" t="s">
        <v>156</v>
      </c>
      <c r="O110" s="656">
        <f>(E112*J111/100)*(1-J113/100)</f>
        <v>49.501562499999999</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13.653124999999999</v>
      </c>
      <c r="F111" s="2036"/>
      <c r="G111" s="653"/>
      <c r="H111" s="590"/>
      <c r="I111" s="111" t="s">
        <v>157</v>
      </c>
      <c r="J111" s="192">
        <f>'R-Avançado'!F29</f>
        <v>20</v>
      </c>
      <c r="K111" s="652"/>
      <c r="L111" s="653"/>
      <c r="M111" s="587"/>
      <c r="N111" s="119" t="s">
        <v>135</v>
      </c>
      <c r="O111" s="657">
        <f>E112*E114*J109/100</f>
        <v>167798.94394331248</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247.5078125</v>
      </c>
      <c r="F112" s="2036"/>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36"/>
      <c r="G113" s="142"/>
      <c r="H113" s="142"/>
      <c r="I113" s="111" t="s">
        <v>160</v>
      </c>
      <c r="J113" s="143">
        <v>0</v>
      </c>
      <c r="K113" s="652"/>
      <c r="L113" s="653"/>
      <c r="M113" s="587"/>
      <c r="N113" s="119" t="s">
        <v>161</v>
      </c>
      <c r="O113" s="654">
        <f>E112*(1-J111/100)-O107-O108</f>
        <v>192.36329526053788</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2690.2941707016821</v>
      </c>
      <c r="F114" s="2036"/>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36"/>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49.501562499999999</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34.651093749999994</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66" t="str">
        <f>IF('R-Entrada'!D2&lt;&gt;0,'R-Entrada'!D2,"")</f>
        <v>CIRSOP - Consórcio RSU Oeste Paulista</v>
      </c>
      <c r="E2" s="2067"/>
      <c r="F2" s="463"/>
      <c r="G2" s="463"/>
      <c r="H2" s="463"/>
      <c r="I2" s="463"/>
      <c r="J2" s="463"/>
      <c r="K2" s="463"/>
      <c r="L2" s="463"/>
      <c r="M2" s="463"/>
      <c r="N2" s="463"/>
      <c r="O2" s="463"/>
      <c r="P2" s="463"/>
      <c r="Q2" s="463"/>
      <c r="R2" s="463"/>
      <c r="S2" s="463"/>
      <c r="T2" s="463"/>
      <c r="U2" s="463"/>
    </row>
    <row r="3" spans="1:21" ht="15" customHeight="1" x14ac:dyDescent="0.25">
      <c r="B3" s="463"/>
      <c r="C3" s="445" t="s">
        <v>486</v>
      </c>
      <c r="D3" s="2066" t="str">
        <f>IF('R-Entrada'!D3&lt;&gt;0,'R-Entrada'!D3,"")</f>
        <v>Biodigestão c/ Prod. E. Elétrica</v>
      </c>
      <c r="E3" s="2067"/>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68" t="s">
        <v>473</v>
      </c>
      <c r="O5" s="2069"/>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1996" t="str">
        <f>Apresentação!I2</f>
        <v>RC-RSU V.1.0 - 15/10/2020</v>
      </c>
      <c r="O6" s="2069"/>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53" t="s">
        <v>958</v>
      </c>
      <c r="F8" s="2054"/>
      <c r="G8" s="2054"/>
      <c r="H8" s="2055"/>
      <c r="I8" s="463"/>
      <c r="J8" s="2059"/>
      <c r="K8" s="2060"/>
      <c r="L8" s="2056" t="s">
        <v>186</v>
      </c>
      <c r="M8" s="2056" t="s">
        <v>535</v>
      </c>
      <c r="N8" s="463"/>
      <c r="O8" s="463"/>
      <c r="P8" s="463"/>
      <c r="Q8" s="463"/>
      <c r="R8" s="463"/>
      <c r="S8" s="463"/>
      <c r="T8" s="463"/>
      <c r="U8" s="463"/>
    </row>
    <row r="9" spans="1:21" ht="18" customHeight="1" x14ac:dyDescent="0.25">
      <c r="A9" s="463"/>
      <c r="B9" s="463"/>
      <c r="C9" s="463"/>
      <c r="D9" s="2045"/>
      <c r="E9" s="718" t="s">
        <v>25</v>
      </c>
      <c r="F9" s="2053" t="s">
        <v>959</v>
      </c>
      <c r="G9" s="2054"/>
      <c r="H9" s="2055"/>
      <c r="I9" s="463"/>
      <c r="J9" s="2061"/>
      <c r="K9" s="2062"/>
      <c r="L9" s="2057"/>
      <c r="M9" s="2057"/>
      <c r="N9" s="463"/>
      <c r="O9" s="463"/>
      <c r="P9" s="463"/>
      <c r="Q9" s="463"/>
      <c r="R9" s="463"/>
      <c r="S9" s="463"/>
      <c r="T9" s="463"/>
      <c r="U9" s="463"/>
    </row>
    <row r="10" spans="1:21" ht="18" customHeight="1" x14ac:dyDescent="0.25">
      <c r="A10" s="463"/>
      <c r="B10" s="463"/>
      <c r="C10" s="463"/>
      <c r="D10" s="2046"/>
      <c r="E10" s="492" t="s">
        <v>730</v>
      </c>
      <c r="F10" s="492" t="s">
        <v>730</v>
      </c>
      <c r="G10" s="492" t="s">
        <v>731</v>
      </c>
      <c r="H10" s="492" t="s">
        <v>557</v>
      </c>
      <c r="I10" s="463"/>
      <c r="J10" s="2063"/>
      <c r="K10" s="2064"/>
      <c r="L10" s="2057"/>
      <c r="M10" s="2057"/>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58" t="s">
        <v>536</v>
      </c>
      <c r="K11" s="2058"/>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58" t="s">
        <v>537</v>
      </c>
      <c r="K12" s="2058"/>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47" t="s">
        <v>191</v>
      </c>
      <c r="E17" s="489" t="s">
        <v>192</v>
      </c>
      <c r="F17" s="489" t="s">
        <v>999</v>
      </c>
      <c r="G17" s="463"/>
      <c r="H17" s="2049"/>
      <c r="I17" s="2049" t="s">
        <v>193</v>
      </c>
      <c r="J17" s="2038"/>
      <c r="K17" s="463"/>
      <c r="L17" s="2048" t="s">
        <v>744</v>
      </c>
      <c r="M17" s="2022"/>
      <c r="N17" s="463"/>
      <c r="O17" s="463"/>
      <c r="P17" s="463"/>
      <c r="Q17" s="463"/>
      <c r="R17" s="463"/>
      <c r="S17" s="463"/>
      <c r="T17" s="463"/>
      <c r="U17" s="463"/>
    </row>
    <row r="18" spans="1:21" ht="18" customHeight="1" x14ac:dyDescent="0.25">
      <c r="A18" s="463"/>
      <c r="B18" s="463"/>
      <c r="C18" s="700"/>
      <c r="D18" s="2038"/>
      <c r="E18" s="489" t="s">
        <v>1062</v>
      </c>
      <c r="F18" s="489" t="s">
        <v>998</v>
      </c>
      <c r="G18" s="463"/>
      <c r="H18" s="2038"/>
      <c r="I18" s="489" t="s">
        <v>189</v>
      </c>
      <c r="J18" s="689" t="s">
        <v>132</v>
      </c>
      <c r="K18" s="463"/>
      <c r="L18" s="2022"/>
      <c r="M18" s="2022"/>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0" t="s">
        <v>745</v>
      </c>
      <c r="E23" s="2051"/>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0" t="s">
        <v>538</v>
      </c>
      <c r="E24" s="2051"/>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74"/>
      <c r="D27" s="2075"/>
      <c r="E27" s="2075"/>
      <c r="F27" s="321" t="s">
        <v>195</v>
      </c>
      <c r="G27" s="463"/>
      <c r="H27" s="2052" t="s">
        <v>539</v>
      </c>
      <c r="I27" s="2022"/>
      <c r="J27" s="2022"/>
      <c r="K27" s="463"/>
      <c r="L27" s="2073"/>
      <c r="M27" s="2038"/>
      <c r="N27" s="2038"/>
      <c r="O27" s="489" t="s">
        <v>289</v>
      </c>
      <c r="P27" s="463"/>
      <c r="Q27" s="463"/>
      <c r="R27" s="463"/>
      <c r="S27" s="463"/>
      <c r="T27" s="463"/>
      <c r="U27" s="463"/>
    </row>
    <row r="28" spans="1:21" ht="18" customHeight="1" x14ac:dyDescent="0.25">
      <c r="A28" s="463"/>
      <c r="B28" s="463"/>
      <c r="C28" s="2050" t="s">
        <v>746</v>
      </c>
      <c r="D28" s="2051"/>
      <c r="E28" s="2051"/>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0" t="s">
        <v>196</v>
      </c>
      <c r="D29" s="2051"/>
      <c r="E29" s="2051"/>
      <c r="F29" s="205">
        <v>20</v>
      </c>
      <c r="G29" s="463"/>
      <c r="H29" s="205">
        <v>50</v>
      </c>
      <c r="I29" s="205">
        <v>30</v>
      </c>
      <c r="J29" s="205">
        <v>10</v>
      </c>
      <c r="K29" s="463"/>
      <c r="L29" s="2058" t="s">
        <v>541</v>
      </c>
      <c r="M29" s="2065"/>
      <c r="N29" s="2065"/>
      <c r="O29" s="1516">
        <v>35</v>
      </c>
      <c r="P29" s="463"/>
      <c r="Q29" s="463"/>
      <c r="R29" s="463"/>
      <c r="S29" s="463"/>
      <c r="T29" s="463"/>
      <c r="U29" s="463"/>
    </row>
    <row r="30" spans="1:21" ht="18" customHeight="1" x14ac:dyDescent="0.25">
      <c r="A30" s="463"/>
      <c r="B30" s="463"/>
      <c r="C30" s="2050" t="s">
        <v>159</v>
      </c>
      <c r="D30" s="2051"/>
      <c r="E30" s="2051"/>
      <c r="F30" s="205">
        <v>90</v>
      </c>
      <c r="G30" s="463"/>
      <c r="H30" s="163"/>
      <c r="I30" s="204"/>
      <c r="J30" s="163"/>
      <c r="K30" s="463"/>
      <c r="L30" s="2058" t="s">
        <v>747</v>
      </c>
      <c r="M30" s="2065"/>
      <c r="N30" s="2065"/>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71"/>
      <c r="C33" s="2072"/>
      <c r="D33" s="2072"/>
      <c r="E33" s="1985" t="s">
        <v>198</v>
      </c>
      <c r="F33" s="2022"/>
      <c r="G33" s="2022"/>
      <c r="H33" s="2022"/>
      <c r="I33" s="2022"/>
      <c r="J33" s="2022"/>
      <c r="K33" s="2022"/>
      <c r="L33" s="2022"/>
      <c r="M33" s="2022"/>
      <c r="N33" s="2022"/>
      <c r="O33" s="463"/>
      <c r="P33" s="463"/>
      <c r="Q33" s="463"/>
      <c r="R33" s="463"/>
      <c r="S33" s="463"/>
      <c r="T33" s="463"/>
      <c r="U33" s="463"/>
    </row>
    <row r="34" spans="1:21" ht="18" customHeight="1" x14ac:dyDescent="0.25">
      <c r="A34" s="463"/>
      <c r="B34" s="2072"/>
      <c r="C34" s="2072"/>
      <c r="D34" s="2072"/>
      <c r="E34" s="1985" t="s">
        <v>25</v>
      </c>
      <c r="F34" s="2022"/>
      <c r="G34" s="1993" t="s">
        <v>49</v>
      </c>
      <c r="H34" s="1985" t="s">
        <v>475</v>
      </c>
      <c r="I34" s="2022"/>
      <c r="J34" s="1985" t="s">
        <v>476</v>
      </c>
      <c r="K34" s="1985" t="s">
        <v>52</v>
      </c>
      <c r="L34" s="2022"/>
      <c r="M34" s="1985" t="s">
        <v>477</v>
      </c>
      <c r="N34" s="2022"/>
      <c r="O34" s="463"/>
      <c r="P34" s="463"/>
      <c r="Q34" s="463"/>
      <c r="R34" s="463"/>
      <c r="S34" s="463"/>
      <c r="T34" s="463"/>
      <c r="U34" s="463"/>
    </row>
    <row r="35" spans="1:21" ht="18" customHeight="1" x14ac:dyDescent="0.25">
      <c r="A35" s="463"/>
      <c r="B35" s="2072"/>
      <c r="C35" s="2072"/>
      <c r="D35" s="2072"/>
      <c r="E35" s="476" t="s">
        <v>54</v>
      </c>
      <c r="F35" s="476" t="s">
        <v>479</v>
      </c>
      <c r="G35" s="2022"/>
      <c r="H35" s="476" t="s">
        <v>56</v>
      </c>
      <c r="I35" s="476" t="s">
        <v>57</v>
      </c>
      <c r="J35" s="2022"/>
      <c r="K35" s="476" t="s">
        <v>58</v>
      </c>
      <c r="L35" s="476" t="s">
        <v>510</v>
      </c>
      <c r="M35" s="476" t="s">
        <v>478</v>
      </c>
      <c r="N35" s="476" t="s">
        <v>509</v>
      </c>
      <c r="O35" s="463"/>
      <c r="P35" s="463"/>
      <c r="Q35" s="463"/>
      <c r="R35" s="463"/>
      <c r="S35" s="463"/>
      <c r="T35" s="463"/>
      <c r="U35" s="463"/>
    </row>
    <row r="36" spans="1:21" ht="18" customHeight="1" x14ac:dyDescent="0.25">
      <c r="A36" s="463"/>
      <c r="B36" s="2058" t="s">
        <v>480</v>
      </c>
      <c r="C36" s="2065"/>
      <c r="D36" s="2065"/>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58" t="s">
        <v>748</v>
      </c>
      <c r="C37" s="2065"/>
      <c r="D37" s="2065"/>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70" t="s">
        <v>831</v>
      </c>
      <c r="C38" s="2065"/>
      <c r="D38" s="2065"/>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05" t="s">
        <v>834</v>
      </c>
      <c r="C1" s="2106"/>
      <c r="D1" s="2106"/>
      <c r="E1" s="2106"/>
      <c r="F1" s="2106"/>
      <c r="G1" s="2106"/>
      <c r="H1" s="2106"/>
      <c r="I1" s="2106"/>
      <c r="J1" s="2106"/>
      <c r="K1" s="2106"/>
      <c r="L1" s="2106"/>
      <c r="M1" s="2106"/>
      <c r="N1" s="2106"/>
      <c r="O1" s="2106"/>
      <c r="P1" s="2107"/>
      <c r="Q1" s="2107"/>
      <c r="R1" s="2091" t="s">
        <v>199</v>
      </c>
      <c r="S1" s="2092"/>
      <c r="T1" s="2092"/>
      <c r="U1" s="2092"/>
      <c r="V1" s="2098" t="str">
        <f>IF('R-Entrada'!D3&lt;&gt;0,'R-Entrada'!D3,"")</f>
        <v>Biodigestão c/ Prod. E. Elétrica</v>
      </c>
      <c r="W1" s="2099"/>
      <c r="X1" s="2099"/>
      <c r="Y1" s="2099"/>
      <c r="Z1" s="2099"/>
      <c r="AA1" s="2099"/>
      <c r="AB1" s="2100"/>
      <c r="AC1" s="2091" t="s">
        <v>4</v>
      </c>
      <c r="AD1" s="2092"/>
      <c r="AE1" s="2092"/>
      <c r="AF1" s="2092"/>
      <c r="AG1" s="2098" t="str">
        <f>IF('R-Entrada'!D2&lt;&gt;0,'R-Entrada'!D2,"")</f>
        <v>CIRSOP - Consórcio RSU Oeste Paulista</v>
      </c>
      <c r="AH1" s="2099"/>
      <c r="AI1" s="2099"/>
      <c r="AJ1" s="2099"/>
      <c r="AK1" s="2099"/>
      <c r="AL1" s="2099"/>
      <c r="AM1" s="2099"/>
      <c r="AN1" s="2099"/>
      <c r="AO1" s="2099"/>
      <c r="AP1" s="2099"/>
      <c r="AQ1" s="2099"/>
      <c r="AR1" s="2100"/>
      <c r="AS1" s="980" t="s">
        <v>828</v>
      </c>
      <c r="AT1" s="977"/>
      <c r="AV1" s="158"/>
    </row>
    <row r="2" spans="2:69" s="157" customFormat="1" ht="3" customHeight="1" x14ac:dyDescent="0.25">
      <c r="B2" s="2101"/>
      <c r="C2" s="2077"/>
      <c r="D2" s="2077"/>
      <c r="E2" s="2077"/>
      <c r="F2" s="2077"/>
      <c r="G2" s="2077"/>
      <c r="H2" s="2077"/>
      <c r="I2" s="2078"/>
      <c r="J2" s="159"/>
      <c r="K2" s="2095"/>
      <c r="L2" s="2077"/>
      <c r="M2" s="2077"/>
      <c r="N2" s="2077"/>
      <c r="O2" s="2077"/>
      <c r="P2" s="2077"/>
      <c r="Q2" s="2077"/>
      <c r="R2" s="2077"/>
      <c r="S2" s="2077"/>
      <c r="T2" s="2077"/>
      <c r="U2" s="2077"/>
      <c r="V2" s="2077"/>
      <c r="W2" s="2077"/>
      <c r="X2" s="2077"/>
      <c r="Y2" s="2077"/>
      <c r="Z2" s="2077"/>
      <c r="AA2" s="2077"/>
      <c r="AB2" s="2077"/>
      <c r="AC2" s="2077"/>
      <c r="AD2" s="2077"/>
      <c r="AE2" s="2077"/>
      <c r="AF2" s="2077"/>
      <c r="AG2" s="2077"/>
      <c r="AH2" s="2077"/>
      <c r="AI2" s="2077"/>
      <c r="AJ2" s="2078"/>
      <c r="AK2" s="2095"/>
      <c r="AL2" s="2077"/>
      <c r="AM2" s="2077"/>
      <c r="AN2" s="2077"/>
      <c r="AO2" s="2077"/>
      <c r="AP2" s="2077"/>
      <c r="AQ2" s="2077"/>
      <c r="AR2" s="2077"/>
      <c r="AS2" s="2077"/>
      <c r="AT2" s="2096"/>
      <c r="AU2" s="158"/>
    </row>
    <row r="3" spans="2:69" s="157" customFormat="1" ht="16.899999999999999" customHeight="1" x14ac:dyDescent="0.25">
      <c r="B3" s="160"/>
      <c r="C3" s="151">
        <f>'R-Entrada'!E14</f>
        <v>250</v>
      </c>
      <c r="D3" s="161"/>
      <c r="E3" s="2097" t="s">
        <v>200</v>
      </c>
      <c r="F3" s="2077"/>
      <c r="G3" s="2077"/>
      <c r="H3" s="2078"/>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097" t="s">
        <v>201</v>
      </c>
      <c r="F5" s="2077"/>
      <c r="G5" s="2077"/>
      <c r="H5" s="2078"/>
      <c r="I5" s="159"/>
      <c r="J5" s="159"/>
      <c r="K5" s="159"/>
      <c r="L5" s="159"/>
      <c r="M5" s="159"/>
      <c r="N5" s="159"/>
      <c r="O5" s="159"/>
      <c r="P5" s="159"/>
      <c r="Q5" s="159"/>
      <c r="R5" s="159"/>
      <c r="S5" s="159"/>
      <c r="T5" s="159"/>
      <c r="U5" s="159"/>
      <c r="V5" s="159"/>
      <c r="W5" s="159"/>
      <c r="X5" s="159"/>
      <c r="Y5" s="159"/>
      <c r="Z5" s="159"/>
      <c r="AA5" s="159"/>
      <c r="AB5" s="2102" t="s">
        <v>473</v>
      </c>
      <c r="AC5" s="2026"/>
      <c r="AD5" s="2026"/>
      <c r="AE5" s="2026"/>
      <c r="AF5" s="2026"/>
      <c r="AG5" s="2026"/>
      <c r="AH5" s="2026"/>
      <c r="AI5" s="2026"/>
      <c r="AJ5" s="2026"/>
      <c r="AK5" s="2026"/>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097" t="s">
        <v>59</v>
      </c>
      <c r="F7" s="2077"/>
      <c r="G7" s="2077"/>
      <c r="H7" s="2078"/>
      <c r="I7" s="159"/>
      <c r="J7" s="159"/>
      <c r="K7" s="159"/>
      <c r="L7" s="159"/>
      <c r="M7" s="159"/>
      <c r="N7" s="159"/>
      <c r="O7" s="159"/>
      <c r="P7" s="159"/>
      <c r="Q7" s="159"/>
      <c r="R7" s="159"/>
      <c r="S7" s="159"/>
      <c r="T7" s="159"/>
      <c r="U7" s="159"/>
      <c r="V7" s="159"/>
      <c r="W7" s="159"/>
      <c r="X7" s="159"/>
      <c r="Y7" s="159"/>
      <c r="Z7" s="159"/>
      <c r="AA7" s="159"/>
      <c r="AB7" s="2103" t="str">
        <f>Apresentação!I2</f>
        <v>RC-RSU V.1.0 - 15/10/2020</v>
      </c>
      <c r="AC7" s="2104"/>
      <c r="AD7" s="2104"/>
      <c r="AE7" s="2104"/>
      <c r="AF7" s="2104"/>
      <c r="AG7" s="2104"/>
      <c r="AH7" s="2104"/>
      <c r="AI7" s="2104"/>
      <c r="AJ7" s="2104"/>
      <c r="AK7" s="2104"/>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250</v>
      </c>
      <c r="D9" s="159"/>
      <c r="E9" s="2097" t="s">
        <v>202</v>
      </c>
      <c r="F9" s="2077"/>
      <c r="G9" s="2077"/>
      <c r="H9" s="2078"/>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250</v>
      </c>
      <c r="D11" s="159"/>
      <c r="E11" s="2093" t="s">
        <v>835</v>
      </c>
      <c r="F11" s="2094"/>
      <c r="G11" s="2094"/>
      <c r="H11" s="2094"/>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86" t="s">
        <v>203</v>
      </c>
      <c r="AP11" s="152"/>
      <c r="AQ11" s="2086" t="s">
        <v>204</v>
      </c>
      <c r="AR11" s="152"/>
      <c r="AS11" s="2086"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89"/>
      <c r="AP12" s="152"/>
      <c r="AQ12" s="2087"/>
      <c r="AR12" s="152"/>
      <c r="AS12" s="2087"/>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0"/>
      <c r="AP13" s="152"/>
      <c r="AQ13" s="2088"/>
      <c r="AR13" s="152"/>
      <c r="AS13" s="2088"/>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111" t="s">
        <v>832</v>
      </c>
      <c r="J15" s="2077"/>
      <c r="K15" s="2077"/>
      <c r="L15" s="2077"/>
      <c r="M15" s="2077"/>
      <c r="N15" s="2077"/>
      <c r="O15" s="2078"/>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111" t="s">
        <v>833</v>
      </c>
      <c r="M19" s="2077"/>
      <c r="N19" s="2077"/>
      <c r="O19" s="2077"/>
      <c r="P19" s="2077"/>
      <c r="Q19" s="2077"/>
      <c r="R19" s="2078"/>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31.25</v>
      </c>
      <c r="G23" s="159"/>
      <c r="H23" s="159"/>
      <c r="I23" s="159"/>
      <c r="J23" s="159"/>
      <c r="K23" s="159"/>
      <c r="L23" s="159"/>
      <c r="M23" s="159"/>
      <c r="N23" s="159"/>
      <c r="O23" s="159"/>
      <c r="P23" s="159"/>
      <c r="Q23" s="2111" t="s">
        <v>836</v>
      </c>
      <c r="R23" s="2077"/>
      <c r="S23" s="2077"/>
      <c r="T23" s="2077"/>
      <c r="U23" s="2077"/>
      <c r="V23" s="2077"/>
      <c r="W23" s="2078"/>
      <c r="X23" s="159"/>
      <c r="Y23" s="159"/>
      <c r="Z23" s="159"/>
      <c r="AA23" s="159"/>
      <c r="AB23" s="159"/>
      <c r="AC23" s="159"/>
      <c r="AD23" s="159"/>
      <c r="AE23" s="159"/>
      <c r="AF23" s="159"/>
      <c r="AG23" s="159"/>
      <c r="AH23" s="159"/>
      <c r="AI23" s="159"/>
      <c r="AJ23" s="159"/>
      <c r="AK23" s="159"/>
      <c r="AL23" s="159"/>
      <c r="AM23" s="159"/>
      <c r="AN23" s="152"/>
      <c r="AO23" s="151">
        <f>'R-Resumo Bal. Massa'!G64</f>
        <v>2.4921875</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112">
        <f>F15+F19+F23-AO15-AO19-AO23-AS17-AS21-AS25-S25</f>
        <v>15.104687500000001</v>
      </c>
      <c r="K25" s="2110"/>
      <c r="L25" s="2110"/>
      <c r="M25" s="2082"/>
      <c r="N25" s="159"/>
      <c r="O25" s="159"/>
      <c r="P25" s="159"/>
      <c r="Q25" s="159"/>
      <c r="R25" s="159"/>
      <c r="S25" s="2081">
        <f>IF('R-Definição'!I29&lt;&gt;"Aterro sanitário",'R-Resumo Bal. Massa'!F22,0)</f>
        <v>13.653124999999999</v>
      </c>
      <c r="T25" s="2082"/>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0</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0</v>
      </c>
      <c r="O27" s="159"/>
      <c r="P27" s="159"/>
      <c r="Q27" s="159"/>
      <c r="R27" s="159"/>
      <c r="S27" s="159"/>
      <c r="T27" s="159"/>
      <c r="U27" s="159"/>
      <c r="V27" s="2081">
        <f>'R-Resumo Bal. Massa'!B25</f>
        <v>0</v>
      </c>
      <c r="W27" s="2082"/>
      <c r="X27" s="159"/>
      <c r="Y27" s="2076" t="s">
        <v>100</v>
      </c>
      <c r="Z27" s="2077"/>
      <c r="AA27" s="2077"/>
      <c r="AB27" s="2078"/>
      <c r="AC27" s="159"/>
      <c r="AD27" s="159"/>
      <c r="AE27" s="159"/>
      <c r="AF27" s="159"/>
      <c r="AG27" s="159"/>
      <c r="AH27" s="159"/>
      <c r="AI27" s="159"/>
      <c r="AJ27" s="159"/>
      <c r="AK27" s="159"/>
      <c r="AL27" s="159"/>
      <c r="AM27" s="159"/>
      <c r="AN27" s="152"/>
      <c r="AO27" s="151">
        <f>'R-Resumo Bal. Massa'!E29</f>
        <v>0</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1">
        <f>'R-Definição'!E59</f>
        <v>0</v>
      </c>
      <c r="T29" s="2082"/>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0</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1">
        <f>SUM('R-Resumo Bal. Massa'!D40:D42)</f>
        <v>15.104687500000001</v>
      </c>
      <c r="K31" s="2110"/>
      <c r="L31" s="2110"/>
      <c r="M31" s="2082"/>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0</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1">
        <f>'R-Resumo Bal. Massa'!D36</f>
        <v>0</v>
      </c>
      <c r="T33" s="2082"/>
      <c r="U33" s="159"/>
      <c r="V33" s="159"/>
      <c r="W33" s="159"/>
      <c r="X33" s="159"/>
      <c r="Y33" s="2081">
        <f>'R-Definição'!E60*'R-Definição'!J59/100</f>
        <v>0</v>
      </c>
      <c r="Z33" s="2082"/>
      <c r="AA33" s="159"/>
      <c r="AB33" s="2083" t="s">
        <v>115</v>
      </c>
      <c r="AC33" s="2084"/>
      <c r="AD33" s="2084"/>
      <c r="AE33" s="2084"/>
      <c r="AF33" s="2085"/>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1">
        <f>'R-Definição'!J68</f>
        <v>0</v>
      </c>
      <c r="AE35" s="2082"/>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1">
        <f>'R-Resumo Bal. Massa'!D35</f>
        <v>0</v>
      </c>
      <c r="T37" s="2082"/>
      <c r="U37" s="159"/>
      <c r="V37" s="159"/>
      <c r="W37" s="159"/>
      <c r="X37" s="159"/>
      <c r="Y37" s="159"/>
      <c r="Z37" s="159"/>
      <c r="AA37" s="159"/>
      <c r="AB37" s="159"/>
      <c r="AC37" s="159"/>
      <c r="AD37" s="2076" t="s">
        <v>132</v>
      </c>
      <c r="AE37" s="2077"/>
      <c r="AF37" s="2077"/>
      <c r="AG37" s="2078"/>
      <c r="AH37" s="159"/>
      <c r="AI37" s="159"/>
      <c r="AJ37" s="159"/>
      <c r="AK37" s="159"/>
      <c r="AL37" s="159"/>
      <c r="AM37" s="159"/>
      <c r="AN37" s="152"/>
      <c r="AO37" s="151">
        <f>'R-Resumo Bal. Massa'!F36-'R-Resumo Bal. Massa'!F33</f>
        <v>0</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0</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1">
        <f>'R-Resumo Bal. Massa'!D43</f>
        <v>13.653124999999999</v>
      </c>
      <c r="U41" s="2082"/>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0</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218.75</v>
      </c>
      <c r="G43" s="159"/>
      <c r="H43" s="159"/>
      <c r="I43" s="159"/>
      <c r="J43" s="2081">
        <f>SUM('R-Resumo Bal. Massa'!D39:D42)</f>
        <v>233.85468750000001</v>
      </c>
      <c r="K43" s="2110"/>
      <c r="L43" s="2110"/>
      <c r="M43" s="2082"/>
      <c r="N43" s="159"/>
      <c r="O43" s="159"/>
      <c r="P43" s="159"/>
      <c r="Q43" s="159"/>
      <c r="R43" s="159"/>
      <c r="S43" s="159"/>
      <c r="T43" s="2081">
        <f>'R-Resumo Bal. Massa'!D44</f>
        <v>247.5078125</v>
      </c>
      <c r="U43" s="2082"/>
      <c r="V43" s="159"/>
      <c r="W43" s="159"/>
      <c r="X43" s="159"/>
      <c r="Y43" s="159"/>
      <c r="Z43" s="159"/>
      <c r="AA43" s="159"/>
      <c r="AB43" s="159"/>
      <c r="AC43" s="159"/>
      <c r="AD43" s="159"/>
      <c r="AE43" s="159"/>
      <c r="AF43" s="159"/>
      <c r="AG43" s="704"/>
      <c r="AH43" s="2076" t="s">
        <v>205</v>
      </c>
      <c r="AI43" s="2079"/>
      <c r="AJ43" s="2079"/>
      <c r="AK43" s="2080"/>
      <c r="AL43" s="159"/>
      <c r="AM43" s="159"/>
      <c r="AN43" s="152"/>
      <c r="AO43" s="151">
        <f>'R-Resumo Bal. Massa'!E44</f>
        <v>5.6429547394621196</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192.36329526053788</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49.501562499999999</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108">
        <f>'R-Definição'!E126</f>
        <v>34.651093749999994</v>
      </c>
      <c r="J51" s="2109"/>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8.1351422394621196</v>
      </c>
      <c r="AP51" s="155"/>
      <c r="AQ51" s="979">
        <f>AQ29+AQ33+AQ39+AQ45</f>
        <v>192.36329526053788</v>
      </c>
      <c r="AR51" s="155"/>
      <c r="AS51" s="979">
        <f>'R-Resumo Bal. Massa'!D53</f>
        <v>49.501562499999999</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108" t="str">
        <f>IF('R-Definição'!O124&gt;0,'R-Definição'!O124,"Não")</f>
        <v>Não</v>
      </c>
      <c r="J53" s="2109"/>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3.3</v>
      </c>
      <c r="AP53" s="156"/>
      <c r="AQ53" s="978">
        <f>IF(C11&lt;&gt;0,ROUND(100-AO53-AS53,1),0)</f>
        <v>76.900000000000006</v>
      </c>
      <c r="AR53" s="156"/>
      <c r="AS53" s="978">
        <f>IF(C11&lt;&gt;0,ROUND(AS51/(AO51+AQ51+AS51)*100,1),0)</f>
        <v>19.8</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28"/>
      <c r="K4" s="2002"/>
      <c r="L4" s="3"/>
      <c r="M4" s="3"/>
      <c r="N4" s="3"/>
      <c r="O4" s="3"/>
      <c r="P4" s="3"/>
      <c r="Q4" s="3"/>
      <c r="R4" s="3"/>
      <c r="S4" s="3"/>
      <c r="T4" s="3"/>
    </row>
    <row r="5" spans="1:20" ht="25.9" customHeight="1" x14ac:dyDescent="0.25">
      <c r="A5" s="3"/>
      <c r="B5" s="94"/>
      <c r="C5" s="195" t="s">
        <v>543</v>
      </c>
      <c r="D5" s="94"/>
      <c r="E5" s="94"/>
      <c r="F5" s="94"/>
      <c r="G5" s="94"/>
      <c r="H5" s="94"/>
      <c r="I5" s="3"/>
      <c r="J5" s="2130" t="s">
        <v>473</v>
      </c>
      <c r="K5" s="2026"/>
      <c r="L5" s="2026"/>
      <c r="M5" s="3"/>
      <c r="N5" s="3"/>
      <c r="O5" s="3"/>
      <c r="P5" s="3"/>
      <c r="Q5" s="3"/>
      <c r="R5" s="3"/>
      <c r="S5" s="3"/>
      <c r="T5" s="3"/>
    </row>
    <row r="6" spans="1:20" ht="18" customHeight="1" x14ac:dyDescent="0.25">
      <c r="A6" s="3"/>
      <c r="B6" s="62"/>
      <c r="C6" s="62"/>
      <c r="D6" s="62"/>
      <c r="E6" s="62"/>
      <c r="F6" s="62"/>
      <c r="G6" s="62"/>
      <c r="H6" s="62"/>
      <c r="I6" s="3"/>
      <c r="J6" s="1996" t="str">
        <f>Apresentação!I2</f>
        <v>RC-RSU V.1.0 - 15/10/2020</v>
      </c>
      <c r="K6" s="2129"/>
      <c r="L6" s="2129"/>
      <c r="M6" s="3"/>
      <c r="N6" s="3"/>
      <c r="O6" s="3"/>
      <c r="P6" s="3"/>
      <c r="Q6" s="3"/>
      <c r="R6" s="3"/>
      <c r="S6" s="3"/>
      <c r="T6" s="3"/>
    </row>
    <row r="7" spans="1:20" ht="18" customHeight="1" x14ac:dyDescent="0.25">
      <c r="A7" s="3"/>
      <c r="B7" s="1985" t="s">
        <v>544</v>
      </c>
      <c r="C7" s="2022"/>
      <c r="D7" s="2022"/>
      <c r="E7" s="2022"/>
      <c r="F7" s="2022"/>
      <c r="G7" s="2022"/>
      <c r="H7" s="2022"/>
      <c r="I7" s="3"/>
      <c r="J7" s="705"/>
      <c r="K7" s="705"/>
      <c r="L7" s="705"/>
      <c r="M7" s="3"/>
      <c r="N7" s="3"/>
      <c r="O7" s="3"/>
      <c r="P7" s="3"/>
      <c r="Q7" s="3"/>
      <c r="R7" s="3"/>
      <c r="S7" s="3"/>
      <c r="T7" s="3"/>
    </row>
    <row r="8" spans="1:20" ht="18" customHeight="1" x14ac:dyDescent="0.25">
      <c r="A8" s="3"/>
      <c r="B8" s="1993" t="s">
        <v>210</v>
      </c>
      <c r="C8" s="1993" t="s">
        <v>211</v>
      </c>
      <c r="D8" s="1985" t="s">
        <v>212</v>
      </c>
      <c r="E8" s="1993" t="s">
        <v>213</v>
      </c>
      <c r="F8" s="1992"/>
      <c r="G8" s="1992"/>
      <c r="H8" s="1992"/>
      <c r="I8" s="3"/>
      <c r="J8" s="3"/>
      <c r="K8" s="3"/>
      <c r="L8" s="3"/>
      <c r="M8" s="3"/>
      <c r="N8" s="3"/>
      <c r="O8" s="3"/>
      <c r="P8" s="14"/>
      <c r="Q8" s="3"/>
      <c r="R8" s="3"/>
      <c r="S8" s="3"/>
      <c r="T8" s="3"/>
    </row>
    <row r="9" spans="1:20" ht="18" customHeight="1" x14ac:dyDescent="0.25">
      <c r="A9" s="7"/>
      <c r="B9" s="1992"/>
      <c r="C9" s="1992"/>
      <c r="D9" s="1992"/>
      <c r="E9" s="1993" t="s">
        <v>214</v>
      </c>
      <c r="F9" s="2113" t="s">
        <v>25</v>
      </c>
      <c r="G9" s="1985" t="s">
        <v>215</v>
      </c>
      <c r="H9" s="1993" t="s">
        <v>216</v>
      </c>
      <c r="I9" s="7"/>
      <c r="J9" s="7"/>
      <c r="K9" s="7"/>
      <c r="L9" s="7"/>
      <c r="M9" s="7"/>
      <c r="N9" s="7"/>
      <c r="O9" s="7"/>
      <c r="P9" s="3"/>
      <c r="Q9" s="3"/>
      <c r="R9" s="7"/>
      <c r="S9" s="3"/>
      <c r="T9" s="3"/>
    </row>
    <row r="10" spans="1:20" ht="18" customHeight="1" x14ac:dyDescent="0.25">
      <c r="A10" s="7"/>
      <c r="B10" s="1992"/>
      <c r="C10" s="1992"/>
      <c r="D10" s="1992"/>
      <c r="E10" s="1992"/>
      <c r="F10" s="1992"/>
      <c r="G10" s="1992"/>
      <c r="H10" s="1992"/>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250</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250</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31.25</v>
      </c>
      <c r="C21" s="483" t="s">
        <v>751</v>
      </c>
      <c r="D21" s="213">
        <f>IF('R-Definição'!$I$24="Sim",'R-Definição'!$I$27,0)</f>
        <v>31.25</v>
      </c>
      <c r="E21" s="213">
        <f>'R-Definição'!O30</f>
        <v>2.4921875</v>
      </c>
      <c r="F21" s="213">
        <f>'R-Definição'!L32</f>
        <v>13.653124999999999</v>
      </c>
      <c r="G21" s="213">
        <f>SUM('R-Definição'!O34:'R-Definição'!O35)</f>
        <v>15.104687500000001</v>
      </c>
      <c r="H21" s="21"/>
      <c r="I21" s="3"/>
      <c r="J21" s="3"/>
      <c r="K21" s="3"/>
      <c r="L21" s="3"/>
      <c r="M21" s="7"/>
      <c r="N21" s="7"/>
      <c r="O21" s="7"/>
      <c r="P21" s="7"/>
      <c r="Q21" s="7"/>
      <c r="R21" s="3"/>
      <c r="S21" s="3"/>
      <c r="T21" s="3"/>
    </row>
    <row r="22" spans="1:20" ht="18" customHeight="1" x14ac:dyDescent="0.25">
      <c r="A22" s="3"/>
      <c r="B22" s="715"/>
      <c r="C22" s="716" t="s">
        <v>218</v>
      </c>
      <c r="D22" s="711">
        <f>SUM(D19:D21)</f>
        <v>31.25</v>
      </c>
      <c r="E22" s="214">
        <f>SUM(E19:E21)</f>
        <v>2.4921875</v>
      </c>
      <c r="F22" s="214">
        <f>SUM(F19:F21)</f>
        <v>13.653124999999999</v>
      </c>
      <c r="G22" s="214">
        <f>SUM(G19:G21)</f>
        <v>15.104687500000001</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31">
        <f>D29</f>
        <v>0</v>
      </c>
      <c r="C25" s="223" t="s">
        <v>732</v>
      </c>
      <c r="D25" s="213">
        <f>'R-Definição'!E49</f>
        <v>0</v>
      </c>
      <c r="E25" s="2114">
        <f>'R-Definição'!O49+'R-Definição'!O50</f>
        <v>0</v>
      </c>
      <c r="F25" s="2118"/>
      <c r="G25" s="2114">
        <f>'R-Definição'!O53</f>
        <v>0</v>
      </c>
      <c r="H25" s="2114">
        <f>'R-Definição'!O55</f>
        <v>0</v>
      </c>
      <c r="I25" s="3"/>
      <c r="J25" s="3"/>
      <c r="K25" s="3"/>
      <c r="L25" s="3"/>
      <c r="M25" s="3"/>
      <c r="N25" s="3"/>
      <c r="O25" s="3"/>
      <c r="P25" s="3"/>
      <c r="Q25" s="3"/>
      <c r="R25" s="3"/>
      <c r="S25" s="3"/>
      <c r="T25" s="3"/>
    </row>
    <row r="26" spans="1:20" ht="18" customHeight="1" x14ac:dyDescent="0.25">
      <c r="A26" s="3"/>
      <c r="B26" s="2132"/>
      <c r="C26" s="223" t="s">
        <v>733</v>
      </c>
      <c r="D26" s="213">
        <f>'R-Definição'!E50</f>
        <v>0</v>
      </c>
      <c r="E26" s="2115"/>
      <c r="F26" s="2115"/>
      <c r="G26" s="2115"/>
      <c r="H26" s="2115"/>
      <c r="I26" s="3"/>
      <c r="J26" s="3"/>
      <c r="K26" s="3"/>
      <c r="L26" s="3"/>
      <c r="M26" s="3"/>
      <c r="N26" s="3"/>
      <c r="O26" s="3"/>
      <c r="P26" s="3"/>
      <c r="Q26" s="3"/>
      <c r="R26" s="3"/>
      <c r="S26" s="3"/>
      <c r="T26" s="3"/>
    </row>
    <row r="27" spans="1:20" ht="18" customHeight="1" x14ac:dyDescent="0.25">
      <c r="A27" s="3"/>
      <c r="B27" s="2132"/>
      <c r="C27" s="223" t="s">
        <v>545</v>
      </c>
      <c r="D27" s="213">
        <f>'R-Definição'!E51</f>
        <v>0</v>
      </c>
      <c r="E27" s="2115"/>
      <c r="F27" s="2115"/>
      <c r="G27" s="2115"/>
      <c r="H27" s="2115"/>
      <c r="I27" s="3"/>
      <c r="J27" s="3"/>
      <c r="K27" s="3"/>
      <c r="L27" s="3"/>
      <c r="M27" s="3"/>
      <c r="N27" s="3"/>
      <c r="O27" s="3"/>
      <c r="P27" s="3"/>
      <c r="Q27" s="3"/>
      <c r="R27" s="3"/>
      <c r="S27" s="3"/>
      <c r="T27" s="3"/>
    </row>
    <row r="28" spans="1:20" ht="18" customHeight="1" x14ac:dyDescent="0.25">
      <c r="A28" s="3"/>
      <c r="B28" s="2132"/>
      <c r="C28" s="223" t="s">
        <v>546</v>
      </c>
      <c r="D28" s="213">
        <f>'R-Definição'!E52</f>
        <v>0</v>
      </c>
      <c r="E28" s="2115"/>
      <c r="F28" s="2115"/>
      <c r="G28" s="2115"/>
      <c r="H28" s="2115"/>
      <c r="I28" s="3"/>
      <c r="J28" s="3"/>
      <c r="K28" s="3"/>
      <c r="L28" s="3"/>
      <c r="M28" s="3"/>
      <c r="N28" s="3"/>
      <c r="O28" s="3"/>
      <c r="P28" s="3"/>
      <c r="Q28" s="3"/>
      <c r="R28" s="3"/>
      <c r="S28" s="3"/>
      <c r="T28" s="3"/>
    </row>
    <row r="29" spans="1:20" ht="18" customHeight="1" x14ac:dyDescent="0.25">
      <c r="A29" s="3"/>
      <c r="B29" s="212"/>
      <c r="C29" s="716" t="s">
        <v>218</v>
      </c>
      <c r="D29" s="711">
        <f>SUM(D25:D28)</f>
        <v>0</v>
      </c>
      <c r="E29" s="214">
        <f>E25</f>
        <v>0</v>
      </c>
      <c r="F29" s="214"/>
      <c r="G29" s="214">
        <f>SUM(G25)</f>
        <v>0</v>
      </c>
      <c r="H29" s="214">
        <f>SUM(H25:H28)</f>
        <v>0</v>
      </c>
      <c r="I29" s="3"/>
      <c r="J29" s="3"/>
      <c r="K29" s="3"/>
      <c r="L29" s="3"/>
      <c r="M29" s="3"/>
      <c r="N29" s="3"/>
      <c r="O29" s="3"/>
      <c r="P29" s="3"/>
      <c r="Q29" s="3"/>
      <c r="R29" s="3"/>
      <c r="S29" s="3"/>
      <c r="T29" s="3"/>
    </row>
    <row r="30" spans="1:20" ht="18" customHeight="1" x14ac:dyDescent="0.25">
      <c r="A30" s="3"/>
      <c r="B30" s="709">
        <f>'R-Definição'!I51</f>
        <v>0</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17">
        <f>'R-Definição'!O67+'R-Definição'!O68</f>
        <v>0</v>
      </c>
      <c r="G34" s="2114">
        <f>'R-Definição'!O73</f>
        <v>0</v>
      </c>
      <c r="H34" s="2114">
        <f>'R-Definição'!O74</f>
        <v>0</v>
      </c>
      <c r="I34" s="3"/>
      <c r="J34" s="3"/>
      <c r="K34" s="3"/>
      <c r="L34" s="3"/>
      <c r="M34" s="3"/>
      <c r="N34" s="3"/>
      <c r="O34" s="3"/>
      <c r="P34" s="3"/>
      <c r="Q34" s="3"/>
      <c r="R34" s="3"/>
      <c r="S34" s="3"/>
      <c r="T34" s="3"/>
    </row>
    <row r="35" spans="1:20" ht="18" customHeight="1" x14ac:dyDescent="0.25">
      <c r="A35" s="3"/>
      <c r="B35" s="709">
        <f>'R-Definição'!O63+'R-Definição'!O64</f>
        <v>0</v>
      </c>
      <c r="C35" s="483" t="s">
        <v>132</v>
      </c>
      <c r="D35" s="213">
        <f>'R-Definição'!E60-'R-Definição'!O62</f>
        <v>0</v>
      </c>
      <c r="E35" s="931"/>
      <c r="F35" s="2116"/>
      <c r="G35" s="2116"/>
      <c r="H35" s="2116"/>
      <c r="I35" s="3"/>
      <c r="J35" s="3"/>
      <c r="K35" s="3"/>
      <c r="L35" s="3"/>
      <c r="M35" s="3"/>
      <c r="N35" s="3"/>
      <c r="O35" s="3"/>
      <c r="P35" s="3"/>
      <c r="Q35" s="3"/>
      <c r="R35" s="3"/>
      <c r="S35" s="3"/>
      <c r="T35" s="3"/>
    </row>
    <row r="36" spans="1:20" ht="18" customHeight="1" x14ac:dyDescent="0.25">
      <c r="A36" s="3"/>
      <c r="B36" s="202"/>
      <c r="C36" s="717" t="s">
        <v>218</v>
      </c>
      <c r="D36" s="231">
        <f>SUM(D33:D35)</f>
        <v>0</v>
      </c>
      <c r="E36" s="226"/>
      <c r="F36" s="719">
        <f>F34</f>
        <v>0</v>
      </c>
      <c r="G36" s="719">
        <f>G34</f>
        <v>0</v>
      </c>
      <c r="H36" s="719">
        <f>H34</f>
        <v>0</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31">
        <f>'R-Definição'!E112</f>
        <v>247.5078125</v>
      </c>
      <c r="C39" s="483" t="s">
        <v>222</v>
      </c>
      <c r="D39" s="213">
        <f>'R-Definição'!E107</f>
        <v>218.75</v>
      </c>
      <c r="E39" s="2119">
        <f>'R-Definição'!O107+'R-Definição'!O108+'R-Definição'!O109</f>
        <v>5.6429547394621196</v>
      </c>
      <c r="F39" s="2118"/>
      <c r="G39" s="2119">
        <f>'R-Definição'!O110</f>
        <v>49.501562499999999</v>
      </c>
      <c r="H39" s="2119">
        <f>'R-Definição'!O113</f>
        <v>192.36329526053788</v>
      </c>
      <c r="I39" s="3"/>
      <c r="J39" s="3"/>
      <c r="K39" s="3"/>
      <c r="L39" s="3"/>
      <c r="M39" s="3"/>
      <c r="N39" s="3"/>
      <c r="O39" s="3"/>
      <c r="P39" s="3"/>
      <c r="Q39" s="3"/>
      <c r="R39" s="3"/>
      <c r="S39" s="3"/>
      <c r="T39" s="3"/>
    </row>
    <row r="40" spans="1:20" ht="18" customHeight="1" x14ac:dyDescent="0.25">
      <c r="A40" s="3"/>
      <c r="B40" s="2065"/>
      <c r="C40" s="483" t="s">
        <v>752</v>
      </c>
      <c r="D40" s="213">
        <f>'R-Definição'!E108</f>
        <v>0</v>
      </c>
      <c r="E40" s="2116"/>
      <c r="F40" s="2116"/>
      <c r="G40" s="2116"/>
      <c r="H40" s="2116"/>
      <c r="I40" s="3"/>
      <c r="J40" s="3"/>
      <c r="K40" s="3"/>
      <c r="L40" s="3"/>
      <c r="M40" s="3"/>
      <c r="N40" s="3"/>
      <c r="O40" s="3"/>
      <c r="P40" s="3"/>
      <c r="Q40" s="3"/>
      <c r="R40" s="3"/>
      <c r="S40" s="3"/>
      <c r="T40" s="3"/>
    </row>
    <row r="41" spans="1:20" ht="18" customHeight="1" x14ac:dyDescent="0.25">
      <c r="A41" s="3"/>
      <c r="B41" s="2065"/>
      <c r="C41" s="483" t="s">
        <v>734</v>
      </c>
      <c r="D41" s="213">
        <f>'R-Definição'!E109</f>
        <v>0</v>
      </c>
      <c r="E41" s="2116"/>
      <c r="F41" s="2116"/>
      <c r="G41" s="2116"/>
      <c r="H41" s="2116"/>
      <c r="I41" s="3"/>
      <c r="J41" s="3"/>
      <c r="K41" s="3"/>
      <c r="L41" s="3"/>
      <c r="M41" s="3"/>
      <c r="N41" s="3"/>
      <c r="O41" s="3"/>
      <c r="P41" s="3"/>
      <c r="Q41" s="3"/>
      <c r="R41" s="3"/>
      <c r="S41" s="3"/>
      <c r="T41" s="3"/>
    </row>
    <row r="42" spans="1:20" ht="18" customHeight="1" x14ac:dyDescent="0.25">
      <c r="A42" s="3"/>
      <c r="B42" s="2065"/>
      <c r="C42" s="227" t="s">
        <v>819</v>
      </c>
      <c r="D42" s="213">
        <f>'R-Definição'!E110</f>
        <v>15.104687500000001</v>
      </c>
      <c r="E42" s="2116"/>
      <c r="F42" s="2116"/>
      <c r="G42" s="2116"/>
      <c r="H42" s="2116"/>
      <c r="I42" s="3"/>
      <c r="J42" s="3"/>
      <c r="K42" s="3"/>
      <c r="L42" s="3"/>
      <c r="M42" s="3"/>
      <c r="N42" s="3"/>
      <c r="O42" s="3"/>
      <c r="P42" s="3"/>
      <c r="Q42" s="3"/>
      <c r="R42" s="3"/>
      <c r="S42" s="3"/>
      <c r="T42" s="3"/>
    </row>
    <row r="43" spans="1:20" ht="18" customHeight="1" x14ac:dyDescent="0.25">
      <c r="A43" s="3"/>
      <c r="C43" s="748" t="s">
        <v>990</v>
      </c>
      <c r="D43" s="213">
        <f>'R-Definição'!E111</f>
        <v>13.653124999999999</v>
      </c>
      <c r="I43" s="3"/>
      <c r="J43" s="3"/>
      <c r="K43" s="3"/>
      <c r="L43" s="3"/>
      <c r="M43" s="3"/>
      <c r="N43" s="3"/>
      <c r="O43" s="3"/>
      <c r="P43" s="3"/>
      <c r="Q43" s="3"/>
      <c r="R43" s="3"/>
      <c r="S43" s="3"/>
      <c r="T43" s="3"/>
    </row>
    <row r="44" spans="1:20" ht="18" customHeight="1" x14ac:dyDescent="0.25">
      <c r="A44" s="3"/>
      <c r="B44" s="202"/>
      <c r="C44" s="717" t="s">
        <v>218</v>
      </c>
      <c r="D44" s="935">
        <f>SUM(D39:D43)</f>
        <v>247.5078125</v>
      </c>
      <c r="E44" s="720">
        <f>E39</f>
        <v>5.6429547394621196</v>
      </c>
      <c r="F44" s="721"/>
      <c r="G44" s="720">
        <f>SUM(G38:G42)</f>
        <v>49.501562499999999</v>
      </c>
      <c r="H44" s="720">
        <f>SUM(H38:H42)</f>
        <v>192.36329526053788</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25">
        <f>'R-Definição'!E119</f>
        <v>49.501562499999999</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26"/>
      <c r="C48" s="483" t="s">
        <v>547</v>
      </c>
      <c r="D48" s="213">
        <f>'R-Definição'!N96</f>
        <v>0</v>
      </c>
      <c r="E48" s="6"/>
      <c r="F48" s="710"/>
      <c r="G48" s="211" t="s">
        <v>225</v>
      </c>
      <c r="H48" s="211" t="s">
        <v>22</v>
      </c>
      <c r="I48" s="3"/>
      <c r="J48" s="3"/>
      <c r="K48" s="3"/>
      <c r="L48" s="3"/>
      <c r="M48" s="3"/>
      <c r="N48" s="3"/>
      <c r="O48" s="3"/>
      <c r="P48" s="3"/>
      <c r="Q48" s="3"/>
      <c r="R48" s="3"/>
      <c r="S48" s="3"/>
      <c r="T48" s="3"/>
    </row>
    <row r="49" spans="1:20" ht="18" customHeight="1" x14ac:dyDescent="0.25">
      <c r="A49" s="3"/>
      <c r="B49" s="2126"/>
      <c r="C49" s="483" t="s">
        <v>548</v>
      </c>
      <c r="D49" s="213">
        <f>'R-Definição'!N98+'R-Definição'!N99+'R-Definição'!N97</f>
        <v>0</v>
      </c>
      <c r="E49" s="5"/>
      <c r="F49" s="223" t="s">
        <v>226</v>
      </c>
      <c r="G49" s="213">
        <f>D53</f>
        <v>49.501562499999999</v>
      </c>
      <c r="H49" s="845">
        <f>IF($G$52&lt;&gt;0,G49/$G$52*100,0)</f>
        <v>19.800625</v>
      </c>
      <c r="I49" s="20"/>
      <c r="J49" s="3"/>
      <c r="K49" s="3"/>
      <c r="L49" s="3"/>
      <c r="M49" s="3"/>
      <c r="N49" s="3"/>
      <c r="O49" s="3"/>
      <c r="P49" s="3"/>
      <c r="Q49" s="3"/>
      <c r="R49" s="3"/>
      <c r="S49" s="3"/>
      <c r="T49" s="3"/>
    </row>
    <row r="50" spans="1:20" ht="18" customHeight="1" x14ac:dyDescent="0.25">
      <c r="A50" s="3"/>
      <c r="B50" s="2126"/>
      <c r="C50" s="483" t="s">
        <v>549</v>
      </c>
      <c r="D50" s="213">
        <f>'R-Definição'!O53</f>
        <v>0</v>
      </c>
      <c r="E50" s="5"/>
      <c r="F50" s="223" t="s">
        <v>552</v>
      </c>
      <c r="G50" s="845">
        <f>E44+F36+E29+E22</f>
        <v>8.1351422394621196</v>
      </c>
      <c r="H50" s="845">
        <f>IF($G$52&lt;&gt;0,G50/$G$52*100,0)</f>
        <v>3.2540568957848479</v>
      </c>
      <c r="I50" s="22"/>
      <c r="J50" s="3"/>
      <c r="K50" s="3"/>
      <c r="L50" s="3"/>
      <c r="M50" s="3"/>
      <c r="N50" s="3"/>
      <c r="O50" s="3"/>
      <c r="P50" s="3"/>
      <c r="Q50" s="3"/>
      <c r="R50" s="3"/>
      <c r="S50" s="3"/>
      <c r="T50" s="3"/>
    </row>
    <row r="51" spans="1:20" ht="18" customHeight="1" x14ac:dyDescent="0.25">
      <c r="A51" s="3"/>
      <c r="B51" s="2126"/>
      <c r="C51" s="483" t="s">
        <v>550</v>
      </c>
      <c r="D51" s="213">
        <f>'R-Definição'!O73</f>
        <v>0</v>
      </c>
      <c r="E51" s="3"/>
      <c r="F51" s="223" t="s">
        <v>227</v>
      </c>
      <c r="G51" s="845">
        <f>H29+H36+H44</f>
        <v>192.36329526053788</v>
      </c>
      <c r="H51" s="845">
        <f>IF($G$52&lt;&gt;0,G51/$G$52*100,0)</f>
        <v>76.945318104215161</v>
      </c>
      <c r="I51" s="3"/>
      <c r="J51" s="3"/>
      <c r="K51" s="3"/>
      <c r="L51" s="3"/>
      <c r="M51" s="3"/>
      <c r="N51" s="3"/>
      <c r="O51" s="3"/>
      <c r="P51" s="3"/>
      <c r="Q51" s="3"/>
      <c r="R51" s="3"/>
      <c r="S51" s="3"/>
      <c r="T51" s="3"/>
    </row>
    <row r="52" spans="1:20" ht="18" customHeight="1" x14ac:dyDescent="0.25">
      <c r="A52" s="3"/>
      <c r="B52" s="2127"/>
      <c r="C52" s="483" t="s">
        <v>551</v>
      </c>
      <c r="D52" s="213">
        <f>'R-Definição'!O110</f>
        <v>49.501562499999999</v>
      </c>
      <c r="E52" s="3"/>
      <c r="F52" s="722" t="s">
        <v>53</v>
      </c>
      <c r="G52" s="214">
        <f>SUM(G49:G51)</f>
        <v>250</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49.501562499999999</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1985" t="s">
        <v>151</v>
      </c>
      <c r="C55" s="2022"/>
      <c r="D55" s="1985" t="s">
        <v>229</v>
      </c>
      <c r="E55" s="2052"/>
      <c r="F55" s="2052"/>
      <c r="G55" s="2052"/>
      <c r="H55" s="2052"/>
      <c r="I55" s="2052"/>
      <c r="J55" s="2052"/>
      <c r="K55" s="2052"/>
      <c r="L55" s="3"/>
      <c r="M55" s="3"/>
      <c r="N55" s="3"/>
      <c r="O55" s="3"/>
      <c r="P55" s="3"/>
      <c r="Q55" s="3"/>
      <c r="R55" s="3"/>
      <c r="S55" s="3"/>
      <c r="T55" s="3"/>
    </row>
    <row r="56" spans="1:20" ht="18" customHeight="1" x14ac:dyDescent="0.25">
      <c r="A56" s="3"/>
      <c r="B56" s="2022"/>
      <c r="C56" s="2022"/>
      <c r="D56" s="2124" t="s">
        <v>53</v>
      </c>
      <c r="E56" s="2124" t="s">
        <v>185</v>
      </c>
      <c r="F56" s="2121"/>
      <c r="G56" s="2121"/>
      <c r="H56" s="2120" t="s">
        <v>62</v>
      </c>
      <c r="I56" s="2120" t="s">
        <v>188</v>
      </c>
      <c r="J56" s="2120" t="s">
        <v>64</v>
      </c>
      <c r="K56" s="2120" t="s">
        <v>65</v>
      </c>
      <c r="L56" s="3"/>
      <c r="M56" s="3"/>
      <c r="N56" s="3"/>
      <c r="O56" s="3"/>
      <c r="P56" s="3"/>
      <c r="Q56" s="3"/>
      <c r="R56" s="3"/>
      <c r="S56" s="3"/>
      <c r="T56" s="3"/>
    </row>
    <row r="57" spans="1:20" ht="18" customHeight="1" x14ac:dyDescent="0.25">
      <c r="A57" s="3"/>
      <c r="B57" s="2123" t="s">
        <v>28</v>
      </c>
      <c r="C57" s="490" t="s">
        <v>21</v>
      </c>
      <c r="D57" s="2121"/>
      <c r="E57" s="490" t="s">
        <v>80</v>
      </c>
      <c r="F57" s="490" t="s">
        <v>87</v>
      </c>
      <c r="G57" s="490" t="s">
        <v>73</v>
      </c>
      <c r="H57" s="2121"/>
      <c r="I57" s="2121"/>
      <c r="J57" s="2121"/>
      <c r="K57" s="2121"/>
      <c r="L57" s="3"/>
      <c r="M57" s="3"/>
      <c r="N57" s="3"/>
      <c r="O57" s="3"/>
      <c r="P57" s="3"/>
      <c r="Q57" s="3"/>
      <c r="R57" s="3"/>
      <c r="S57" s="3"/>
      <c r="T57" s="3"/>
    </row>
    <row r="58" spans="1:20" ht="18" customHeight="1" x14ac:dyDescent="0.25">
      <c r="A58" s="3"/>
      <c r="B58" s="2123"/>
      <c r="C58" s="223" t="s">
        <v>74</v>
      </c>
      <c r="D58" s="213">
        <f t="shared" ref="D58:D64" si="0">SUM(E58:K58)</f>
        <v>1.0234375</v>
      </c>
      <c r="E58" s="213">
        <f>'R-Definição'!M24</f>
        <v>0</v>
      </c>
      <c r="F58" s="213">
        <f>'R-Definição'!N24</f>
        <v>0</v>
      </c>
      <c r="G58" s="213">
        <f>'R-Definição'!O24</f>
        <v>1.0234375</v>
      </c>
      <c r="H58" s="845"/>
      <c r="I58" s="491"/>
      <c r="J58" s="491"/>
      <c r="K58" s="491"/>
      <c r="L58" s="3"/>
      <c r="M58" s="3"/>
      <c r="N58" s="3"/>
      <c r="O58" s="3"/>
      <c r="P58" s="3"/>
      <c r="Q58" s="3"/>
      <c r="R58" s="3"/>
      <c r="S58" s="3"/>
      <c r="T58" s="3"/>
    </row>
    <row r="59" spans="1:20" ht="18" customHeight="1" x14ac:dyDescent="0.25">
      <c r="A59" s="3"/>
      <c r="B59" s="2123"/>
      <c r="C59" s="223" t="s">
        <v>29</v>
      </c>
      <c r="D59" s="213">
        <f t="shared" si="0"/>
        <v>0.6953125</v>
      </c>
      <c r="E59" s="213">
        <f>'R-Definição'!M25</f>
        <v>0</v>
      </c>
      <c r="F59" s="213">
        <f>'R-Definição'!N25</f>
        <v>0</v>
      </c>
      <c r="G59" s="213">
        <f>'R-Definição'!O25</f>
        <v>0.6953125</v>
      </c>
      <c r="H59" s="846"/>
      <c r="I59" s="847"/>
      <c r="J59" s="847"/>
      <c r="K59" s="847"/>
      <c r="L59" s="3"/>
      <c r="M59" s="3"/>
      <c r="N59" s="3"/>
      <c r="O59" s="3"/>
      <c r="P59" s="3"/>
      <c r="Q59" s="3"/>
      <c r="R59" s="3"/>
      <c r="S59" s="3"/>
      <c r="T59" s="3"/>
    </row>
    <row r="60" spans="1:20" ht="18" customHeight="1" x14ac:dyDescent="0.25">
      <c r="A60" s="3"/>
      <c r="B60" s="2123"/>
      <c r="C60" s="223" t="s">
        <v>78</v>
      </c>
      <c r="D60" s="213">
        <f t="shared" si="0"/>
        <v>0.359375</v>
      </c>
      <c r="E60" s="213">
        <f>'R-Definição'!M26</f>
        <v>0</v>
      </c>
      <c r="F60" s="213">
        <f>'R-Definição'!N26</f>
        <v>0</v>
      </c>
      <c r="G60" s="213">
        <f>'R-Definição'!O26</f>
        <v>0.359375</v>
      </c>
      <c r="H60" s="845"/>
      <c r="I60" s="491"/>
      <c r="J60" s="491"/>
      <c r="K60" s="491"/>
      <c r="L60" s="3"/>
      <c r="M60" s="3"/>
      <c r="N60" s="3"/>
      <c r="O60" s="3"/>
      <c r="P60" s="3"/>
      <c r="Q60" s="3"/>
      <c r="R60" s="3"/>
      <c r="S60" s="3"/>
      <c r="T60" s="3"/>
    </row>
    <row r="61" spans="1:20" ht="18" customHeight="1" x14ac:dyDescent="0.25">
      <c r="A61" s="3"/>
      <c r="B61" s="2123"/>
      <c r="C61" s="223" t="s">
        <v>31</v>
      </c>
      <c r="D61" s="213">
        <f t="shared" si="0"/>
        <v>0.1875</v>
      </c>
      <c r="E61" s="213">
        <f>'R-Definição'!M27</f>
        <v>0</v>
      </c>
      <c r="F61" s="213">
        <f>'R-Definição'!N27</f>
        <v>0</v>
      </c>
      <c r="G61" s="213">
        <f>'R-Definição'!O27</f>
        <v>0.1875</v>
      </c>
      <c r="H61" s="845"/>
      <c r="I61" s="491"/>
      <c r="J61" s="491"/>
      <c r="K61" s="491"/>
      <c r="L61" s="3"/>
      <c r="M61" s="3"/>
      <c r="N61" s="3"/>
      <c r="O61" s="3"/>
      <c r="P61" s="3"/>
      <c r="Q61" s="3"/>
      <c r="R61" s="3"/>
      <c r="S61" s="3"/>
      <c r="T61" s="3"/>
    </row>
    <row r="62" spans="1:20" ht="18" customHeight="1" x14ac:dyDescent="0.25">
      <c r="A62" s="3"/>
      <c r="B62" s="2123"/>
      <c r="C62" s="223" t="s">
        <v>32</v>
      </c>
      <c r="D62" s="213">
        <f t="shared" si="0"/>
        <v>4.655134362332026</v>
      </c>
      <c r="E62" s="213">
        <f>'R-Definição'!M28</f>
        <v>0</v>
      </c>
      <c r="F62" s="213">
        <f>'R-Definição'!N28</f>
        <v>0</v>
      </c>
      <c r="G62" s="213">
        <f>'R-Definição'!O28</f>
        <v>0.1796875</v>
      </c>
      <c r="H62" s="845"/>
      <c r="I62" s="491"/>
      <c r="J62" s="845">
        <f>'R-Definição'!O107</f>
        <v>4.475446862332026</v>
      </c>
      <c r="K62" s="491"/>
      <c r="L62" s="3"/>
      <c r="M62" s="3"/>
      <c r="N62" s="3"/>
      <c r="O62" s="3"/>
      <c r="P62" s="3"/>
      <c r="Q62" s="3"/>
      <c r="R62" s="3"/>
      <c r="S62" s="3"/>
      <c r="T62" s="3"/>
    </row>
    <row r="63" spans="1:20" ht="18" customHeight="1" x14ac:dyDescent="0.25">
      <c r="A63" s="3"/>
      <c r="B63" s="2123"/>
      <c r="C63" s="223" t="s">
        <v>84</v>
      </c>
      <c r="D63" s="213">
        <f t="shared" si="0"/>
        <v>1.2143828771300935</v>
      </c>
      <c r="E63" s="213">
        <f>'R-Definição'!M29</f>
        <v>0</v>
      </c>
      <c r="F63" s="213">
        <f>'R-Definição'!N29</f>
        <v>0</v>
      </c>
      <c r="G63" s="213">
        <f>'R-Definição'!O29</f>
        <v>4.6875E-2</v>
      </c>
      <c r="H63" s="845"/>
      <c r="I63" s="491"/>
      <c r="J63" s="845">
        <f>'R-Definição'!O108</f>
        <v>1.1675078771300935</v>
      </c>
      <c r="K63" s="491"/>
      <c r="L63" s="3"/>
      <c r="M63" s="3"/>
      <c r="N63" s="3"/>
      <c r="O63" s="3"/>
      <c r="P63" s="3"/>
      <c r="Q63" s="3"/>
      <c r="R63" s="3"/>
      <c r="S63" s="3"/>
      <c r="T63" s="3"/>
    </row>
    <row r="64" spans="1:20" ht="18" customHeight="1" x14ac:dyDescent="0.25">
      <c r="A64" s="3"/>
      <c r="B64" s="2123"/>
      <c r="C64" s="723" t="s">
        <v>513</v>
      </c>
      <c r="D64" s="231">
        <f t="shared" si="0"/>
        <v>8.1351422394621196</v>
      </c>
      <c r="E64" s="232">
        <f>SUM(E58:E63)</f>
        <v>0</v>
      </c>
      <c r="F64" s="232">
        <f>SUM(F58:F63)</f>
        <v>0</v>
      </c>
      <c r="G64" s="232">
        <f>SUM(G58:G63)</f>
        <v>2.4921875</v>
      </c>
      <c r="H64" s="225"/>
      <c r="I64" s="492"/>
      <c r="J64" s="233">
        <f>SUM(J58:J63)</f>
        <v>5.6429547394621196</v>
      </c>
      <c r="K64" s="492"/>
      <c r="L64" s="3"/>
      <c r="M64" s="3"/>
      <c r="N64" s="3"/>
      <c r="O64" s="3"/>
      <c r="P64" s="3"/>
      <c r="Q64" s="3"/>
      <c r="R64" s="3"/>
      <c r="S64" s="3"/>
      <c r="T64" s="3"/>
    </row>
    <row r="65" spans="1:20" ht="18" customHeight="1" x14ac:dyDescent="0.25">
      <c r="A65" s="3"/>
      <c r="B65" s="2123"/>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22" t="s">
        <v>231</v>
      </c>
      <c r="C66" s="223" t="s">
        <v>232</v>
      </c>
      <c r="D66" s="213">
        <f>SUM(E66:K66)</f>
        <v>0</v>
      </c>
      <c r="E66" s="491"/>
      <c r="F66" s="491"/>
      <c r="G66" s="491"/>
      <c r="H66" s="845"/>
      <c r="I66" s="845">
        <f>'R-Definição'!O67</f>
        <v>0</v>
      </c>
      <c r="J66" s="491"/>
      <c r="K66" s="491"/>
      <c r="L66" s="3"/>
      <c r="M66" s="3"/>
      <c r="N66" s="3"/>
      <c r="O66" s="3"/>
      <c r="P66" s="3"/>
      <c r="Q66" s="3"/>
      <c r="R66" s="3"/>
      <c r="S66" s="3"/>
      <c r="T66" s="3"/>
    </row>
    <row r="67" spans="1:20" ht="18" customHeight="1" x14ac:dyDescent="0.25">
      <c r="A67" s="3"/>
      <c r="B67" s="2123"/>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23"/>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23"/>
      <c r="C69" s="723" t="s">
        <v>554</v>
      </c>
      <c r="D69" s="231">
        <f>SUM(D66:D67)</f>
        <v>0</v>
      </c>
      <c r="E69" s="490"/>
      <c r="F69" s="490"/>
      <c r="G69" s="490"/>
      <c r="H69" s="225"/>
      <c r="I69" s="225">
        <f>SUM(I66:I68)</f>
        <v>0</v>
      </c>
      <c r="J69" s="492"/>
      <c r="K69" s="492"/>
      <c r="L69" s="3"/>
      <c r="M69" s="3"/>
      <c r="N69" s="3"/>
      <c r="O69" s="3"/>
      <c r="P69" s="3"/>
      <c r="Q69" s="3"/>
      <c r="R69" s="3"/>
      <c r="S69" s="3"/>
      <c r="T69" s="3"/>
    </row>
    <row r="70" spans="1:20" ht="18" customHeight="1" x14ac:dyDescent="0.25">
      <c r="A70" s="3"/>
      <c r="B70" s="2123"/>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23"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23"/>
      <c r="C72" s="223" t="s">
        <v>235</v>
      </c>
      <c r="D72" s="213">
        <f>SUM(E72:K72)</f>
        <v>0</v>
      </c>
      <c r="E72" s="491"/>
      <c r="F72" s="491"/>
      <c r="G72" s="491"/>
      <c r="H72" s="845">
        <f>'R-Definição'!O50</f>
        <v>0</v>
      </c>
      <c r="I72" s="491"/>
      <c r="J72" s="491"/>
      <c r="K72" s="491"/>
      <c r="L72" s="3"/>
      <c r="M72" s="3"/>
      <c r="N72" s="3"/>
      <c r="O72" s="3"/>
      <c r="P72" s="3"/>
      <c r="Q72" s="3"/>
      <c r="R72" s="3"/>
      <c r="S72" s="3"/>
      <c r="T72" s="3"/>
    </row>
    <row r="73" spans="1:20" ht="18" customHeight="1" x14ac:dyDescent="0.25">
      <c r="A73" s="3"/>
      <c r="B73" s="2123"/>
      <c r="C73" s="490" t="s">
        <v>555</v>
      </c>
      <c r="D73" s="231">
        <f>SUM(D71:D72)</f>
        <v>0</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167798.94394331248</v>
      </c>
      <c r="E74" s="841"/>
      <c r="F74" s="841"/>
      <c r="G74" s="841"/>
      <c r="H74" s="842"/>
      <c r="I74" s="841">
        <f>'R-Definição'!O69</f>
        <v>0</v>
      </c>
      <c r="J74" s="841">
        <f>'R-Definição'!O111</f>
        <v>167798.94394331248</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34" t="str">
        <f>IF('R-Entrada'!D2&lt;&gt;0,'R-Entrada'!D2,"")</f>
        <v>CIRSOP - Consórcio RSU Oeste Paulista</v>
      </c>
      <c r="E2" s="2067"/>
      <c r="F2" s="2067"/>
      <c r="G2" s="2067"/>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34" t="str">
        <f>IF('R-Entrada'!D3&lt;&gt;0,'R-Entrada'!D3,"")</f>
        <v>Biodigestão c/ Prod. E. Elétrica</v>
      </c>
      <c r="E3" s="2029"/>
      <c r="F3" s="2029"/>
      <c r="G3" s="2029"/>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35" t="s">
        <v>473</v>
      </c>
      <c r="R5" s="2069"/>
      <c r="S5" s="2069"/>
      <c r="T5" s="2069"/>
      <c r="U5" s="2069"/>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1996" t="str">
        <f>Apresentação!I2</f>
        <v>RC-RSU V.1.0 - 15/10/2020</v>
      </c>
      <c r="R6" s="1996"/>
      <c r="S6" s="1996"/>
      <c r="T6" s="2069"/>
      <c r="U6" s="2069"/>
      <c r="V6" s="422"/>
      <c r="W6" s="422"/>
      <c r="X6" s="422"/>
      <c r="Y6" s="2136"/>
      <c r="Z6" s="2137"/>
      <c r="AA6" s="2137"/>
      <c r="AB6" s="2137"/>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37"/>
      <c r="Z7" s="2137"/>
      <c r="AA7" s="2137"/>
      <c r="AB7" s="2137"/>
      <c r="AC7" s="422"/>
      <c r="AD7" s="422"/>
      <c r="AE7" s="422"/>
      <c r="AF7" s="422"/>
      <c r="AG7" s="422"/>
      <c r="AH7" s="422"/>
    </row>
    <row r="8" spans="1:34" ht="18" customHeight="1" x14ac:dyDescent="0.25">
      <c r="A8" s="241"/>
      <c r="B8" s="2138" t="s">
        <v>777</v>
      </c>
      <c r="C8" s="2139"/>
      <c r="D8" s="2139"/>
      <c r="E8" s="2139"/>
      <c r="F8" s="802"/>
      <c r="G8" s="802"/>
      <c r="H8" s="802"/>
      <c r="I8" s="802"/>
      <c r="J8" s="803"/>
      <c r="K8" s="418"/>
      <c r="L8" s="187" t="s">
        <v>932</v>
      </c>
      <c r="M8" s="434"/>
      <c r="N8" s="434"/>
      <c r="O8" s="434"/>
      <c r="P8" s="434"/>
      <c r="Q8" s="434"/>
      <c r="R8" s="434"/>
      <c r="S8" s="435"/>
      <c r="T8" s="475"/>
      <c r="U8" s="235"/>
      <c r="V8" s="422"/>
      <c r="W8" s="422"/>
      <c r="X8" s="422"/>
      <c r="Y8" s="2137"/>
      <c r="Z8" s="2137"/>
      <c r="AA8" s="2137"/>
      <c r="AB8" s="2137"/>
      <c r="AC8" s="422"/>
      <c r="AD8" s="422"/>
      <c r="AE8" s="422"/>
      <c r="AF8" s="422"/>
      <c r="AG8" s="422"/>
      <c r="AH8" s="422"/>
    </row>
    <row r="9" spans="1:34" ht="18" customHeight="1" x14ac:dyDescent="0.25">
      <c r="A9" s="235"/>
      <c r="B9" s="419"/>
      <c r="C9" s="770" t="s">
        <v>240</v>
      </c>
      <c r="D9" s="771" t="s">
        <v>799</v>
      </c>
      <c r="E9" s="783"/>
      <c r="F9" s="801"/>
      <c r="G9" s="611"/>
      <c r="H9" s="624"/>
      <c r="I9" s="981">
        <f>'R-Entrada'!E14*313</f>
        <v>78250</v>
      </c>
      <c r="J9" s="245" t="s">
        <v>241</v>
      </c>
      <c r="K9" s="420"/>
      <c r="L9" s="782"/>
      <c r="M9" s="436" t="s">
        <v>242</v>
      </c>
      <c r="N9" s="436"/>
      <c r="O9" s="436"/>
      <c r="P9" s="436"/>
      <c r="Q9" s="436"/>
      <c r="R9" s="436"/>
      <c r="S9" s="437"/>
      <c r="T9" s="804"/>
      <c r="U9" s="235"/>
      <c r="V9" s="422"/>
      <c r="W9" s="422"/>
      <c r="X9" s="422"/>
      <c r="Y9" s="2137"/>
      <c r="Z9" s="2137"/>
      <c r="AA9" s="2137"/>
      <c r="AB9" s="2137"/>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3.125</v>
      </c>
      <c r="R10" s="245" t="s">
        <v>195</v>
      </c>
      <c r="S10" s="244">
        <f>'R-Definição'!L24</f>
        <v>1.0234375</v>
      </c>
      <c r="T10" s="818" t="s">
        <v>21</v>
      </c>
      <c r="U10" s="724"/>
      <c r="V10" s="422"/>
      <c r="W10" s="422"/>
      <c r="X10" s="422"/>
      <c r="Y10" s="2137"/>
      <c r="Z10" s="2137"/>
      <c r="AA10" s="2137"/>
      <c r="AB10" s="2137"/>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3.125</v>
      </c>
      <c r="R11" s="245" t="s">
        <v>195</v>
      </c>
      <c r="S11" s="244">
        <f>'R-Definição'!L25+'R-Definição'!L26</f>
        <v>1.0546875</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3.125</v>
      </c>
      <c r="R12" s="245" t="s">
        <v>195</v>
      </c>
      <c r="S12" s="244">
        <f>'R-Definição'!L27</f>
        <v>0.1875</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3.125</v>
      </c>
      <c r="R13" s="245" t="s">
        <v>195</v>
      </c>
      <c r="S13" s="244">
        <f>'R-Definição'!L28</f>
        <v>0.1796875</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3.125</v>
      </c>
      <c r="R14" s="245" t="s">
        <v>195</v>
      </c>
      <c r="S14" s="244">
        <f>'R-Definição'!L29</f>
        <v>4.6875E-2</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33" t="s">
        <v>800</v>
      </c>
      <c r="AC16" s="2034"/>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10.625</v>
      </c>
      <c r="R17" s="775" t="s">
        <v>195</v>
      </c>
      <c r="S17" s="807">
        <f>Y18-(SUM(Z18:AC18))</f>
        <v>12.856249999999999</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10.625</v>
      </c>
      <c r="R18" s="737" t="s">
        <v>195</v>
      </c>
      <c r="S18" s="730">
        <f>Y19-(SUM(Z19:AC19))</f>
        <v>0.796875</v>
      </c>
      <c r="T18" s="820" t="s">
        <v>21</v>
      </c>
      <c r="U18" s="724"/>
      <c r="V18" s="422"/>
      <c r="W18" s="483" t="s">
        <v>247</v>
      </c>
      <c r="X18" s="754"/>
      <c r="Y18" s="244">
        <f>'R-Definição'!$D$14+'R-Definição'!$O$32</f>
        <v>12.856249999999999</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0.796875</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100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0</v>
      </c>
      <c r="J33" s="245" t="s">
        <v>195</v>
      </c>
      <c r="K33" s="244">
        <f>IF(OR(AND('R-Definição'!E122="Rota atual",'R-Definição'!E123="Aterro sanitário"),'R-Definição'!E122="Rota Futura"),'R-Definição'!N95+'R-Definição'!N96+'R-Definição'!N97+'R-Definição'!N98+'R-Definição'!N99,0)</f>
        <v>0</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0</v>
      </c>
      <c r="J36" s="245" t="s">
        <v>195</v>
      </c>
      <c r="K36" s="244">
        <f>IF(K37&lt;&gt;0,0,'R-Definição'!I51)</f>
        <v>0</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0</v>
      </c>
      <c r="J38" s="245" t="s">
        <v>195</v>
      </c>
      <c r="K38" s="244">
        <f>IF('R-Definição'!I29="Biosecagem CDR",'R-Definição'!I52+SUM(AC18:AC19),'R-Definição'!I52)</f>
        <v>0</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100</v>
      </c>
      <c r="J39" s="245" t="s">
        <v>195</v>
      </c>
      <c r="K39" s="244">
        <f>'R-Definição'!E112</f>
        <v>247.5078125</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247.5078125</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opLeftCell="A34"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52" t="s">
        <v>473</v>
      </c>
      <c r="D2" s="2002"/>
      <c r="E2" s="830"/>
      <c r="F2" s="1506" t="s">
        <v>485</v>
      </c>
      <c r="G2" s="2143" t="str">
        <f>IF('R-Definição'!D2&lt;&gt;0,'R-Definição'!D2,"")</f>
        <v>CIRSOP - Consórcio RSU Oeste Paulista</v>
      </c>
      <c r="H2" s="2144"/>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51" t="str">
        <f>Apresentação!I2</f>
        <v>RC-RSU V.1.0 - 15/10/2020</v>
      </c>
      <c r="D3" s="2151"/>
      <c r="E3" s="830"/>
      <c r="F3" s="1507" t="s">
        <v>486</v>
      </c>
      <c r="G3" s="2145" t="str">
        <f>IF('R-Definição'!D3&lt;&gt;0,'R-Definição'!D3,"")</f>
        <v>Biodigestão c/ Prod. E. Elétrica</v>
      </c>
      <c r="H3" s="2146"/>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250</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477.96287444798207</v>
      </c>
      <c r="V7" s="948">
        <f>L59</f>
        <v>0</v>
      </c>
      <c r="W7" s="948">
        <f>L62</f>
        <v>0</v>
      </c>
      <c r="X7" s="948">
        <f>L65</f>
        <v>0</v>
      </c>
      <c r="Y7" s="948">
        <f>L68</f>
        <v>0</v>
      </c>
      <c r="Z7" s="948">
        <f>L71</f>
        <v>3551.0785167033505</v>
      </c>
      <c r="AA7" s="948">
        <f>L74</f>
        <v>159.7914030221354</v>
      </c>
      <c r="AB7" s="1547"/>
    </row>
    <row r="8" spans="1:28" s="1900" customFormat="1" ht="17.649999999999999" customHeight="1" x14ac:dyDescent="0.25">
      <c r="A8" s="1639"/>
      <c r="B8" s="1944" t="s">
        <v>297</v>
      </c>
      <c r="C8" s="1901" t="s">
        <v>298</v>
      </c>
      <c r="D8" s="1902">
        <f>D40</f>
        <v>78000</v>
      </c>
      <c r="E8" s="1639"/>
      <c r="F8" s="1944" t="s">
        <v>562</v>
      </c>
      <c r="G8" s="1901" t="s">
        <v>292</v>
      </c>
      <c r="H8" s="1898">
        <f>O78</f>
        <v>36.74456108621893</v>
      </c>
      <c r="I8" s="1639"/>
      <c r="J8" s="1639"/>
      <c r="K8" s="1899"/>
      <c r="L8" s="1639"/>
      <c r="M8" s="1639"/>
      <c r="N8" s="1639"/>
      <c r="O8" s="1639"/>
      <c r="P8" s="1639"/>
      <c r="Q8" s="1639"/>
      <c r="R8" s="947" t="s">
        <v>300</v>
      </c>
      <c r="S8" s="1548">
        <v>0</v>
      </c>
      <c r="T8" s="949">
        <f>L52</f>
        <v>0</v>
      </c>
      <c r="U8" s="949">
        <f>L55</f>
        <v>3811.4866920835889</v>
      </c>
      <c r="V8" s="949">
        <f>L58</f>
        <v>0</v>
      </c>
      <c r="W8" s="949">
        <f>L61</f>
        <v>0</v>
      </c>
      <c r="X8" s="949">
        <f>L64</f>
        <v>0</v>
      </c>
      <c r="Y8" s="949">
        <f>L67</f>
        <v>0</v>
      </c>
      <c r="Z8" s="949">
        <f>L70</f>
        <v>3575.375239850197</v>
      </c>
      <c r="AA8" s="949">
        <f>L73</f>
        <v>363.64980490010794</v>
      </c>
      <c r="AB8" s="1547"/>
    </row>
    <row r="9" spans="1:28" s="1900" customFormat="1" ht="17.649999999999999" customHeight="1" x14ac:dyDescent="0.25">
      <c r="A9" s="1639"/>
      <c r="B9" s="1945" t="s">
        <v>558</v>
      </c>
      <c r="C9" s="1903" t="s">
        <v>298</v>
      </c>
      <c r="D9" s="1905">
        <f>D44</f>
        <v>15444.487499999999</v>
      </c>
      <c r="E9" s="1639"/>
      <c r="F9" s="1945" t="s">
        <v>936</v>
      </c>
      <c r="G9" s="1903" t="s">
        <v>292</v>
      </c>
      <c r="H9" s="1906">
        <f>IF('R-Definição'!$E$121="Existente",((D88+D89)*D44+(D89*D11))/1000000,((D85+D88)*D44+(D89*D11))/1000000)</f>
        <v>0.77222437499999996</v>
      </c>
      <c r="I9" s="1639"/>
      <c r="J9" s="1639"/>
      <c r="K9" s="1899"/>
      <c r="L9" s="1639"/>
      <c r="M9" s="1639"/>
      <c r="N9" s="1639"/>
      <c r="O9" s="1639"/>
      <c r="P9" s="1639"/>
      <c r="Q9" s="1639"/>
      <c r="R9" s="947" t="s">
        <v>301</v>
      </c>
      <c r="S9" s="1548">
        <f>L92</f>
        <v>42.8</v>
      </c>
      <c r="T9" s="948">
        <f>P53</f>
        <v>0</v>
      </c>
      <c r="U9" s="948">
        <f>P56</f>
        <v>96.753025091778852</v>
      </c>
      <c r="V9" s="948">
        <f>P59</f>
        <v>0</v>
      </c>
      <c r="W9" s="948">
        <f>P62</f>
        <v>0</v>
      </c>
      <c r="X9" s="948">
        <f>P65</f>
        <v>0</v>
      </c>
      <c r="Y9" s="948">
        <f>P68</f>
        <v>0</v>
      </c>
      <c r="Z9" s="948">
        <f>P71</f>
        <v>313.70502796340759</v>
      </c>
      <c r="AA9" s="948">
        <f>IF('R-Definição'!E121="Novo",P74,(D44+D46)*D89/D40)</f>
        <v>60.626063434799917</v>
      </c>
      <c r="AB9" s="1547"/>
    </row>
    <row r="10" spans="1:28" s="1900" customFormat="1" ht="17.649999999999999" customHeight="1" x14ac:dyDescent="0.25">
      <c r="A10" s="1639"/>
      <c r="B10" s="1944" t="s">
        <v>715</v>
      </c>
      <c r="C10" s="1901" t="s">
        <v>195</v>
      </c>
      <c r="D10" s="1907">
        <f>D45</f>
        <v>0.80199374999999995</v>
      </c>
      <c r="E10" s="1639"/>
      <c r="F10" s="1945" t="str">
        <f>IF(D24="Sim","Custo Total Rota Tecnológica COM Coleta","Custo Total Rota Tecnológica SEM Coleta")</f>
        <v>Custo Total Rota Tecnológica SEM Coleta</v>
      </c>
      <c r="G10" s="1903" t="s">
        <v>292</v>
      </c>
      <c r="H10" s="1908">
        <f>H6+H8+H9</f>
        <v>37.51678546121893</v>
      </c>
      <c r="I10" s="1639"/>
      <c r="J10" s="1639"/>
      <c r="K10" s="1899"/>
      <c r="L10" s="1639"/>
      <c r="M10" s="1639"/>
      <c r="N10" s="1639"/>
      <c r="O10" s="1639"/>
      <c r="P10" s="1639"/>
      <c r="Q10" s="1639"/>
      <c r="R10" s="947" t="s">
        <v>302</v>
      </c>
      <c r="S10" s="1548">
        <v>0</v>
      </c>
      <c r="T10" s="949">
        <f>P52</f>
        <v>0</v>
      </c>
      <c r="U10" s="949">
        <f>P55</f>
        <v>771.5512799651118</v>
      </c>
      <c r="V10" s="949">
        <f>P58</f>
        <v>0</v>
      </c>
      <c r="W10" s="949">
        <f>P61</f>
        <v>0</v>
      </c>
      <c r="X10" s="949">
        <f>P64</f>
        <v>0</v>
      </c>
      <c r="Y10" s="949">
        <f>P67</f>
        <v>0</v>
      </c>
      <c r="Z10" s="949">
        <f>P70</f>
        <v>315.8514193141898</v>
      </c>
      <c r="AA10" s="948">
        <f>IF('R-Definição'!E121="Novo",P73,D89)</f>
        <v>137.97147858369144</v>
      </c>
      <c r="AB10" s="1547"/>
    </row>
    <row r="11" spans="1:28" s="1900" customFormat="1" ht="17.649999999999999" customHeight="1" x14ac:dyDescent="0.25">
      <c r="A11" s="1639"/>
      <c r="B11" s="1945" t="s">
        <v>559</v>
      </c>
      <c r="C11" s="1903" t="s">
        <v>298</v>
      </c>
      <c r="D11" s="1905">
        <f>'R-Fluxo Massa'!AS49*312</f>
        <v>0</v>
      </c>
      <c r="E11" s="1639"/>
      <c r="F11" s="1944" t="s">
        <v>1112</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51.029223125909809</v>
      </c>
      <c r="V11" s="950">
        <f>IF(V12&gt;0,($L44*$D112+$L46*$D111)/(V12*312),0)</f>
        <v>0</v>
      </c>
      <c r="W11" s="950">
        <f>IF(W12&gt;0,($L45*$D112+$L47*$D111)/(W12*312),0)</f>
        <v>0</v>
      </c>
      <c r="X11" s="950">
        <f>IF(X12&gt;0,($P42*$D114+$P45*$D117)/(X12*312),0)</f>
        <v>0</v>
      </c>
      <c r="Y11" s="950">
        <f>IF(Y12&gt;0,($L48*$D108+$L49*$D109)/(Y12*312),0)</f>
        <v>0</v>
      </c>
      <c r="Z11" s="950">
        <f>IF(Z12&gt;0,($P43*$D114)/(Z12*312),0)</f>
        <v>366.34163838396574</v>
      </c>
      <c r="AA11" s="950">
        <f>IF(AA12&gt;0,($P44*$D114+$P46*$D117)/(AA12*312),0)</f>
        <v>0</v>
      </c>
      <c r="AB11" s="1547"/>
    </row>
    <row r="12" spans="1:28" s="1900" customFormat="1" ht="17.649999999999999" customHeight="1" x14ac:dyDescent="0.25">
      <c r="A12" s="1639"/>
      <c r="B12" s="1944" t="s">
        <v>560</v>
      </c>
      <c r="C12" s="1901" t="s">
        <v>195</v>
      </c>
      <c r="D12" s="1907">
        <f>(D16)/D8</f>
        <v>3.5280184959682943E-2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37.51678546121893</v>
      </c>
      <c r="I12" s="1639"/>
      <c r="J12" s="1639"/>
      <c r="K12" s="1899"/>
      <c r="L12" s="1639"/>
      <c r="M12" s="1639"/>
      <c r="N12" s="1639"/>
      <c r="O12" s="1639"/>
      <c r="P12" s="1639"/>
      <c r="Q12" s="1639"/>
      <c r="R12" s="947" t="s">
        <v>303</v>
      </c>
      <c r="S12" s="1548">
        <f>D38</f>
        <v>250</v>
      </c>
      <c r="T12" s="948">
        <f>$H52/312</f>
        <v>0</v>
      </c>
      <c r="U12" s="948">
        <f>$H55/312</f>
        <v>31.350160256410255</v>
      </c>
      <c r="V12" s="948">
        <f>$H58/312</f>
        <v>0</v>
      </c>
      <c r="W12" s="948">
        <f>$H61/312</f>
        <v>0</v>
      </c>
      <c r="X12" s="948">
        <f>$H64/312</f>
        <v>0</v>
      </c>
      <c r="Y12" s="948">
        <f>$H67/312</f>
        <v>0</v>
      </c>
      <c r="Z12" s="948">
        <f>$H70/312</f>
        <v>248.30110677083334</v>
      </c>
      <c r="AA12" s="948">
        <f>(D44+D46)/312</f>
        <v>49.501562499999999</v>
      </c>
      <c r="AB12" s="1547"/>
    </row>
    <row r="13" spans="1:28" s="1900" customFormat="1" ht="17.649999999999999" customHeight="1" thickBot="1" x14ac:dyDescent="0.3">
      <c r="A13" s="1639"/>
      <c r="B13" s="1946" t="s">
        <v>937</v>
      </c>
      <c r="C13" s="1909" t="s">
        <v>195</v>
      </c>
      <c r="D13" s="1910">
        <f>D16/((SUM('R-Entrada'!G28:G33))*312)</f>
        <v>0.11059619109618478</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480.98442898998627</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2751.8544268552696</v>
      </c>
      <c r="E16" s="63"/>
      <c r="F16" s="1944" t="s">
        <v>565</v>
      </c>
      <c r="G16" s="1914" t="s">
        <v>304</v>
      </c>
      <c r="H16" s="1898">
        <f>K78</f>
        <v>326.72895794553051</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0.27861024971760628</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0</v>
      </c>
      <c r="E18" s="63"/>
      <c r="F18" s="1945" t="s">
        <v>568</v>
      </c>
      <c r="G18" s="1912" t="s">
        <v>305</v>
      </c>
      <c r="H18" s="1905">
        <f>H24*1000000/D40</f>
        <v>5416.2955882085007</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0</v>
      </c>
      <c r="E19" s="63"/>
      <c r="F19" s="1945" t="str">
        <f>J77</f>
        <v>Reinvestimento Total Rota (cada 5 anos)</v>
      </c>
      <c r="G19" s="1916" t="s">
        <v>304</v>
      </c>
      <c r="H19" s="1917">
        <f>K77</f>
        <v>9.7425397523611181</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56760.933382594951</v>
      </c>
      <c r="E20" s="63"/>
      <c r="F20" s="1947" t="s">
        <v>571</v>
      </c>
      <c r="G20" s="1918" t="s">
        <v>304</v>
      </c>
      <c r="H20" s="1919">
        <f>K75</f>
        <v>15.739611238974089</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422.47105588026301</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1108</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53</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-230.80558373380774</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1109</v>
      </c>
      <c r="C28" s="1916" t="s">
        <v>292</v>
      </c>
      <c r="D28" s="1929">
        <v>1</v>
      </c>
      <c r="E28" s="1639"/>
      <c r="F28" s="1945" t="str">
        <f>'C-FCL Real'!K27</f>
        <v>Índice de Retorno do Inv.: TIR</v>
      </c>
      <c r="G28" s="1916" t="s">
        <v>195</v>
      </c>
      <c r="H28" s="1930">
        <f>'C-FCL Real'!H9</f>
        <v>1.5007590593812479</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1110</v>
      </c>
      <c r="C29" s="1916" t="s">
        <v>304</v>
      </c>
      <c r="D29" s="1929">
        <v>0</v>
      </c>
      <c r="E29" s="1639"/>
      <c r="F29" s="1953" t="str">
        <f>'C-FCL Real'!O26</f>
        <v>Taxa de Lucratividade do Investimento</v>
      </c>
      <c r="G29" s="1931" t="s">
        <v>195</v>
      </c>
      <c r="H29" s="1932">
        <f>'C-FCL Real'!H14</f>
        <v>0.45367716788810547</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1111</v>
      </c>
      <c r="C30" s="1918" t="s">
        <v>304</v>
      </c>
      <c r="D30" s="1933">
        <v>0</v>
      </c>
      <c r="E30" s="1639"/>
      <c r="F30" s="1954" t="s">
        <v>955</v>
      </c>
      <c r="G30" s="1942" t="s">
        <v>311</v>
      </c>
      <c r="H30" s="1943">
        <f>D32*(D8*H33+D31*312*H31)/1000000000</f>
        <v>1.7481886794064616</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1104</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137.97147858369144</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1113</v>
      </c>
      <c r="G32" s="1890" t="s">
        <v>1106</v>
      </c>
      <c r="H32" s="1959">
        <f>'C-Calc Tarifa'!M32</f>
        <v>26.055738183438994</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1105</v>
      </c>
      <c r="C33" s="1891" t="s">
        <v>295</v>
      </c>
      <c r="D33" s="1892">
        <v>545.44961638466214</v>
      </c>
      <c r="E33" s="1025"/>
      <c r="F33" s="1958" t="s">
        <v>1107</v>
      </c>
      <c r="G33" s="1936" t="s">
        <v>295</v>
      </c>
      <c r="H33" s="1937">
        <v>607.24899876865459</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2751.8544268552696</v>
      </c>
      <c r="I36" s="144"/>
      <c r="J36" s="1453" t="s">
        <v>898</v>
      </c>
      <c r="K36" s="261" t="s">
        <v>298</v>
      </c>
      <c r="L36" s="1464">
        <f>('R-Resumo Bal. Massa'!F58+'R-Resumo Bal. Massa'!G58)*312*D48/D8</f>
        <v>346.19566961264366</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0.51919384771265653</v>
      </c>
      <c r="E37" s="144"/>
      <c r="F37" s="1453" t="s">
        <v>892</v>
      </c>
      <c r="G37" s="1416" t="s">
        <v>298</v>
      </c>
      <c r="H37" s="1464">
        <f>L48</f>
        <v>0</v>
      </c>
      <c r="I37" s="144"/>
      <c r="J37" s="1453" t="s">
        <v>899</v>
      </c>
      <c r="K37" s="1416" t="s">
        <v>298</v>
      </c>
      <c r="L37" s="1464">
        <f>('R-Resumo Bal. Massa'!F59+'R-Resumo Bal. Massa'!G59)*312*D48/D8</f>
        <v>235.20163813378079</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250</v>
      </c>
      <c r="E38" s="144"/>
      <c r="F38" s="1453" t="s">
        <v>893</v>
      </c>
      <c r="G38" s="1416" t="s">
        <v>298</v>
      </c>
      <c r="H38" s="1464">
        <f>L49</f>
        <v>0</v>
      </c>
      <c r="I38" s="144"/>
      <c r="J38" s="1453" t="s">
        <v>900</v>
      </c>
      <c r="K38" s="1416" t="s">
        <v>298</v>
      </c>
      <c r="L38" s="1464">
        <f>('R-Resumo Bal. Massa'!F60+'R-Resumo Bal. Massa'!G60)*312*D48/D8</f>
        <v>121.56489161970693</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6500</v>
      </c>
      <c r="E39" s="144"/>
      <c r="F39" s="1453" t="s">
        <v>894</v>
      </c>
      <c r="G39" s="1416" t="s">
        <v>298</v>
      </c>
      <c r="H39" s="1464">
        <f>L44+L45</f>
        <v>0</v>
      </c>
      <c r="I39" s="144"/>
      <c r="J39" s="1453" t="s">
        <v>901</v>
      </c>
      <c r="K39" s="1416" t="s">
        <v>298</v>
      </c>
      <c r="L39" s="1464">
        <f>('R-Resumo Bal. Massa'!F61+'R-Resumo Bal. Massa'!G61)*312*D48/D8</f>
        <v>63.425160845064489</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78000</v>
      </c>
      <c r="E40" s="144"/>
      <c r="F40" s="1453" t="s">
        <v>895</v>
      </c>
      <c r="G40" s="1416" t="s">
        <v>298</v>
      </c>
      <c r="H40" s="1464">
        <f>L46+L47</f>
        <v>0</v>
      </c>
      <c r="I40" s="144"/>
      <c r="J40" s="1453" t="s">
        <v>902</v>
      </c>
      <c r="K40" s="1416" t="s">
        <v>298</v>
      </c>
      <c r="L40" s="1464">
        <f>('R-Resumo Bal. Massa'!F63+'R-Resumo Bal. Massa'!G63)*312*D48/D8</f>
        <v>15.856290211266122</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56760.933382594951</v>
      </c>
      <c r="I41" s="144"/>
      <c r="J41" s="1453" t="s">
        <v>903</v>
      </c>
      <c r="K41" s="1416" t="s">
        <v>298</v>
      </c>
      <c r="L41" s="1464">
        <f>('R-Resumo Bal. Massa'!F62+'R-Resumo Bal. Massa'!G62)*312*D48/D8</f>
        <v>60.782445809853463</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394.92999943923184</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78000</v>
      </c>
      <c r="E43" s="144"/>
      <c r="F43" s="1453"/>
      <c r="G43" s="261"/>
      <c r="H43" s="1464"/>
      <c r="I43" s="144"/>
      <c r="J43" s="1453" t="s">
        <v>905</v>
      </c>
      <c r="K43" s="1416" t="s">
        <v>298</v>
      </c>
      <c r="L43" s="1464">
        <f>('R-Resumo Bal. Massa'!J62)*312*D48/D8</f>
        <v>1513.8983311837223</v>
      </c>
      <c r="M43" s="144"/>
      <c r="N43" s="1453" t="s">
        <v>921</v>
      </c>
      <c r="O43" s="1416" t="s">
        <v>306</v>
      </c>
      <c r="P43" s="1464">
        <f>'R-Resumo Bal. Massa'!J74*312/1000*D48/D8</f>
        <v>56760.933382594951</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15444.487499999999</v>
      </c>
      <c r="E44" s="144"/>
      <c r="F44" s="1453"/>
      <c r="G44" s="1416"/>
      <c r="H44" s="1464"/>
      <c r="I44" s="144"/>
      <c r="J44" s="1453" t="s">
        <v>906</v>
      </c>
      <c r="K44" s="261" t="s">
        <v>298</v>
      </c>
      <c r="L44" s="1464">
        <f>IF('R-Definição'!I51&gt;0,('R-Definição'!I49-'R-Definição'!O53-'R-Definição'!O55)*'R-Definição'!L50/100*312,0)*D48/D8</f>
        <v>0</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0.80199374999999995</v>
      </c>
      <c r="E45" s="258"/>
      <c r="F45" s="1453"/>
      <c r="G45" s="1416"/>
      <c r="H45" s="1464"/>
      <c r="I45" s="258"/>
      <c r="J45" s="1453" t="s">
        <v>907</v>
      </c>
      <c r="K45" s="1416" t="s">
        <v>298</v>
      </c>
      <c r="L45" s="1464">
        <f>IF('R-Definição'!I52&gt;0,('R-Definição'!I49-'R-Definição'!O53-'R-Definição'!O55)*'R-Definição'!L50/100*312,0)*D48/D8</f>
        <v>0</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1120</v>
      </c>
      <c r="C48" s="1416" t="s">
        <v>298</v>
      </c>
      <c r="D48" s="1680">
        <f>SUMIF('C-FCL Real'!$C$33:'C-FCL Real'!$BG$33,1,'C-FCL Real'!C35:'C-FCL Real'!BG35)/D32</f>
        <v>84566.881126752647</v>
      </c>
      <c r="E48" s="258"/>
      <c r="F48" s="1453"/>
      <c r="G48" s="1416"/>
      <c r="H48" s="1464"/>
      <c r="I48" s="258"/>
      <c r="J48" s="1453" t="s">
        <v>910</v>
      </c>
      <c r="K48" s="1416" t="s">
        <v>298</v>
      </c>
      <c r="L48" s="1464">
        <f>'R-Resumo Bal. Massa'!I66*312*D48/D8</f>
        <v>0</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customHeight="1" outlineLevel="1" x14ac:dyDescent="0.25">
      <c r="A55" s="43"/>
      <c r="B55" s="1453" t="s">
        <v>583</v>
      </c>
      <c r="C55" s="1416" t="s">
        <v>760</v>
      </c>
      <c r="D55" s="1498">
        <v>0</v>
      </c>
      <c r="E55" s="137"/>
      <c r="F55" s="1039" t="s">
        <v>326</v>
      </c>
      <c r="G55" s="1039" t="str">
        <f>'C-Triagem Mec'!L2</f>
        <v>Sim</v>
      </c>
      <c r="H55" s="1039">
        <f>IF('C-Triagem Mec'!D2&gt;0,'C-Triagem Mec'!H2,0)</f>
        <v>9781.25</v>
      </c>
      <c r="I55" s="651"/>
      <c r="J55" s="1039" t="s">
        <v>326</v>
      </c>
      <c r="K55" s="1549">
        <f>IF('C-Triagem Mec'!$E$7="SIM",'C-Triagem Mec'!$E$19,IF('C-Triagem Mec'!$I$7="SIM",'C-Triagem Mec'!$I$19,IF('C-Triagem Mec'!$M$7="SIM",'C-Triagem Mec'!$M$19,IF('C-Triagem Mec'!$Q$7="SIM",'C-Triagem Mec'!$Q$19,IF('C-Triagem Mec'!$U$7="SIM",'C-Triagem Mec'!$U$19,0)))))</f>
        <v>37.281104206942601</v>
      </c>
      <c r="L55" s="1039">
        <f>IF('C-Triagem Mec'!$E$7="SIM",'C-Triagem Mec'!$E$20,IF('C-Triagem Mec'!$I$7="SIM",'C-Triagem Mec'!$I$20,IF('C-Triagem Mec'!$M$7="SIM",'C-Triagem Mec'!$M$20,IF('C-Triagem Mec'!$Q$7="SIM",'C-Triagem Mec'!$Q$20,IF('C-Triagem Mec'!$U$7="SIM",'C-Triagem Mec'!$U$20,0)))))</f>
        <v>3811.4866920835889</v>
      </c>
      <c r="M55" s="137"/>
      <c r="N55" s="1039" t="s">
        <v>326</v>
      </c>
      <c r="O55" s="1549">
        <f>IF('C-Triagem Mec'!$E$7="SIM",'C-Triagem Mec'!$E$43,IF('C-Triagem Mec'!$I$7="SIM",'C-Triagem Mec'!$I$43,IF('C-Triagem Mec'!$M$7="SIM",'C-Triagem Mec'!$M$43,IF('C-Triagem Mec'!$Q$7="SIM",'C-Triagem Mec'!$Q$43,IF('C-Triagem Mec'!$U$7="SIM",'C-Triagem Mec'!$U$43,0)))))</f>
        <v>7.5467359571587496</v>
      </c>
      <c r="P55" s="1039">
        <f>IF('C-Triagem Mec'!$E$7="SIM",'C-Triagem Mec'!$E$42,IF('C-Triagem Mec'!$I$7="SIM",'C-Triagem Mec'!$I$42,IF('C-Triagem Mec'!$M$7="SIM",'C-Triagem Mec'!$M$42,IF('C-Triagem Mec'!$Q$7="SIM",'C-Triagem Mec'!$Q$42,IF('C-Triagem Mec'!$U$7="SIM",'C-Triagem Mec'!$U$42,0)))))</f>
        <v>771.5512799651118</v>
      </c>
      <c r="Q55" s="137"/>
      <c r="R55" s="944"/>
      <c r="S55" s="945"/>
      <c r="T55" s="945"/>
      <c r="U55" s="945"/>
      <c r="V55" s="945"/>
      <c r="W55" s="945"/>
      <c r="X55" s="945"/>
      <c r="Y55" s="945"/>
      <c r="Z55" s="1525"/>
    </row>
    <row r="56" spans="1:26" ht="17.649999999999999"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477.96287444798207</v>
      </c>
      <c r="M56" s="137"/>
      <c r="N56" s="1453" t="s">
        <v>323</v>
      </c>
      <c r="O56" s="268">
        <f>IF(AND(H55&gt;0,D98="Não"),((L36*D101)+(L37*D102)+(L38*D103)+(L39*D104)+(L40*D106)+(L41*D105))/$D$40,((L36*D101)+(L37*D102)+(L38*D103)+(L39*D104)+(L40*D106)+(L41*D105))/$D$40*(1-D99))</f>
        <v>0</v>
      </c>
      <c r="P56" s="1439">
        <f>IF(O55&gt;0,O55*1000000/$D$40,0)</f>
        <v>96.753025091778852</v>
      </c>
      <c r="Q56" s="137"/>
      <c r="R56" s="944"/>
      <c r="S56" s="945"/>
      <c r="T56" s="945"/>
      <c r="U56" s="945"/>
      <c r="V56" s="945"/>
      <c r="W56" s="945"/>
      <c r="X56" s="945"/>
      <c r="Y56" s="945"/>
      <c r="Z56" s="1525"/>
    </row>
    <row r="57" spans="1:26" ht="17.649999999999999"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12134.725575051662</v>
      </c>
      <c r="H57" s="1492"/>
      <c r="I57" s="651"/>
      <c r="J57" s="1482" t="s">
        <v>324</v>
      </c>
      <c r="K57" s="261">
        <f>IF('C-Triagem Mec'!$E$7="SIM",'C-Triagem Mec'!$E$23,IF('C-Triagem Mec'!$I$7="SIM",'C-Triagem Mec'!$I$23,IF('C-Triagem Mec'!$M$7="SIM",'C-Triagem Mec'!$M$23,IF('C-Triagem Mec'!$Q$7="SIM",'C-Triagem Mec'!$Q$23,IF('C-Triagem Mec'!$U$7="SIM",'C-Triagem Mec'!$U$23,"0")))))</f>
        <v>0.6819602581565728</v>
      </c>
      <c r="L57" s="1483"/>
      <c r="M57" s="137"/>
      <c r="N57" s="1453" t="s">
        <v>325</v>
      </c>
      <c r="O57" s="268">
        <f>IF('C-Triagem Mec'!$E$7="SIM",'C-Triagem Mec'!$E$44,IF('C-Triagem Mec'!$I$7="SIM",'C-Triagem Mec'!$I$44,IF('C-Triagem Mec'!$M$7="SIM",'C-Triagem Mec'!$M$44,IF('C-Triagem Mec'!$Q$7="SIM",'C-Triagem Mec'!$Q$44,IF('C-Triagem Mec'!$U$7="SIM",'C-Triagem Mec'!$U$44,0)))))</f>
        <v>2.7311999999999999</v>
      </c>
      <c r="P57" s="1458">
        <f>IF('C-Triagem Mec'!$E$7="SIM",'C-Triagem Mec'!$E$45,IF('C-Triagem Mec'!$I$7="SIM",'C-Triagem Mec'!$I$45,IF('C-Triagem Mec'!$M$7="SIM",'C-Triagem Mec'!$M$45,IF('C-Triagem Mec'!$Q$7="SIM",'C-Triagem Mec'!$Q$45,IF('C-Triagem Mec'!$U$7="SIM",'C-Triagem Mec'!$U$45,0)))))</f>
        <v>492.32316494913727</v>
      </c>
      <c r="Q57" s="137"/>
      <c r="R57" s="944"/>
      <c r="S57" s="945"/>
      <c r="T57" s="945"/>
      <c r="U57" s="945"/>
      <c r="V57" s="945"/>
      <c r="W57" s="945"/>
      <c r="X57" s="945"/>
      <c r="Y57" s="945"/>
      <c r="Z57" s="1525"/>
    </row>
    <row r="58" spans="1:26" ht="17.649999999999999" customHeight="1" outlineLevel="1" x14ac:dyDescent="0.25">
      <c r="A58" s="42"/>
      <c r="B58" s="1453" t="s">
        <v>1114</v>
      </c>
      <c r="C58" s="1416" t="s">
        <v>195</v>
      </c>
      <c r="D58" s="1463">
        <v>0.65</v>
      </c>
      <c r="E58" s="137"/>
      <c r="F58" s="1039" t="s">
        <v>592</v>
      </c>
      <c r="G58" s="1039" t="str">
        <f>'C-Produção CDR-TM'!L2</f>
        <v>Não</v>
      </c>
      <c r="H58" s="1039">
        <f>IF('C-Produção CDR-TM'!D2&gt;0,'C-Produção CDR-TM'!H2,0)</f>
        <v>0</v>
      </c>
      <c r="I58" s="651"/>
      <c r="J58" s="1039" t="s">
        <v>592</v>
      </c>
      <c r="K58" s="1549">
        <f>IF('C-Produção CDR-TM'!$E$7="SIM",'C-Produção CDR-TM'!$E$19,IF('C-Produção CDR-TM'!$I$7="SIM",'C-Produção CDR-TM'!$I$19,IF('C-Produção CDR-TM'!$M$7="SIM",'C-Produção CDR-TM'!$M$19,IF('C-Produção CDR-TM'!$Q$7="SIM",'C-Produção CDR-TM'!$Q$19,IF('C-Produção CDR-TM'!$U$7="SIM",'C-Produção CDR-TM'!$U$19,0)))))</f>
        <v>0</v>
      </c>
      <c r="L58" s="1039">
        <f>IF('C-Produção CDR-TM'!$E$7="SIM",'C-Produção CDR-TM'!$E$20,IF('C-Produção CDR-TM'!$I$7="SIM",'C-Produção CDR-TM'!$I$20,IF('C-Produção CDR-TM'!$M$7="SIM",'C-Produção CDR-TM'!$M$20,IF('C-Produção CDR-TM'!$Q$7="SIM",'C-Produção CDR-TM'!$Q$20,IF('C-Produção CDR-TM'!$U$7="SIM",'C-Produção CDR-TM'!$U$20,0)))))</f>
        <v>0</v>
      </c>
      <c r="M58" s="137"/>
      <c r="N58" s="1039" t="s">
        <v>592</v>
      </c>
      <c r="O58" s="1549">
        <f>IF('C-Produção CDR-TM'!$E$7="SIM",'C-Produção CDR-TM'!$E$43,IF('C-Produção CDR-TM'!$I$7="SIM",'C-Produção CDR-TM'!$I$43,IF('C-Produção CDR-TM'!$M$7="SIM",'C-Produção CDR-TM'!$M$43,IF('C-Produção CDR-TM'!$Q$7="SIM",'C-Produção CDR-TM'!$Q$43,IF('C-Produção CDR-TM'!$U$7="SIM",'C-Produção CDR-TM'!$U$43,0)))))</f>
        <v>0</v>
      </c>
      <c r="P58" s="1039">
        <f>IF('C-Produção CDR-TM'!$E$7="SIM",'C-Produção CDR-TM'!$E$42,IF('C-Produção CDR-TM'!$I$7="SIM",'C-Produção CDR-TM'!$I$42,IF('C-Produção CDR-TM'!$M$7="SIM",'C-Produção CDR-TM'!$M$42,IF('C-Produção CDR-TM'!$Q$7="SIM",'C-Produção CDR-TM'!$Q$42,IF('C-Produção CDR-TM'!$U$7="SIM",'C-Produção CDR-TM'!$U$42,0)))))</f>
        <v>0</v>
      </c>
      <c r="Q58" s="137"/>
      <c r="R58" s="944"/>
      <c r="S58" s="945"/>
      <c r="T58" s="945"/>
      <c r="U58" s="945"/>
      <c r="V58" s="945"/>
      <c r="W58" s="945"/>
      <c r="X58" s="945"/>
      <c r="Y58" s="945"/>
      <c r="Z58" s="1525"/>
    </row>
    <row r="59" spans="1:26" ht="17.649999999999999"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0</v>
      </c>
      <c r="M59" s="137"/>
      <c r="N59" s="1453" t="s">
        <v>323</v>
      </c>
      <c r="O59" s="268">
        <f>IF(H58&gt;0,((L44*D112)+(L46*D111))/$D$40,0)</f>
        <v>0</v>
      </c>
      <c r="P59" s="1437">
        <f>IF(O58&gt;0,O58*1000000/$D$40,0)</f>
        <v>0</v>
      </c>
      <c r="Q59" s="137"/>
      <c r="R59" s="944"/>
      <c r="S59" s="945"/>
      <c r="T59" s="945"/>
      <c r="U59" s="945"/>
      <c r="V59" s="945"/>
      <c r="W59" s="945"/>
      <c r="X59" s="945"/>
      <c r="Y59" s="945"/>
      <c r="Z59" s="1525"/>
    </row>
    <row r="60" spans="1:26" ht="17.649999999999999" customHeight="1" outlineLevel="1" x14ac:dyDescent="0.25">
      <c r="A60" s="42"/>
      <c r="B60" s="1453" t="s">
        <v>587</v>
      </c>
      <c r="C60" s="1416" t="s">
        <v>760</v>
      </c>
      <c r="D60" s="1498">
        <v>1500</v>
      </c>
      <c r="E60" s="137"/>
      <c r="F60" s="1453" t="s">
        <v>591</v>
      </c>
      <c r="G60" s="254" t="str">
        <f>IF('C-Produção CDR-TM'!$E$7="SIM",'C-Produção CDR-TM'!$D$17,IF('C-Produção CDR-TM'!$I$7="SIM",'C-Produção CDR-TM'!$H$17,IF('C-Produção CDR-TM'!$M$7="SIM",'C-Produção CDR-TM'!$L$17,IF('C-Produção CDR-TM'!$Q$7="SIM",'C-Produção CDR-TM'!$P$17,IF('C-Produção CDR-TM'!$U$7="SIM",'C-Produção CDR-TM'!$T$17,"0")))))</f>
        <v>0</v>
      </c>
      <c r="H60" s="1491"/>
      <c r="I60" s="651"/>
      <c r="J60" s="1482" t="s">
        <v>324</v>
      </c>
      <c r="K60" s="261" t="str">
        <f>IF('C-Produção CDR-TM'!$E$7="SIM",'C-Produção CDR-TM'!$E$23,IF('C-Produção CDR-TM'!$I$7="SIM",'C-Produção CDR-TM'!$I$23,IF('C-Produção CDR-TM'!$M$7="SIM",'C-Produção CDR-TM'!$M$23,IF('C-Produção CDR-TM'!$Q$7="SIM",'C-Produção CDR-TM'!$Q$23,IF('C-Produção CDR-TM'!$U$7="SIM",'C-Produção CDR-TM'!$U$23,"0")))))</f>
        <v>0</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v>
      </c>
      <c r="P60" s="1458">
        <f>IF('C-Produção CDR-TM'!$E$7="SIM",'C-Produção CDR-TM'!$E$45,IF('C-Produção CDR-TM'!$I$7="SIM",'C-Produção CDR-TM'!$I$45,IF('C-Produção CDR-TM'!$M$7="SIM",'C-Produção CDR-TM'!$M$45,IF('C-Produção CDR-TM'!$Q$7="SIM",'C-Produção CDR-TM'!$Q$45,IF('C-Produção CDR-TM'!$U$7="SIM",'C-Produção CDR-TM'!$U$45,0)))))</f>
        <v>0</v>
      </c>
      <c r="Q60" s="137"/>
      <c r="R60" s="944"/>
      <c r="S60" s="945"/>
      <c r="T60" s="945"/>
      <c r="U60" s="945"/>
      <c r="V60" s="945"/>
      <c r="W60" s="945"/>
      <c r="X60" s="945"/>
      <c r="Y60" s="945"/>
      <c r="Z60" s="1525"/>
    </row>
    <row r="61" spans="1:26" ht="17.649999999999999" customHeight="1" outlineLevel="1" x14ac:dyDescent="0.25">
      <c r="A61" s="42"/>
      <c r="B61" s="1453" t="s">
        <v>588</v>
      </c>
      <c r="C61" s="494" t="s">
        <v>195</v>
      </c>
      <c r="D61" s="1463">
        <v>0</v>
      </c>
      <c r="E61" s="137"/>
      <c r="F61" s="1039" t="s">
        <v>483</v>
      </c>
      <c r="G61" s="1039" t="str">
        <f>'C-Produção CDR-TMB'!L2</f>
        <v>Não</v>
      </c>
      <c r="H61" s="1039">
        <f>IF('C-Produção CDR-TMB'!D2&gt;0,'C-Produção CDR-TMB'!H2,0)</f>
        <v>0</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0</v>
      </c>
      <c r="L61" s="1549">
        <f>IF('C-Produção CDR-TMB'!$E$7="SIM",'C-Produção CDR-TMB'!$E$20,IF('C-Produção CDR-TMB'!$I$7="SIM",'C-Produção CDR-TMB'!$I$20,IF('C-Produção CDR-TMB'!$M$7="SIM",'C-Produção CDR-TMB'!$M$20,IF('C-Produção CDR-TMB'!$Q$7="SIM",'C-Produção CDR-TMB'!$Q$20,IF('C-Produção CDR-TMB'!$U$7="SIM",'C-Produção CDR-TMB'!$U$20,0)))))</f>
        <v>0</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0</v>
      </c>
      <c r="P61" s="1549">
        <f>IF('C-Produção CDR-TMB'!$E$7="SIM",'C-Produção CDR-TMB'!$E$42,IF('C-Produção CDR-TMB'!$I$7="SIM",'C-Produção CDR-TMB'!$I$42,IF('C-Produção CDR-TMB'!$M$7="SIM",'C-Produção CDR-TMB'!$M$42,IF('C-Produção CDR-TMB'!$Q$7="SIM",'C-Produção CDR-TMB'!$Q$42,IF('C-Produção CDR-TMB'!$U$7="SIM",'C-Produção CDR-TMB'!$U$42,0)))))</f>
        <v>0</v>
      </c>
      <c r="Q61" s="137"/>
      <c r="R61" s="944"/>
      <c r="S61" s="945"/>
      <c r="T61" s="945"/>
      <c r="U61" s="945"/>
      <c r="V61" s="945"/>
      <c r="W61" s="945"/>
      <c r="X61" s="945"/>
      <c r="Y61" s="945"/>
      <c r="Z61" s="1525"/>
    </row>
    <row r="62" spans="1:26" ht="17.649999999999999"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0</v>
      </c>
      <c r="M62" s="137"/>
      <c r="N62" s="1453" t="s">
        <v>323</v>
      </c>
      <c r="O62" s="268">
        <f>IF(H61&gt;0,((L45*D112)+(L47*D111))/$D$40,0)</f>
        <v>0</v>
      </c>
      <c r="P62" s="1439">
        <f>IF(O61&gt;0,O61*1000000/$D$40,0)</f>
        <v>0</v>
      </c>
      <c r="Q62" s="137"/>
      <c r="R62" s="944"/>
      <c r="S62" s="945"/>
      <c r="T62" s="945"/>
      <c r="U62" s="945"/>
      <c r="V62" s="945"/>
      <c r="W62" s="945"/>
      <c r="X62" s="945"/>
      <c r="Y62" s="945"/>
      <c r="Z62" s="1525"/>
    </row>
    <row r="63" spans="1:26" ht="17.649999999999999" customHeight="1" outlineLevel="1" x14ac:dyDescent="0.25">
      <c r="A63" s="42"/>
      <c r="B63" s="1453" t="s">
        <v>600</v>
      </c>
      <c r="C63" s="262" t="s">
        <v>328</v>
      </c>
      <c r="D63" s="1500">
        <v>20000</v>
      </c>
      <c r="E63" s="259"/>
      <c r="F63" s="1453"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3"/>
      <c r="I63" s="651"/>
      <c r="J63" s="1482"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0</v>
      </c>
      <c r="P63" s="1464">
        <f>IF('C-Produção CDR-TMB'!$E$7="SIM",'C-Produção CDR-TMB'!$E$45,IF('C-Produção CDR-TMB'!$I$7="SIM",'C-Produção CDR-TMB'!$I$45,IF('C-Produção CDR-TMB'!$M$7="SIM",'C-Produção CDR-TMB'!$M$45,IF('C-Produção CDR-TMB'!$Q$7="SIM",'C-Produção CDR-TMB'!$Q$45,IF('C-Produção CDR-TMB'!$U$7="SIM",'C-Produção CDR-TMB'!$U$45,0)))))</f>
        <v>0</v>
      </c>
      <c r="Q63" s="259"/>
      <c r="R63" s="947"/>
      <c r="S63" s="955"/>
      <c r="T63" s="955"/>
      <c r="U63" s="955"/>
      <c r="V63" s="955"/>
      <c r="W63" s="955"/>
      <c r="X63" s="955"/>
      <c r="Y63" s="955"/>
      <c r="Z63" s="1528"/>
    </row>
    <row r="64" spans="1:26" ht="17.649999999999999"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customHeight="1" outlineLevel="1" x14ac:dyDescent="0.25">
      <c r="A66" s="36"/>
      <c r="B66" s="1453" t="s">
        <v>761</v>
      </c>
      <c r="C66" s="2149" t="s">
        <v>330</v>
      </c>
      <c r="D66" s="2150"/>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customHeight="1" outlineLevel="1" x14ac:dyDescent="0.25">
      <c r="A67" s="45"/>
      <c r="B67" s="1453" t="s">
        <v>603</v>
      </c>
      <c r="C67" s="1416" t="s">
        <v>328</v>
      </c>
      <c r="D67" s="1500">
        <v>1250</v>
      </c>
      <c r="E67" s="259"/>
      <c r="F67" s="1039" t="s">
        <v>132</v>
      </c>
      <c r="G67" s="1039" t="str">
        <f>'C-Compostagem'!L2</f>
        <v>Não</v>
      </c>
      <c r="H67" s="1039">
        <f>IF('C-Compostagem'!D2&gt;0,'C-Compostagem'!H2,0)</f>
        <v>0</v>
      </c>
      <c r="I67" s="651"/>
      <c r="J67" s="1039" t="s">
        <v>132</v>
      </c>
      <c r="K67" s="1549">
        <f>IF('C-Compostagem'!$E$7="SIM",'C-Compostagem'!$E$19,IF('C-Compostagem'!$I$7="SIM",'C-Compostagem'!$I$19,IF('C-Compostagem'!$M$7="SIM",'C-Compostagem'!$M$19,IF('C-Compostagem'!$Q$7="SIM",'C-Compostagem'!$Q$19,IF('C-Compostagem'!$U$7="SIM",'C-Compostagem'!$U$19,0)))))</f>
        <v>0</v>
      </c>
      <c r="L67" s="1039">
        <f>IF('C-Compostagem'!$E$7="SIM",'C-Compostagem'!$E$20,IF('C-Compostagem'!$I$7="SIM",'C-Compostagem'!$I$20,IF('C-Compostagem'!$M$7="SIM",'C-Compostagem'!$M$20,IF('C-Compostagem'!$Q$7="SIM",'C-Compostagem'!$Q$20,IF('C-Compostagem'!$U$7="SIM",'C-Compostagem'!$U$20,0)))))</f>
        <v>0</v>
      </c>
      <c r="M67" s="270"/>
      <c r="N67" s="1039" t="s">
        <v>132</v>
      </c>
      <c r="O67" s="1549">
        <f>IF('C-Compostagem'!$E$7="SIM",'C-Compostagem'!$E$43,IF('C-Compostagem'!$I$7="SIM",'C-Compostagem'!$I$43,IF('C-Compostagem'!$M$7="SIM",'C-Compostagem'!$M$43,IF('C-Compostagem'!$Q$7="SIM",'C-Compostagem'!$Q$43,IF('C-Compostagem'!$U$7="SIM",'C-Compostagem'!$U$43,0)))))</f>
        <v>0</v>
      </c>
      <c r="P67" s="1039">
        <f>IF('C-Compostagem'!$E$7="SIM",'C-Compostagem'!$E$42,IF('C-Compostagem'!$I$7="SIM",'C-Compostagem'!$I$42,IF('C-Compostagem'!$M$7="SIM",'C-Compostagem'!$M$42,IF('C-Compostagem'!$Q$7="SIM",'C-Compostagem'!$Q$42,IF('C-Compostagem'!$U$7="SIM",'C-Compostagem'!$U$42,0)))))</f>
        <v>0</v>
      </c>
      <c r="Q67" s="98"/>
      <c r="R67" s="958"/>
      <c r="S67" s="959"/>
      <c r="T67" s="959"/>
      <c r="U67" s="959"/>
      <c r="V67" s="959"/>
      <c r="W67" s="959"/>
      <c r="X67" s="959"/>
      <c r="Y67" s="959"/>
      <c r="Z67" s="1530"/>
    </row>
    <row r="68" spans="1:26" ht="17.649999999999999"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0</v>
      </c>
      <c r="M68" s="271"/>
      <c r="N68" s="1453" t="s">
        <v>323</v>
      </c>
      <c r="O68" s="268">
        <f>IF(H67&gt;0,((L48*D108)+(L49*D109))/$D$40,0)</f>
        <v>0</v>
      </c>
      <c r="P68" s="1439">
        <f>IF(O67&gt;0,O67*1000000/$D$40,0)</f>
        <v>0</v>
      </c>
      <c r="Q68" s="137"/>
      <c r="R68" s="944"/>
      <c r="S68" s="945"/>
      <c r="T68" s="945"/>
      <c r="U68" s="945"/>
      <c r="V68" s="945"/>
      <c r="W68" s="945"/>
      <c r="X68" s="945"/>
      <c r="Y68" s="945"/>
      <c r="Z68" s="1525"/>
    </row>
    <row r="69" spans="1:26" ht="17.649999999999999" customHeight="1" outlineLevel="1" x14ac:dyDescent="0.25">
      <c r="A69" s="33"/>
      <c r="B69" s="1453" t="s">
        <v>605</v>
      </c>
      <c r="C69" s="494" t="s">
        <v>930</v>
      </c>
      <c r="D69" s="1500">
        <v>0</v>
      </c>
      <c r="E69" s="137"/>
      <c r="F69" s="1453" t="s">
        <v>591</v>
      </c>
      <c r="G69" s="254" t="str">
        <f>IF('C-Compostagem'!$E$7="SIM",'C-Compostagem'!$D$17,IF('C-Compostagem'!$I$7="SIM",'C-Compostagem'!$H$17,IF('C-Compostagem'!$M$7="SIM",'C-Compostagem'!$L$17,IF('C-Compostagem'!$Q$7="SIM",'C-Compostagem'!$P$17,IF('C-Compostagem'!$U$7="SIM",'C-Compostagem'!$T$17,"0")))))</f>
        <v>0</v>
      </c>
      <c r="H69" s="1494"/>
      <c r="I69" s="832"/>
      <c r="J69" s="1482" t="s">
        <v>324</v>
      </c>
      <c r="K69" s="261" t="str">
        <f>IF('C-Compostagem'!$E$7="SIM",'C-Compostagem'!$E$23,IF('C-Compostagem'!$I$7="SIM",'C-Compostagem'!$I$23,IF('C-Compostagem'!$M$7="SIM",'C-Compostagem'!$M$23,IF('C-Compostagem'!$Q$7="SIM",'C-Compostagem'!$Q$23,IF('C-Compostagem'!$U$7="SIM",'C-Compostagem'!$U$23,"0")))))</f>
        <v>0</v>
      </c>
      <c r="L69" s="1484"/>
      <c r="M69" s="271"/>
      <c r="N69" s="1453" t="s">
        <v>325</v>
      </c>
      <c r="O69" s="268">
        <f>IF('C-Compostagem'!$E$7="SIM",'C-Compostagem'!$E$44,IF('C-Compostagem'!$I$7="SIM",'C-Compostagem'!$I$44,IF('C-Compostagem'!$M$7="SIM",'C-Compostagem'!$M$44,IF('C-Compostagem'!$Q$7="SIM",'C-Compostagem'!$Q$44,IF('C-Compostagem'!$U$7="SIM",'C-Compostagem'!$U$44,0)))))</f>
        <v>0</v>
      </c>
      <c r="P69" s="1464">
        <f>IF('C-Compostagem'!$E$7="SIM",'C-Compostagem'!$E$45,IF('C-Compostagem'!$I$7="SIM",'C-Compostagem'!$I$45,IF('C-Compostagem'!$M$7="SIM",'C-Compostagem'!$M$45,IF('C-Compostagem'!$Q$7="SIM",'C-Compostagem'!$Q$45,IF('C-Compostagem'!$U$7="SIM",'C-Compostagem'!$U$45,0)))))</f>
        <v>0</v>
      </c>
      <c r="Q69" s="137"/>
      <c r="R69" s="944"/>
      <c r="S69" s="945"/>
      <c r="T69" s="945"/>
      <c r="U69" s="945"/>
      <c r="V69" s="945"/>
      <c r="W69" s="945"/>
      <c r="X69" s="945"/>
      <c r="Y69" s="945"/>
      <c r="Z69" s="1525"/>
    </row>
    <row r="70" spans="1:26" ht="17.649999999999999" customHeight="1" outlineLevel="1" x14ac:dyDescent="0.25">
      <c r="A70" s="33"/>
      <c r="B70" s="1453" t="s">
        <v>606</v>
      </c>
      <c r="C70" s="1416" t="s">
        <v>328</v>
      </c>
      <c r="D70" s="1500">
        <v>100000</v>
      </c>
      <c r="E70" s="137"/>
      <c r="F70" s="1039" t="s">
        <v>64</v>
      </c>
      <c r="G70" s="1039" t="str">
        <f>'C-Incineração'!L2</f>
        <v>Sim</v>
      </c>
      <c r="H70" s="1039">
        <f>IF('C-Incineração'!D2&gt;0,'C-Incineração'!H2,0)</f>
        <v>77469.9453125</v>
      </c>
      <c r="I70" s="651"/>
      <c r="J70" s="1039" t="s">
        <v>64</v>
      </c>
      <c r="K70" s="1549">
        <f>IF('C-Incineração'!$E$7="SIM",'C-Incineração'!$E$19,IF('C-Incineração'!$I$7="SIM",'C-Incineração'!$I$19,IF('C-Incineração'!$M$7="SIM",'C-Incineração'!$M$19,IF('C-Incineração'!$Q$7="SIM",'C-Incineração'!$Q$19,IF('C-Incineração'!$U$7="SIM",'C-Incineração'!$U$19,0)))))</f>
        <v>276.98412430286135</v>
      </c>
      <c r="L70" s="1039">
        <f>IF('C-Incineração'!$E$7="SIM",'C-Incineração'!$E$20,IF('C-Incineração'!$I$7="SIM",'C-Incineração'!$I$20,IF('C-Incineração'!$M$7="SIM",'C-Incineração'!$M$20,IF('C-Incineração'!$Q$7="SIM",'C-Incineração'!$Q$20,IF('C-Incineração'!$U$7="SIM",'C-Incineração'!$U$20,0)))))</f>
        <v>3575.375239850197</v>
      </c>
      <c r="M70" s="270"/>
      <c r="N70" s="1039" t="s">
        <v>64</v>
      </c>
      <c r="O70" s="1549">
        <f>IF('C-Incineração'!$E$7="SIM",'C-Incineração'!$E$52,IF('C-Incineração'!$I$7="SIM",'C-Incineração'!$I$52,IF('C-Incineração'!$M$7="SIM",'C-Incineração'!$M$52,IF('C-Incineração'!$Q$7="SIM",'C-Incineração'!$Q$52,IF('C-Incineração'!$U$7="SIM",'C-Incineração'!$U$52,0)))))</f>
        <v>24.46899218114579</v>
      </c>
      <c r="P70" s="1039">
        <f>IF('C-Incineração'!$E$7="SIM",'C-Incineração'!$E$51,IF('C-Incineração'!$I$7="SIM",'C-Incineração'!$I$51,IF('C-Incineração'!$M$7="SIM",'C-Incineração'!$M$51,IF('C-Incineração'!$Q$7="SIM",'C-Incineração'!$Q$51,IF('C-Incineração'!$U$7="SIM",'C-Incineração'!$U$51,0)))))</f>
        <v>315.8514193141898</v>
      </c>
      <c r="Q70" s="137"/>
      <c r="R70" s="944"/>
      <c r="S70" s="945"/>
      <c r="T70" s="945"/>
      <c r="U70" s="945"/>
      <c r="V70" s="945"/>
      <c r="W70" s="945"/>
      <c r="X70" s="945"/>
      <c r="Y70" s="945"/>
      <c r="Z70" s="1525"/>
    </row>
    <row r="71" spans="1:26" ht="17.649999999999999"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3551.0785167033505</v>
      </c>
      <c r="M71" s="271"/>
      <c r="N71" s="1453" t="s">
        <v>323</v>
      </c>
      <c r="O71" s="268">
        <f>IF(H70&gt;0,((P43*D114))/$D$40,0)</f>
        <v>363.85213706791637</v>
      </c>
      <c r="P71" s="1439">
        <f>IF(O70&gt;0,O70*1000000/$D$40,0)</f>
        <v>313.70502796340759</v>
      </c>
      <c r="Q71" s="137"/>
      <c r="R71" s="944"/>
      <c r="S71" s="945"/>
      <c r="T71" s="945"/>
      <c r="U71" s="945"/>
      <c r="V71" s="945"/>
      <c r="W71" s="945"/>
      <c r="X71" s="945"/>
      <c r="Y71" s="945"/>
      <c r="Z71" s="1525"/>
    </row>
    <row r="72" spans="1:26" ht="17.649999999999999" customHeight="1" outlineLevel="1" x14ac:dyDescent="0.25">
      <c r="A72" s="46"/>
      <c r="B72" s="1453" t="s">
        <v>608</v>
      </c>
      <c r="C72" s="1416" t="s">
        <v>333</v>
      </c>
      <c r="D72" s="1498">
        <v>100</v>
      </c>
      <c r="E72" s="137"/>
      <c r="F72" s="1453" t="s">
        <v>591</v>
      </c>
      <c r="G72" s="254">
        <f>IF('C-Incineração'!$E$7="SIM",'C-Incineração'!$D$17,IF('C-Incineração'!$I$7="SIM",'C-Incineração'!$H$17,IF('C-Incineração'!$M$7="SIM",'C-Incineração'!$L$17,IF('C-Incineração'!$Q$7="SIM",'C-Incineração'!$P$17,IF('C-Incineração'!$U$7="SIM",'C-Incineração'!$T$17,"0")))))</f>
        <v>96000</v>
      </c>
      <c r="H72" s="1495"/>
      <c r="I72" s="832"/>
      <c r="J72" s="1482" t="s">
        <v>324</v>
      </c>
      <c r="K72" s="261">
        <f>IF('C-Incineração'!$E$7="SIM",'C-Incineração'!$E$25,IF('C-Incineração'!$I$7="SIM",'C-Incineração'!$I$25,IF('C-Incineração'!$M$7="SIM",'C-Incineração'!$M$25,IF('C-Incineração'!$Q$7="SIM",'C-Incineração'!$Q$25,IF('C-Incineração'!$U$7="SIM",'C-Incineração'!$U$25,"0")))))</f>
        <v>9.0605794942045446</v>
      </c>
      <c r="L72" s="1484"/>
      <c r="M72" s="271"/>
      <c r="N72" s="1453" t="s">
        <v>325</v>
      </c>
      <c r="O72" s="268">
        <f>IF('C-Incineração'!$E$7="SIM",'C-Incineração'!$E$53,IF('C-Incineração'!$I$7="SIM",'C-Incineração'!$I$53,IF('C-Incineração'!$M$7="SIM",'C-Incineração'!$M$53,IF('C-Incineração'!$Q$7="SIM",'C-Incineração'!$Q$53,IF('C-Incineração'!$U$7="SIM",'C-Incineração'!$U$53,0)))))</f>
        <v>10.714939456918945</v>
      </c>
      <c r="P72" s="1464">
        <f>IF('C-Incineração'!$E$7="SIM",'C-Incineração'!$E$54,IF('C-Incineração'!$I$7="SIM",'C-Incineração'!$I$54,IF('C-Incineração'!$M$7="SIM",'C-Incineração'!$M$54,IF('C-Incineração'!$Q$7="SIM",'C-Incineração'!$Q$54,IF('C-Incineração'!$U$7="SIM",'C-Incineração'!$U$54,0)))))</f>
        <v>177.54049868946518</v>
      </c>
      <c r="Q72" s="137"/>
      <c r="R72" s="944"/>
      <c r="S72" s="945"/>
      <c r="T72" s="945"/>
      <c r="U72" s="945"/>
      <c r="V72" s="945"/>
      <c r="W72" s="945"/>
      <c r="X72" s="945"/>
      <c r="Y72" s="945"/>
      <c r="Z72" s="1525"/>
    </row>
    <row r="73" spans="1:26" ht="17.649999999999999" customHeight="1" outlineLevel="1" x14ac:dyDescent="0.25">
      <c r="A73" s="33"/>
      <c r="B73" s="1453" t="s">
        <v>609</v>
      </c>
      <c r="C73" s="494" t="s">
        <v>327</v>
      </c>
      <c r="D73" s="1498">
        <v>53</v>
      </c>
      <c r="E73" s="137"/>
      <c r="F73" s="1039" t="s">
        <v>66</v>
      </c>
      <c r="G73" s="1039" t="str">
        <f>'C-Aterro Sanitário'!L2</f>
        <v>Sim</v>
      </c>
      <c r="H73" s="1039">
        <f>IF('C-Aterro Sanitário'!D2&gt;0,'C-Aterro Sanitário'!H2,0)</f>
        <v>34273.989062500004</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12.463729435726561</v>
      </c>
      <c r="L73" s="1039">
        <f>IF('C-Aterro Sanitário'!$E$7="SIM",'C-Aterro Sanitário'!$E$19,IF('C-Aterro Sanitário'!$I$7="SIM",'C-Aterro Sanitário'!$I$19,IF('C-Aterro Sanitário'!$M$7="SIM",'C-Aterro Sanitário'!$M$19,IF('C-Aterro Sanitário'!$Q$7="SIM",'C-Aterro Sanitário'!$Q$19,IF('C-Aterro Sanitário'!$U$7="SIM",'C-Aterro Sanitário'!$U$19,0)))))</f>
        <v>363.64980490010794</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4.7288329479143938</v>
      </c>
      <c r="P73" s="1039">
        <f>IF('C-Aterro Sanitário'!$E$7="SIM",'C-Aterro Sanitário'!$E$45,IF('C-Aterro Sanitário'!$I$7="SIM",'C-Aterro Sanitário'!$I$45,IF('C-Aterro Sanitário'!$M$7="SIM",'C-Aterro Sanitário'!$M$45,IF('C-Aterro Sanitário'!$Q$7="SIM",'C-Aterro Sanitário'!$Q$45,IF('C-Aterro Sanitário'!$U$7="SIM",'C-Aterro Sanitário'!$U$45,0)))))</f>
        <v>137.97147858369144</v>
      </c>
      <c r="Q73" s="137"/>
      <c r="R73" s="944"/>
      <c r="S73" s="945"/>
      <c r="T73" s="945"/>
      <c r="U73" s="945"/>
      <c r="V73" s="945"/>
      <c r="W73" s="945"/>
      <c r="X73" s="945"/>
      <c r="Y73" s="945"/>
      <c r="Z73" s="1525"/>
    </row>
    <row r="74" spans="1:26" ht="17.649999999999999"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159.7914030221354</v>
      </c>
      <c r="M74" s="271"/>
      <c r="N74" s="1453" t="s">
        <v>323</v>
      </c>
      <c r="O74" s="268">
        <f>IF(H73&gt;0,((P44*D114+P46*D117))/$D$40,0)</f>
        <v>0</v>
      </c>
      <c r="P74" s="1439">
        <f>IF(O73&gt;0,O73*1000000/$D$40,0)</f>
        <v>60.626063434799917</v>
      </c>
      <c r="Q74" s="137"/>
      <c r="R74" s="944"/>
      <c r="S74" s="945"/>
      <c r="T74" s="945"/>
      <c r="U74" s="945"/>
      <c r="V74" s="945"/>
      <c r="W74" s="945"/>
      <c r="X74" s="945"/>
      <c r="Y74" s="945"/>
      <c r="Z74" s="1525"/>
    </row>
    <row r="75" spans="1:26" ht="17.649999999999999"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15.739611238974089</v>
      </c>
      <c r="L75" s="1464">
        <f>IF(K73&gt;0,K75*1000000/(H73*20),0)</f>
        <v>22.96145221128517</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1.2654859292499632</v>
      </c>
      <c r="P75" s="1464">
        <f>IF('C-Aterro Sanitário'!$E$7="SIM",'C-Aterro Sanitário'!$E$48,IF('C-Aterro Sanitário'!$I$7="SIM",'C-Aterro Sanitário'!$I$48,IF('C-Aterro Sanitário'!$M$7="SIM",'C-Aterro Sanitário'!$M$48,IF('C-Aterro Sanitário'!$Q$7="SIM",'C-Aterro Sanitário'!$Q$48,IF('C-Aterro Sanitário'!$U$7="SIM",'C-Aterro Sanitário'!$U$48,0)))))</f>
        <v>101.04884530215837</v>
      </c>
      <c r="Q75" s="137"/>
      <c r="R75" s="944"/>
      <c r="S75" s="945"/>
      <c r="T75" s="945"/>
      <c r="U75" s="945"/>
      <c r="V75" s="945"/>
      <c r="W75" s="945"/>
      <c r="X75" s="945"/>
      <c r="Y75" s="945"/>
      <c r="Z75" s="1525"/>
    </row>
    <row r="76" spans="1:26" ht="17.649999999999999" customHeight="1" outlineLevel="1" x14ac:dyDescent="0.25">
      <c r="A76" s="46"/>
      <c r="B76" s="1453" t="s">
        <v>612</v>
      </c>
      <c r="C76" s="1416" t="s">
        <v>923</v>
      </c>
      <c r="D76" s="1966">
        <v>1.0780000000000001</v>
      </c>
      <c r="E76" s="137"/>
      <c r="F76" s="1400" t="s">
        <v>336</v>
      </c>
      <c r="G76" s="265">
        <f>IF(K78&lt;&gt;0,(G53*K52+G56*K55+G59*K58+G62*K61+G65*K64+G68*K67+G71*K70+G74*K73)/K78,0)</f>
        <v>0.27861024971760628</v>
      </c>
      <c r="H76" s="1496"/>
      <c r="I76" s="832"/>
      <c r="J76" s="1400"/>
      <c r="K76" s="266"/>
      <c r="L76" s="1470"/>
      <c r="M76" s="271"/>
      <c r="N76" s="1453"/>
      <c r="O76" s="486"/>
      <c r="P76" s="1471"/>
      <c r="Q76" s="137"/>
      <c r="R76" s="944"/>
      <c r="S76" s="945"/>
      <c r="T76" s="945"/>
      <c r="U76" s="945"/>
      <c r="V76" s="945"/>
      <c r="W76" s="945"/>
      <c r="X76" s="945"/>
      <c r="Y76" s="945"/>
      <c r="Z76" s="1525"/>
    </row>
    <row r="77" spans="1:26" ht="17.649999999999999" customHeight="1" outlineLevel="1" x14ac:dyDescent="0.25">
      <c r="A77" s="33"/>
      <c r="B77" s="1453" t="s">
        <v>613</v>
      </c>
      <c r="C77" s="1416" t="s">
        <v>923</v>
      </c>
      <c r="D77" s="1966">
        <v>7.26</v>
      </c>
      <c r="E77" s="137"/>
      <c r="F77" s="1400" t="s">
        <v>593</v>
      </c>
      <c r="G77" s="253">
        <f>G54+G57+G60+G63+G66+G69+G72</f>
        <v>108134.72557505166</v>
      </c>
      <c r="H77" s="1494"/>
      <c r="I77" s="832"/>
      <c r="J77" s="1485" t="s">
        <v>337</v>
      </c>
      <c r="K77" s="269">
        <f>K54+K57+K60+K63+K66+K69+K72</f>
        <v>9.7425397523611181</v>
      </c>
      <c r="L77" s="1454" t="s">
        <v>338</v>
      </c>
      <c r="M77" s="271"/>
      <c r="N77" s="1453"/>
      <c r="O77" s="486"/>
      <c r="P77" s="1471"/>
      <c r="Q77" s="137"/>
      <c r="R77" s="944"/>
      <c r="S77" s="945"/>
      <c r="T77" s="945"/>
      <c r="U77" s="945"/>
      <c r="V77" s="945"/>
      <c r="W77" s="945"/>
      <c r="X77" s="945"/>
      <c r="Y77" s="945"/>
      <c r="Z77" s="1525"/>
    </row>
    <row r="78" spans="1:26" ht="17.649999999999999" customHeight="1" outlineLevel="1" thickBot="1" x14ac:dyDescent="0.3">
      <c r="A78" s="33"/>
      <c r="B78" s="1962" t="s">
        <v>1117</v>
      </c>
      <c r="C78" s="837" t="s">
        <v>1116</v>
      </c>
      <c r="D78" s="1967">
        <v>2.2000000000000002</v>
      </c>
      <c r="E78" s="137"/>
      <c r="F78" s="2147" t="s">
        <v>615</v>
      </c>
      <c r="G78" s="2148"/>
      <c r="H78" s="1474">
        <f>'R-Resumo Bal. Massa'!D16*312</f>
        <v>78000</v>
      </c>
      <c r="I78" s="651"/>
      <c r="J78" s="1472" t="s">
        <v>339</v>
      </c>
      <c r="K78" s="1473">
        <f>K52+K55+K58+K61+K64+K67+K70+K73</f>
        <v>326.72895794553051</v>
      </c>
      <c r="L78" s="1474">
        <f>K78*1000000/H78</f>
        <v>4188.8327941734688</v>
      </c>
      <c r="M78" s="270"/>
      <c r="N78" s="1472" t="s">
        <v>597</v>
      </c>
      <c r="O78" s="1473">
        <f>O52+O55+O58+O61+O64+O67+O70+O73</f>
        <v>36.74456108621893</v>
      </c>
      <c r="P78" s="1474">
        <f>O78*1000000/H78</f>
        <v>471.08411648998629</v>
      </c>
      <c r="Q78" s="137"/>
      <c r="R78" s="944"/>
      <c r="S78" s="945"/>
      <c r="T78" s="945"/>
      <c r="U78" s="945"/>
      <c r="V78" s="945"/>
      <c r="W78" s="945"/>
      <c r="X78" s="945"/>
      <c r="Y78" s="945"/>
      <c r="Z78" s="1525"/>
    </row>
    <row r="79" spans="1:26" ht="15"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Top="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498</v>
      </c>
      <c r="E82" s="137"/>
      <c r="F82" s="1453" t="s">
        <v>717</v>
      </c>
      <c r="G82" s="494" t="s">
        <v>292</v>
      </c>
      <c r="H82" s="1476">
        <f>((L36)*D101+(L37)*D102+(L38)*D103+(L39)*D104+(L40+L42)*D105+(L41+L43)*D106)/1000000</f>
        <v>2.0867481864460178</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0</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0</v>
      </c>
      <c r="I83" s="144"/>
      <c r="J83" s="1453" t="s">
        <v>626</v>
      </c>
      <c r="K83" s="494" t="s">
        <v>292</v>
      </c>
      <c r="L83" s="1476">
        <f>D83*D42/1000000</f>
        <v>0</v>
      </c>
      <c r="M83" s="137"/>
      <c r="N83" s="1453" t="s">
        <v>988</v>
      </c>
      <c r="O83" s="491" t="s">
        <v>344</v>
      </c>
      <c r="P83" s="1512">
        <f>IF(O67&lt;&gt;0,O67*1000000/(H37+H38),0)</f>
        <v>0</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v>42.8</v>
      </c>
      <c r="E84" s="137"/>
      <c r="F84" s="1453" t="s">
        <v>718</v>
      </c>
      <c r="G84" s="494" t="s">
        <v>292</v>
      </c>
      <c r="H84" s="1476">
        <f>(L48*D108+L49*D109)/1000000</f>
        <v>0</v>
      </c>
      <c r="I84" s="144"/>
      <c r="J84" s="1453" t="s">
        <v>627</v>
      </c>
      <c r="K84" s="494" t="s">
        <v>292</v>
      </c>
      <c r="L84" s="1476">
        <f>D84*D43/1000000</f>
        <v>3.3384</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28.380466691297475</v>
      </c>
      <c r="I85" s="144"/>
      <c r="J85" s="1453" t="s">
        <v>628</v>
      </c>
      <c r="K85" s="494" t="s">
        <v>292</v>
      </c>
      <c r="L85" s="1476">
        <f>IF('R-Definição'!O120="Sim",D85*D43/1000000,0)</f>
        <v>0</v>
      </c>
      <c r="M85" s="137"/>
      <c r="N85" s="1453" t="s">
        <v>720</v>
      </c>
      <c r="O85" s="491" t="s">
        <v>345</v>
      </c>
      <c r="P85" s="1512">
        <f>IF(O55&lt;&gt;0,O55*1000000/(SUM(L36:L41)),0)</f>
        <v>8951.9600767839947</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431.08861540759847</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v>50</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30.467214877743494</v>
      </c>
      <c r="I91" s="259"/>
      <c r="J91" s="1478" t="s">
        <v>561</v>
      </c>
      <c r="K91" s="256" t="s">
        <v>292</v>
      </c>
      <c r="L91" s="1479">
        <f>SUM(L82:L85)</f>
        <v>3.3384</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390.60531894542942</v>
      </c>
      <c r="I92" s="144"/>
      <c r="J92" s="1453" t="s">
        <v>629</v>
      </c>
      <c r="K92" s="494" t="s">
        <v>342</v>
      </c>
      <c r="L92" s="1464">
        <f>L91*1000000/D40</f>
        <v>42.8</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7.1174957351261554</v>
      </c>
      <c r="I93" s="144"/>
      <c r="J93" s="1455" t="s">
        <v>823</v>
      </c>
      <c r="K93" s="1441" t="s">
        <v>299</v>
      </c>
      <c r="L93" s="1480">
        <f>L92*($D$7*30/$D$6)</f>
        <v>0.7798890662468384</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40" t="s">
        <v>886</v>
      </c>
      <c r="C95" s="2141"/>
      <c r="D95" s="2141"/>
      <c r="E95" s="2141"/>
      <c r="F95" s="2141"/>
      <c r="G95" s="2141"/>
      <c r="H95" s="2141"/>
      <c r="I95" s="2141"/>
      <c r="J95" s="2141"/>
      <c r="K95" s="2141"/>
      <c r="L95" s="2142"/>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37.51678546121893</v>
      </c>
      <c r="I98" s="144"/>
      <c r="J98" s="1400" t="s">
        <v>632</v>
      </c>
      <c r="K98" s="216" t="s">
        <v>292</v>
      </c>
      <c r="L98" s="1505">
        <f>H98+L91</f>
        <v>40.85518546121893</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480.98442898998627</v>
      </c>
      <c r="I99" s="144"/>
      <c r="J99" s="1453" t="s">
        <v>633</v>
      </c>
      <c r="K99" s="494" t="s">
        <v>342</v>
      </c>
      <c r="L99" s="1510">
        <f>L98*1000000/D40</f>
        <v>523.78442898998628</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8.7643574113147</v>
      </c>
      <c r="I100" s="144"/>
      <c r="J100" s="1455" t="s">
        <v>825</v>
      </c>
      <c r="K100" s="1441" t="s">
        <v>299</v>
      </c>
      <c r="L100" s="1511">
        <f>L99*($D$7*30/$D$6)</f>
        <v>9.5442464775615381</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154" t="s">
        <v>971</v>
      </c>
      <c r="C2" s="2154"/>
      <c r="D2" s="2154"/>
      <c r="E2" s="2154"/>
      <c r="F2" s="2154"/>
      <c r="G2" s="2154"/>
      <c r="H2" s="2154"/>
      <c r="I2" s="2154"/>
      <c r="J2" s="2154"/>
      <c r="K2" s="2154"/>
      <c r="L2" s="2154"/>
      <c r="M2" s="2154"/>
      <c r="N2" s="438"/>
      <c r="O2" s="2153" t="s">
        <v>644</v>
      </c>
      <c r="P2" s="2153"/>
      <c r="Q2" s="2153"/>
      <c r="R2" s="2153"/>
      <c r="S2" s="2153"/>
      <c r="T2" s="2153"/>
      <c r="U2" s="2153"/>
      <c r="V2" s="2153"/>
      <c r="W2" s="2153"/>
      <c r="X2" s="2153"/>
      <c r="Y2" s="2153"/>
      <c r="Z2" s="2153"/>
      <c r="AA2" s="2153"/>
      <c r="AB2" s="453"/>
    </row>
    <row r="3" spans="1:28" s="870" customFormat="1" ht="17.649999999999999" customHeight="1" x14ac:dyDescent="0.25">
      <c r="A3" s="868"/>
      <c r="B3" s="2154"/>
      <c r="C3" s="2154"/>
      <c r="D3" s="2154"/>
      <c r="E3" s="2154"/>
      <c r="F3" s="2154"/>
      <c r="G3" s="2154"/>
      <c r="H3" s="2154"/>
      <c r="I3" s="2154"/>
      <c r="J3" s="2154"/>
      <c r="K3" s="2154"/>
      <c r="L3" s="2154"/>
      <c r="M3" s="2154"/>
      <c r="N3" s="869"/>
      <c r="O3" s="2153"/>
      <c r="P3" s="2153"/>
      <c r="Q3" s="2153"/>
      <c r="R3" s="2153"/>
      <c r="S3" s="2153"/>
      <c r="T3" s="2153"/>
      <c r="U3" s="2153"/>
      <c r="V3" s="2153"/>
      <c r="W3" s="2153"/>
      <c r="X3" s="2153"/>
      <c r="Y3" s="2153"/>
      <c r="Z3" s="2153"/>
      <c r="AA3" s="2153"/>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207" t="s">
        <v>351</v>
      </c>
      <c r="K5" s="2205" t="s">
        <v>352</v>
      </c>
      <c r="L5" s="438"/>
      <c r="M5" s="439"/>
      <c r="N5" s="438"/>
      <c r="O5" s="2161" t="s">
        <v>877</v>
      </c>
      <c r="P5" s="438"/>
      <c r="Q5" s="2161" t="s">
        <v>878</v>
      </c>
      <c r="R5" s="438"/>
      <c r="S5" s="2161" t="s">
        <v>879</v>
      </c>
      <c r="T5" s="438"/>
      <c r="U5" s="2161" t="s">
        <v>880</v>
      </c>
      <c r="V5" s="438"/>
      <c r="W5" s="2161" t="s">
        <v>881</v>
      </c>
      <c r="X5" s="438"/>
      <c r="Y5" s="2161" t="s">
        <v>887</v>
      </c>
      <c r="Z5" s="438"/>
      <c r="AA5" s="438"/>
      <c r="AB5" s="453"/>
    </row>
    <row r="6" spans="1:28" s="252" customFormat="1" ht="19.899999999999999" hidden="1" customHeight="1" outlineLevel="1" x14ac:dyDescent="0.25">
      <c r="A6" s="438"/>
      <c r="B6" s="1606" t="s">
        <v>645</v>
      </c>
      <c r="C6" s="1567" t="s">
        <v>292</v>
      </c>
      <c r="D6" s="1582">
        <f>D7*D8/1000000</f>
        <v>47.36542190395506</v>
      </c>
      <c r="E6" s="443"/>
      <c r="F6" s="1602" t="s">
        <v>973</v>
      </c>
      <c r="G6" s="1554">
        <f>J7*(1-K7)</f>
        <v>109759.20000000001</v>
      </c>
      <c r="H6" s="1596">
        <f>G6/$G$11</f>
        <v>0.66654521075030615</v>
      </c>
      <c r="I6" s="438"/>
      <c r="J6" s="2208"/>
      <c r="K6" s="2206"/>
      <c r="L6" s="438"/>
      <c r="M6" s="448"/>
      <c r="N6" s="440"/>
      <c r="O6" s="2162"/>
      <c r="P6" s="438"/>
      <c r="Q6" s="2162"/>
      <c r="R6" s="438"/>
      <c r="S6" s="2162"/>
      <c r="T6" s="438"/>
      <c r="U6" s="2162"/>
      <c r="V6" s="438"/>
      <c r="W6" s="2162"/>
      <c r="X6" s="438"/>
      <c r="Y6" s="2162"/>
      <c r="Z6" s="438"/>
      <c r="AA6" s="438"/>
      <c r="AB6" s="453"/>
    </row>
    <row r="7" spans="1:28" s="252" customFormat="1" ht="19.899999999999999" hidden="1" customHeight="1" outlineLevel="1" x14ac:dyDescent="0.25">
      <c r="A7" s="438"/>
      <c r="B7" s="1602" t="s">
        <v>646</v>
      </c>
      <c r="C7" s="1565" t="s">
        <v>342</v>
      </c>
      <c r="D7" s="1583">
        <f>'R&amp;C-Painel de Controle'!H33</f>
        <v>607.24899876865459</v>
      </c>
      <c r="E7" s="443"/>
      <c r="F7" s="1602" t="s">
        <v>974</v>
      </c>
      <c r="G7" s="1554">
        <f>J7*K7</f>
        <v>27439.800000000003</v>
      </c>
      <c r="H7" s="1596">
        <f>G7/$G$11</f>
        <v>0.16663630268757654</v>
      </c>
      <c r="I7" s="438"/>
      <c r="J7" s="2165">
        <f>'R&amp;C-Painel de Controle'!D6/3</f>
        <v>137199</v>
      </c>
      <c r="K7" s="2163">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78000</v>
      </c>
      <c r="E8" s="443"/>
      <c r="F8" s="1602" t="s">
        <v>975</v>
      </c>
      <c r="G8" s="1597">
        <f>J7/5</f>
        <v>27439.8</v>
      </c>
      <c r="H8" s="1596">
        <f>G8/$G$11</f>
        <v>0.16663630268757654</v>
      </c>
      <c r="I8" s="438"/>
      <c r="J8" s="2166"/>
      <c r="K8" s="2164"/>
      <c r="L8" s="438"/>
      <c r="M8" s="448"/>
      <c r="N8" s="440"/>
      <c r="O8" s="1433">
        <f>(O12-O10)/O10</f>
        <v>1.2145591636766743E-6</v>
      </c>
      <c r="P8" s="440"/>
      <c r="Q8" s="1433">
        <f>(Q12-Q10)/Q10</f>
        <v>-5.8327040398671757E-3</v>
      </c>
      <c r="R8" s="440"/>
      <c r="S8" s="1433">
        <f>(S12-S10)/S10</f>
        <v>-5.8327040398668409E-3</v>
      </c>
      <c r="T8" s="438"/>
      <c r="U8" s="1433">
        <f>(U12-U10)/U10</f>
        <v>2.2914268472023023E-2</v>
      </c>
      <c r="V8" s="438"/>
      <c r="W8" s="1433">
        <f>(W12-W10)/W10</f>
        <v>2.2914268472023023E-2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51.486805677372956</v>
      </c>
      <c r="R10" s="440"/>
      <c r="S10" s="255">
        <f>D8</f>
        <v>78000</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294.45016153846154</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2.0623150471232967</v>
      </c>
      <c r="E12" s="438"/>
      <c r="F12" s="438"/>
      <c r="G12" s="438"/>
      <c r="H12" s="439"/>
      <c r="I12" s="438"/>
      <c r="J12" s="439"/>
      <c r="K12" s="439"/>
      <c r="L12" s="439"/>
      <c r="M12" s="439"/>
      <c r="N12" s="438"/>
      <c r="O12" s="255">
        <f>O33</f>
        <v>164669</v>
      </c>
      <c r="P12" s="440"/>
      <c r="Q12" s="266">
        <f>Q33</f>
        <v>51.186498377898687</v>
      </c>
      <c r="R12" s="440"/>
      <c r="S12" s="255">
        <f>S33*(1+$D$17+$D$18+$D$19)</f>
        <v>77545.049084890386</v>
      </c>
      <c r="T12" s="438"/>
      <c r="U12" s="255">
        <f>U33</f>
        <v>23493387.184143584</v>
      </c>
      <c r="V12" s="438"/>
      <c r="W12" s="255">
        <f>W33</f>
        <v>23493387.184143584</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155" t="s">
        <v>978</v>
      </c>
      <c r="G15" s="2157" t="s">
        <v>195</v>
      </c>
      <c r="H15" s="2159">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156"/>
      <c r="G16" s="2158"/>
      <c r="H16" s="2160"/>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51.486805677372956</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2.2417622351611124</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196" t="s">
        <v>941</v>
      </c>
      <c r="G23" s="2197"/>
      <c r="H23" s="2198"/>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312.66885820126794</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51.486805677372956</v>
      </c>
      <c r="E25" s="438"/>
      <c r="F25" s="1605" t="s">
        <v>980</v>
      </c>
      <c r="G25" s="1587" t="s">
        <v>359</v>
      </c>
      <c r="H25" s="1601">
        <f>H24/12</f>
        <v>26.055738183438994</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2.2417622351611124</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187" t="s">
        <v>964</v>
      </c>
      <c r="C29" s="2188"/>
      <c r="D29" s="2188"/>
      <c r="E29" s="2189"/>
      <c r="F29" s="438"/>
      <c r="G29" s="438"/>
      <c r="H29" s="439"/>
      <c r="I29" s="438"/>
      <c r="J29" s="439"/>
      <c r="K29" s="2169" t="s">
        <v>360</v>
      </c>
      <c r="L29" s="2170"/>
      <c r="M29" s="2171"/>
      <c r="N29" s="438"/>
      <c r="O29" s="2192" t="s">
        <v>763</v>
      </c>
      <c r="P29" s="2193"/>
      <c r="Q29" s="2193"/>
      <c r="R29" s="2193"/>
      <c r="S29" s="2193"/>
      <c r="T29" s="2193"/>
      <c r="U29" s="2193"/>
      <c r="V29" s="2193"/>
      <c r="W29" s="2193"/>
      <c r="X29" s="2193"/>
      <c r="Y29" s="2193"/>
      <c r="Z29" s="2193"/>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209" t="s">
        <v>965</v>
      </c>
      <c r="C31" s="2210"/>
      <c r="D31" s="2210"/>
      <c r="E31" s="2210"/>
      <c r="F31" s="2210"/>
      <c r="G31" s="2210"/>
      <c r="H31" s="2210"/>
      <c r="I31" s="2210"/>
      <c r="J31" s="2210"/>
      <c r="K31" s="2210"/>
      <c r="L31" s="1555" t="s">
        <v>361</v>
      </c>
      <c r="M31" s="1555" t="s">
        <v>362</v>
      </c>
      <c r="N31" s="438"/>
      <c r="O31" s="2167" t="s">
        <v>650</v>
      </c>
      <c r="P31" s="438"/>
      <c r="Q31" s="2167" t="s">
        <v>363</v>
      </c>
      <c r="R31" s="438"/>
      <c r="S31" s="2167" t="s">
        <v>651</v>
      </c>
      <c r="T31" s="438"/>
      <c r="U31" s="2167" t="s">
        <v>652</v>
      </c>
      <c r="V31" s="438"/>
      <c r="W31" s="2167" t="s">
        <v>652</v>
      </c>
      <c r="X31" s="438"/>
      <c r="Y31" s="2167" t="s">
        <v>463</v>
      </c>
      <c r="Z31" s="438"/>
      <c r="AA31" s="438"/>
      <c r="AB31" s="453"/>
    </row>
    <row r="32" spans="1:28" s="252" customFormat="1" ht="19.899999999999999" customHeight="1" x14ac:dyDescent="0.25">
      <c r="A32" s="438"/>
      <c r="B32" s="2211"/>
      <c r="C32" s="2210"/>
      <c r="D32" s="2210"/>
      <c r="E32" s="2210"/>
      <c r="F32" s="2210"/>
      <c r="G32" s="2210"/>
      <c r="H32" s="2210"/>
      <c r="I32" s="2210"/>
      <c r="J32" s="2210"/>
      <c r="K32" s="2210"/>
      <c r="L32" s="1556">
        <f>H24</f>
        <v>312.66885820126794</v>
      </c>
      <c r="M32" s="1557">
        <f>H25</f>
        <v>26.055738183438994</v>
      </c>
      <c r="N32" s="441"/>
      <c r="O32" s="2052"/>
      <c r="P32" s="441"/>
      <c r="Q32" s="2052"/>
      <c r="R32" s="441"/>
      <c r="S32" s="2052"/>
      <c r="T32" s="438"/>
      <c r="U32" s="2052"/>
      <c r="V32" s="438"/>
      <c r="W32" s="2052"/>
      <c r="X32" s="438"/>
      <c r="Y32" s="2168"/>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51.186498377898687</v>
      </c>
      <c r="R33" s="438"/>
      <c r="S33" s="255">
        <f>12*S34</f>
        <v>71470.091322479624</v>
      </c>
      <c r="T33" s="438" t="s">
        <v>364</v>
      </c>
      <c r="U33" s="255">
        <f>12*U34</f>
        <v>23493387.184143584</v>
      </c>
      <c r="V33" s="438" t="s">
        <v>365</v>
      </c>
      <c r="W33" s="255">
        <f>12*W34</f>
        <v>23493387.184143584</v>
      </c>
      <c r="X33" s="438" t="s">
        <v>365</v>
      </c>
      <c r="Y33" s="2194">
        <v>0.1</v>
      </c>
      <c r="Z33" s="438"/>
      <c r="AA33" s="438"/>
      <c r="AB33" s="453"/>
    </row>
    <row r="34" spans="1:28" s="252" customFormat="1" ht="34.9" hidden="1" customHeight="1" outlineLevel="1" x14ac:dyDescent="0.25">
      <c r="A34" s="438"/>
      <c r="B34" s="2190" t="s">
        <v>366</v>
      </c>
      <c r="C34" s="2191"/>
      <c r="D34" s="2191"/>
      <c r="E34" s="2191"/>
      <c r="F34" s="2191"/>
      <c r="G34" s="2191"/>
      <c r="H34" s="2191"/>
      <c r="I34" s="2191"/>
      <c r="J34" s="2191"/>
      <c r="K34" s="2191"/>
      <c r="L34" s="2191"/>
      <c r="M34" s="2191"/>
      <c r="N34" s="441"/>
      <c r="O34" s="850"/>
      <c r="P34" s="441"/>
      <c r="Q34" s="850"/>
      <c r="R34" s="441"/>
      <c r="S34" s="255">
        <f>S36+S49+S62+S75+S88</f>
        <v>5955.8409435399681</v>
      </c>
      <c r="T34" s="438" t="s">
        <v>367</v>
      </c>
      <c r="U34" s="255">
        <f>U36+U49+U62+U75+U88</f>
        <v>1957782.2653452987</v>
      </c>
      <c r="V34" s="438" t="s">
        <v>368</v>
      </c>
      <c r="W34" s="255">
        <f>W36+W49+W62+W75+W88</f>
        <v>1957782.2653452987</v>
      </c>
      <c r="X34" s="438" t="s">
        <v>368</v>
      </c>
      <c r="Y34" s="2195"/>
      <c r="Z34" s="438"/>
      <c r="AA34" s="438"/>
      <c r="AB34" s="453"/>
    </row>
    <row r="35" spans="1:28" s="252" customFormat="1" ht="25.15" hidden="1" customHeight="1" outlineLevel="1" x14ac:dyDescent="0.25">
      <c r="A35" s="438"/>
      <c r="B35" s="2177" t="s">
        <v>369</v>
      </c>
      <c r="C35" s="2183"/>
      <c r="D35" s="2183"/>
      <c r="E35" s="2184"/>
      <c r="F35" s="2183"/>
      <c r="G35" s="2183"/>
      <c r="H35" s="2183"/>
      <c r="I35" s="2184"/>
      <c r="J35" s="2183"/>
      <c r="K35" s="2183"/>
      <c r="L35" s="2183"/>
      <c r="M35" s="2183"/>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77" t="s">
        <v>370</v>
      </c>
      <c r="C36" s="2177" t="s">
        <v>371</v>
      </c>
      <c r="D36" s="2179"/>
      <c r="E36" s="1448"/>
      <c r="F36" s="2199" t="s">
        <v>372</v>
      </c>
      <c r="G36" s="2183"/>
      <c r="H36" s="2200"/>
      <c r="I36" s="848"/>
      <c r="J36" s="2180" t="s">
        <v>970</v>
      </c>
      <c r="K36" s="2181"/>
      <c r="L36" s="2181"/>
      <c r="M36" s="2181"/>
      <c r="N36" s="438"/>
      <c r="O36" s="255">
        <f>O39+O41+O42+O43+O44+O45</f>
        <v>25</v>
      </c>
      <c r="P36" s="447"/>
      <c r="Q36" s="856">
        <f>Q39+Q41+Q42+Q43+Q44+Q45</f>
        <v>608.23863821965404</v>
      </c>
      <c r="R36" s="438"/>
      <c r="S36" s="2182">
        <f>IF(AND(Q36&lt;&gt;0,O36&lt;&gt;0),Q36/(1+$D$17+$D$18+$D$19)/(($D$25*1000000/$D$8)),0)</f>
        <v>0.84926440364182365</v>
      </c>
      <c r="T36" s="2185" t="s">
        <v>373</v>
      </c>
      <c r="U36" s="2182">
        <f>U39+U41+U42+U43+U44+U45</f>
        <v>250.06604084120022</v>
      </c>
      <c r="V36" s="447" t="s">
        <v>374</v>
      </c>
      <c r="W36" s="2182">
        <f>W39*O39+W41*O41+W42*O42+W43*O43+W44*O44+W45*O45</f>
        <v>250.06604084120019</v>
      </c>
      <c r="X36" s="447" t="s">
        <v>374</v>
      </c>
      <c r="Y36" s="833" t="s">
        <v>375</v>
      </c>
      <c r="Z36" s="438"/>
      <c r="AA36" s="438"/>
      <c r="AB36" s="453"/>
    </row>
    <row r="37" spans="1:28" s="252" customFormat="1" ht="24" hidden="1" customHeight="1" outlineLevel="1" x14ac:dyDescent="0.25">
      <c r="A37" s="438"/>
      <c r="B37" s="2178"/>
      <c r="C37" s="1558" t="s">
        <v>376</v>
      </c>
      <c r="D37" s="1559" t="s">
        <v>377</v>
      </c>
      <c r="E37" s="1449"/>
      <c r="F37" s="2201"/>
      <c r="G37" s="2183"/>
      <c r="H37" s="2200"/>
      <c r="I37" s="849"/>
      <c r="J37" s="2202" t="s">
        <v>378</v>
      </c>
      <c r="K37" s="2203"/>
      <c r="L37" s="2204" t="s">
        <v>379</v>
      </c>
      <c r="M37" s="2203"/>
      <c r="N37" s="438"/>
      <c r="O37" s="853" t="s">
        <v>380</v>
      </c>
      <c r="P37" s="447"/>
      <c r="Q37" s="857">
        <v>0.5</v>
      </c>
      <c r="R37" s="438"/>
      <c r="S37" s="2116"/>
      <c r="T37" s="2186"/>
      <c r="U37" s="2116"/>
      <c r="V37" s="447"/>
      <c r="W37" s="2115"/>
      <c r="X37" s="447"/>
      <c r="Y37" s="860">
        <f>$Y$33</f>
        <v>0.1</v>
      </c>
      <c r="Z37" s="438"/>
      <c r="AA37" s="438"/>
      <c r="AB37" s="453"/>
    </row>
    <row r="38" spans="1:28" s="252" customFormat="1" ht="24" hidden="1" customHeight="1" outlineLevel="1" x14ac:dyDescent="0.25">
      <c r="A38" s="438"/>
      <c r="B38" s="2172">
        <v>1</v>
      </c>
      <c r="C38" s="2172">
        <v>1</v>
      </c>
      <c r="D38" s="2175">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73"/>
      <c r="C39" s="2174"/>
      <c r="D39" s="2176"/>
      <c r="E39" s="849"/>
      <c r="F39" s="1613" t="s">
        <v>338</v>
      </c>
      <c r="G39" s="1614">
        <v>5</v>
      </c>
      <c r="H39" s="1615">
        <v>0.35</v>
      </c>
      <c r="I39" s="1449"/>
      <c r="J39" s="1616">
        <f>$L$32*H39*$B$38*$C$38</f>
        <v>109.43410037044377</v>
      </c>
      <c r="K39" s="1617">
        <f>$M$32*H39*$B$38*$C$38</f>
        <v>9.1195083642036465</v>
      </c>
      <c r="L39" s="1616">
        <f>J39*$D$38</f>
        <v>136.79262546305472</v>
      </c>
      <c r="M39" s="1617">
        <f>K39*$D$38</f>
        <v>11.399385455254558</v>
      </c>
      <c r="N39" s="438"/>
      <c r="O39" s="854">
        <v>5</v>
      </c>
      <c r="P39" s="447"/>
      <c r="Q39" s="276">
        <f>O39*$Q$37*M39+O39*(1-$Q$37)*K39</f>
        <v>51.297234548645513</v>
      </c>
      <c r="R39" s="438"/>
      <c r="S39" s="858">
        <f>IF(AND(Q39&lt;&gt;0,O39&lt;&gt;0),Q39/(1+$D$17+$D$18+$D$19)/O39/30/(($D$25*1000000/$D$8))*1000,0)</f>
        <v>0.47749805827251124</v>
      </c>
      <c r="T39" s="447" t="s">
        <v>382</v>
      </c>
      <c r="U39" s="838">
        <f>S39*O39*30*$D$11*(1+$D$24)/1000</f>
        <v>21.089907058896397</v>
      </c>
      <c r="V39" s="447" t="s">
        <v>383</v>
      </c>
      <c r="W39" s="838">
        <f>IF(O39&lt;&gt;0,U39/O39,0)</f>
        <v>4.2179814117792791</v>
      </c>
      <c r="X39" s="447" t="s">
        <v>384</v>
      </c>
      <c r="Y39" s="277" t="str">
        <f>IF(O39=0,"-", IF(W39&lt;=(G39*(1+$Y$37)),"OK", "NOK"))</f>
        <v>OK</v>
      </c>
      <c r="Z39" s="144"/>
      <c r="AA39" s="239">
        <f>IF(OR(Y39="OK",Y39="-"),1,0)</f>
        <v>1</v>
      </c>
      <c r="AB39" s="453"/>
    </row>
    <row r="40" spans="1:28" s="252" customFormat="1" ht="24" hidden="1" customHeight="1" outlineLevel="1" x14ac:dyDescent="0.25">
      <c r="A40" s="438"/>
      <c r="B40" s="2173"/>
      <c r="C40" s="2174"/>
      <c r="D40" s="2176"/>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73"/>
      <c r="C41" s="2174"/>
      <c r="D41" s="2176"/>
      <c r="E41" s="849"/>
      <c r="F41" s="1613">
        <f>G39</f>
        <v>5</v>
      </c>
      <c r="G41" s="1614">
        <v>15</v>
      </c>
      <c r="H41" s="1615">
        <v>0.06</v>
      </c>
      <c r="I41" s="1449"/>
      <c r="J41" s="1616">
        <f>$L$32*(H39+(G41-F41)*H41)*$B$38*$C$38</f>
        <v>297.03541529120452</v>
      </c>
      <c r="K41" s="1617">
        <f>$M$32*(H39+(G41-F41)*H41)*$B$38*$C$38</f>
        <v>24.752951274267044</v>
      </c>
      <c r="L41" s="1616">
        <f t="shared" ref="L41:M45" si="0">J41*$D$38</f>
        <v>371.29426911400566</v>
      </c>
      <c r="M41" s="1617">
        <f t="shared" si="0"/>
        <v>30.941189092833806</v>
      </c>
      <c r="N41" s="438"/>
      <c r="O41" s="854">
        <v>20</v>
      </c>
      <c r="P41" s="447"/>
      <c r="Q41" s="276">
        <f>O41*$Q$37*M41+O41*(1-$Q$37)*K41</f>
        <v>556.94140367100852</v>
      </c>
      <c r="R41" s="438"/>
      <c r="S41" s="858">
        <f>IF(AND(Q41&lt;&gt;0,O41&lt;&gt;0),Q41/(1+$D$17+$D$18+$D$19)/O41/30/(($D$25*1000000/$D$8))*1000,0)</f>
        <v>1.2960661581682451</v>
      </c>
      <c r="T41" s="447" t="s">
        <v>382</v>
      </c>
      <c r="U41" s="838">
        <f>S41*O41*30*$D$11*(1+$D$24)/1000</f>
        <v>228.97613378230383</v>
      </c>
      <c r="V41" s="447" t="s">
        <v>383</v>
      </c>
      <c r="W41" s="838">
        <f>IF(O41&lt;&gt;0,U41/O41,0)</f>
        <v>11.448806689115191</v>
      </c>
      <c r="X41" s="447" t="s">
        <v>384</v>
      </c>
      <c r="Y41" s="255" t="str">
        <f>IF(O41=0,"-",IF(AND(((F41*(1-$Y$37))&lt;W41),(W41&lt;(G41*(1+$Y$37)))),"OK", "NOK"))</f>
        <v>OK</v>
      </c>
      <c r="Z41" s="144"/>
      <c r="AA41" s="239">
        <f>IF(OR(Y41="OK",Y41="-"),1,0)</f>
        <v>1</v>
      </c>
      <c r="AB41" s="453"/>
    </row>
    <row r="42" spans="1:28" s="252" customFormat="1" ht="24" hidden="1" customHeight="1" outlineLevel="1" x14ac:dyDescent="0.25">
      <c r="A42" s="438"/>
      <c r="B42" s="2173"/>
      <c r="C42" s="2174"/>
      <c r="D42" s="2176"/>
      <c r="E42" s="849"/>
      <c r="F42" s="1613">
        <f>G41</f>
        <v>15</v>
      </c>
      <c r="G42" s="1614">
        <v>25</v>
      </c>
      <c r="H42" s="1615">
        <v>0.05</v>
      </c>
      <c r="I42" s="1449"/>
      <c r="J42" s="1616">
        <f>$L$32*(H39+(G41-F41)*H41+(G42-F42)*H42)*$B$38*$C$38</f>
        <v>453.36984439183851</v>
      </c>
      <c r="K42" s="1617">
        <f>$M$32*(H39+(G41-F41)*H41+(G42-F42)*H42)*$B$38*$C$38</f>
        <v>37.780820365986543</v>
      </c>
      <c r="L42" s="1616">
        <f t="shared" si="0"/>
        <v>566.71230548979815</v>
      </c>
      <c r="M42" s="1617">
        <f t="shared" si="0"/>
        <v>47.226025457483175</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73"/>
      <c r="C43" s="2174"/>
      <c r="D43" s="2176"/>
      <c r="E43" s="849"/>
      <c r="F43" s="1613">
        <f>G42</f>
        <v>25</v>
      </c>
      <c r="G43" s="1614">
        <v>35</v>
      </c>
      <c r="H43" s="1615">
        <v>3.5000000000000003E-2</v>
      </c>
      <c r="I43" s="1449"/>
      <c r="J43" s="1616">
        <f>$L$32*(H39+(G41-F41)*H41+(G42-F42)*H42+(G43-F43)*H43)*$B$38*$C$38</f>
        <v>562.8039447622823</v>
      </c>
      <c r="K43" s="1617">
        <f>$M$32*(H39+(G41-F41)*H41+(G42-F42)*H42+(G43-F43)*H43)*$B$38*$C$38</f>
        <v>46.900328730190189</v>
      </c>
      <c r="L43" s="1616">
        <f t="shared" si="0"/>
        <v>703.50493095285287</v>
      </c>
      <c r="M43" s="1617">
        <f t="shared" si="0"/>
        <v>58.625410912737735</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73"/>
      <c r="C44" s="2174"/>
      <c r="D44" s="2176"/>
      <c r="E44" s="849"/>
      <c r="F44" s="1613">
        <f>G43</f>
        <v>35</v>
      </c>
      <c r="G44" s="1614">
        <v>50</v>
      </c>
      <c r="H44" s="1615">
        <f>0.03</f>
        <v>0.03</v>
      </c>
      <c r="I44" s="1449"/>
      <c r="J44" s="1616">
        <f>$L$32*(H39+(G41-F41)*H41+(G42-F42)*H42+(G43-F43)*H43+(G44-F44)*H44)*$B$38*$C$38</f>
        <v>703.50493095285287</v>
      </c>
      <c r="K44" s="1617">
        <f>$M$32*(H39+(G41-F41)*H41+(G42-F42)*H42+(G43-F43)*H43+(G44-F44)*H44)*$B$38*$C$38</f>
        <v>58.625410912737735</v>
      </c>
      <c r="L44" s="1616">
        <f t="shared" si="0"/>
        <v>879.38116369106615</v>
      </c>
      <c r="M44" s="1617">
        <f t="shared" si="0"/>
        <v>73.281763640922165</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73"/>
      <c r="C45" s="2174"/>
      <c r="D45" s="2176"/>
      <c r="E45" s="849"/>
      <c r="F45" s="1613">
        <f>G44</f>
        <v>50</v>
      </c>
      <c r="G45" s="1614">
        <v>100</v>
      </c>
      <c r="H45" s="1615">
        <v>2.5000000000000001E-2</v>
      </c>
      <c r="I45" s="1449"/>
      <c r="J45" s="1616">
        <f>$L$32*(H39+(G41-F41)*H41+(G42-F42)*H42+(G43-F43)*H43+(G44-F44)*H44+(G45-F45)*H45)*$B$38*$C$38</f>
        <v>1094.3410037044378</v>
      </c>
      <c r="K45" s="1617">
        <f>$M$32*(H39+(G41-F41)*H41+(G42-F42)*H42+(G43-F43)*H43+(G44-F44)*H44+(G45-F45)*H45)*$B$38*$C$38</f>
        <v>91.195083642036479</v>
      </c>
      <c r="L45" s="1616">
        <f t="shared" si="0"/>
        <v>1367.9262546305472</v>
      </c>
      <c r="M45" s="1617">
        <f t="shared" si="0"/>
        <v>113.9938545525456</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90" t="s">
        <v>385</v>
      </c>
      <c r="C47" s="2191"/>
      <c r="D47" s="2191"/>
      <c r="E47" s="2191"/>
      <c r="F47" s="2191"/>
      <c r="G47" s="2191"/>
      <c r="H47" s="2191"/>
      <c r="I47" s="2191"/>
      <c r="J47" s="2191"/>
      <c r="K47" s="2191"/>
      <c r="L47" s="2191"/>
      <c r="M47" s="2191"/>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77" t="s">
        <v>369</v>
      </c>
      <c r="C48" s="2183"/>
      <c r="D48" s="2183"/>
      <c r="E48" s="2184"/>
      <c r="F48" s="2183"/>
      <c r="G48" s="2183"/>
      <c r="H48" s="2183"/>
      <c r="I48" s="2184"/>
      <c r="J48" s="2183"/>
      <c r="K48" s="2183"/>
      <c r="L48" s="2183"/>
      <c r="M48" s="2183"/>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77" t="s">
        <v>370</v>
      </c>
      <c r="C49" s="2177" t="s">
        <v>371</v>
      </c>
      <c r="D49" s="2179"/>
      <c r="E49" s="1448"/>
      <c r="F49" s="2199" t="s">
        <v>372</v>
      </c>
      <c r="G49" s="2183"/>
      <c r="H49" s="2200"/>
      <c r="I49" s="848"/>
      <c r="J49" s="2180" t="s">
        <v>970</v>
      </c>
      <c r="K49" s="2181"/>
      <c r="L49" s="2181"/>
      <c r="M49" s="2181"/>
      <c r="N49" s="438"/>
      <c r="O49" s="255">
        <f>O52+O54+O55+O56+O57+O58</f>
        <v>109759</v>
      </c>
      <c r="P49" s="447"/>
      <c r="Q49" s="862">
        <f>Q52+Q54+Q55+Q56+Q57+Q58</f>
        <v>2345064.0696558757</v>
      </c>
      <c r="R49" s="438"/>
      <c r="S49" s="2219">
        <f>IF(AND(Q49&lt;&gt;0,O49&lt;&gt;0),Q49/(1+$D$17+$D$18+$D$19)/(($D$25*1000000/$D$8)),0)</f>
        <v>3274.3389082410508</v>
      </c>
      <c r="T49" s="2185" t="s">
        <v>373</v>
      </c>
      <c r="U49" s="2182">
        <f>U52+U54+U55+U56+U57+U58</f>
        <v>964129.62046324729</v>
      </c>
      <c r="V49" s="447" t="s">
        <v>374</v>
      </c>
      <c r="W49" s="2217">
        <f>W52*O52+W54*O54+W55*O55+W56*O56+W57*O57+W58*O58</f>
        <v>964129.62046324729</v>
      </c>
      <c r="X49" s="447" t="s">
        <v>374</v>
      </c>
      <c r="Y49" s="833" t="s">
        <v>375</v>
      </c>
      <c r="Z49" s="438"/>
      <c r="AA49" s="438"/>
      <c r="AB49" s="453"/>
    </row>
    <row r="50" spans="1:28" s="252" customFormat="1" ht="24" hidden="1" customHeight="1" outlineLevel="1" x14ac:dyDescent="0.25">
      <c r="A50" s="438"/>
      <c r="B50" s="2178"/>
      <c r="C50" s="1558" t="s">
        <v>376</v>
      </c>
      <c r="D50" s="1559" t="s">
        <v>377</v>
      </c>
      <c r="E50" s="1449"/>
      <c r="F50" s="2201"/>
      <c r="G50" s="2183"/>
      <c r="H50" s="2200"/>
      <c r="I50" s="849"/>
      <c r="J50" s="2202" t="s">
        <v>378</v>
      </c>
      <c r="K50" s="2203"/>
      <c r="L50" s="2204" t="s">
        <v>379</v>
      </c>
      <c r="M50" s="2203"/>
      <c r="N50" s="438"/>
      <c r="O50" s="861" t="s">
        <v>380</v>
      </c>
      <c r="P50" s="447"/>
      <c r="Q50" s="857">
        <v>0.5</v>
      </c>
      <c r="R50" s="438"/>
      <c r="S50" s="2116"/>
      <c r="T50" s="2186"/>
      <c r="U50" s="2116"/>
      <c r="V50" s="447"/>
      <c r="W50" s="2218"/>
      <c r="X50" s="447"/>
      <c r="Y50" s="860">
        <f>$Y$33</f>
        <v>0.1</v>
      </c>
      <c r="Z50" s="438"/>
      <c r="AA50" s="438"/>
      <c r="AB50" s="453"/>
    </row>
    <row r="51" spans="1:28" s="252" customFormat="1" ht="24" hidden="1" customHeight="1" outlineLevel="1" x14ac:dyDescent="0.25">
      <c r="A51" s="438"/>
      <c r="B51" s="2172">
        <v>1</v>
      </c>
      <c r="C51" s="2172">
        <v>1</v>
      </c>
      <c r="D51" s="2175">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73"/>
      <c r="C52" s="2174"/>
      <c r="D52" s="2176"/>
      <c r="E52" s="849"/>
      <c r="F52" s="1613" t="s">
        <v>338</v>
      </c>
      <c r="G52" s="1614">
        <v>5</v>
      </c>
      <c r="H52" s="1615">
        <f>0.35-0.05</f>
        <v>0.3</v>
      </c>
      <c r="I52" s="1449"/>
      <c r="J52" s="1616">
        <f>$L$32*H52*$B$51*$C$51</f>
        <v>93.800657460380378</v>
      </c>
      <c r="K52" s="1617">
        <f>$M$32*H52*$B$51*$C$51</f>
        <v>7.8167214550316979</v>
      </c>
      <c r="L52" s="1616">
        <f>J52*$D$51</f>
        <v>117.25082182547547</v>
      </c>
      <c r="M52" s="1617">
        <f>K52*$D$51</f>
        <v>9.7709018187896231</v>
      </c>
      <c r="N52" s="438"/>
      <c r="O52" s="854">
        <v>76400</v>
      </c>
      <c r="P52" s="447"/>
      <c r="Q52" s="276">
        <f>O52*$Q$50*M52+O52*(1-$Q$50)*K52</f>
        <v>671847.20905997441</v>
      </c>
      <c r="R52" s="438"/>
      <c r="S52" s="858">
        <f>IF(AND(Q52&lt;&gt;0,O52&lt;&gt;0),Q52/(1+$D$17+$D$18+$D$19)/O52/30/(($D$25*1000000/$D$8))*1000,0)</f>
        <v>0.40928404994786682</v>
      </c>
      <c r="T52" s="447" t="s">
        <v>382</v>
      </c>
      <c r="U52" s="838">
        <f>S52*O52*30*$D$11*(1+$D$24)/1000</f>
        <v>276217.52559423173</v>
      </c>
      <c r="V52" s="447" t="s">
        <v>383</v>
      </c>
      <c r="W52" s="838">
        <f>IF(O52&lt;&gt;0,U52/O52,0)</f>
        <v>3.6154126386679546</v>
      </c>
      <c r="X52" s="447" t="s">
        <v>384</v>
      </c>
      <c r="Y52" s="277" t="str">
        <f>IF(O52=0,"-", IF(W52&lt;=(G52*(1+$Y$50)),"OK", "NOK"))</f>
        <v>OK</v>
      </c>
      <c r="Z52" s="144"/>
      <c r="AA52" s="239">
        <f>IF(OR(Y52="OK",Y52="-"),1,0)</f>
        <v>1</v>
      </c>
      <c r="AB52" s="453"/>
    </row>
    <row r="53" spans="1:28" s="252" customFormat="1" ht="24" hidden="1" customHeight="1" outlineLevel="1" x14ac:dyDescent="0.25">
      <c r="A53" s="438"/>
      <c r="B53" s="2173"/>
      <c r="C53" s="2174"/>
      <c r="D53" s="2176"/>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73"/>
      <c r="C54" s="2174"/>
      <c r="D54" s="2176"/>
      <c r="E54" s="849"/>
      <c r="F54" s="1613">
        <f>G52</f>
        <v>5</v>
      </c>
      <c r="G54" s="1614">
        <v>15</v>
      </c>
      <c r="H54" s="1615">
        <f>0.08</f>
        <v>0.08</v>
      </c>
      <c r="I54" s="1449"/>
      <c r="J54" s="1616">
        <f>$L$32*(H52+(G54-F54)*H54)*$B$51*$C$51</f>
        <v>343.93574402139478</v>
      </c>
      <c r="K54" s="1617">
        <f>$M$32*(H52+(G54-F54)*H54)*$B$51*$C$51</f>
        <v>28.661312001782896</v>
      </c>
      <c r="L54" s="1616">
        <f t="shared" ref="L54:M58" si="1">J54*$D$51</f>
        <v>429.91968002674349</v>
      </c>
      <c r="M54" s="1617">
        <f t="shared" si="1"/>
        <v>35.826640002228622</v>
      </c>
      <c r="N54" s="438"/>
      <c r="O54" s="854">
        <v>16500</v>
      </c>
      <c r="P54" s="447"/>
      <c r="Q54" s="276">
        <f>O54*$Q$50*M54+O54*(1-$Q$50)*K54</f>
        <v>532025.60403309506</v>
      </c>
      <c r="R54" s="438"/>
      <c r="S54" s="858">
        <f>IF(AND(Q54&lt;&gt;0,O54&lt;&gt;0),Q54/(1+$D$17+$D$18+$D$19)/O54/30/(($D$25*1000000/$D$8))*1000,0)</f>
        <v>1.5007081831421787</v>
      </c>
      <c r="T54" s="447" t="s">
        <v>382</v>
      </c>
      <c r="U54" s="838">
        <f>S54*O54*30*$D$11*(1+$D$24)/1000</f>
        <v>218732.46463941128</v>
      </c>
      <c r="V54" s="447" t="s">
        <v>383</v>
      </c>
      <c r="W54" s="865">
        <f>IF(O54&lt;&gt;0,U54/O54,0)</f>
        <v>13.256513008449168</v>
      </c>
      <c r="X54" s="447" t="s">
        <v>384</v>
      </c>
      <c r="Y54" s="277" t="str">
        <f>IF(O54=0,"-",IF(AND(((F54*(1-$Y$50))&lt;W54),(W54&lt;(G54*(1+$Y$50)))),"OK", "NOK"))</f>
        <v>OK</v>
      </c>
      <c r="Z54" s="144"/>
      <c r="AA54" s="239">
        <f>IF(OR(Y54="OK",Y54="-"),1,0)</f>
        <v>1</v>
      </c>
      <c r="AB54" s="453"/>
    </row>
    <row r="55" spans="1:28" s="252" customFormat="1" ht="24" hidden="1" customHeight="1" outlineLevel="1" x14ac:dyDescent="0.25">
      <c r="A55" s="438"/>
      <c r="B55" s="2173"/>
      <c r="C55" s="2174"/>
      <c r="D55" s="2176"/>
      <c r="E55" s="849"/>
      <c r="F55" s="1613">
        <f>G54</f>
        <v>15</v>
      </c>
      <c r="G55" s="1614">
        <v>25</v>
      </c>
      <c r="H55" s="1615">
        <f>0.0725</f>
        <v>7.2499999999999995E-2</v>
      </c>
      <c r="I55" s="1449"/>
      <c r="J55" s="1616">
        <f>$L$32*(H52+(G54-F54)*H54+(G55-F55)*H55)*$B$51*$C$51</f>
        <v>570.62066621731401</v>
      </c>
      <c r="K55" s="1617">
        <f>$M$32*(H52+(G54-F54)*H54+(G55-F55)*H55)*$B$51*$C$51</f>
        <v>47.551722184776168</v>
      </c>
      <c r="L55" s="1616">
        <f t="shared" si="1"/>
        <v>713.27583277164251</v>
      </c>
      <c r="M55" s="1617">
        <f t="shared" si="1"/>
        <v>59.439652730970209</v>
      </c>
      <c r="N55" s="438"/>
      <c r="O55" s="854">
        <v>10000</v>
      </c>
      <c r="P55" s="447"/>
      <c r="Q55" s="276">
        <f>O55*$Q$50*M55+O55*(1-$Q$50)*K55</f>
        <v>534956.87457873183</v>
      </c>
      <c r="R55" s="438"/>
      <c r="S55" s="858">
        <f>IF(AND(Q55&lt;&gt;0,O55&lt;&gt;0),Q55/(1+$D$17+$D$18+$D$19)/O55/30/(($D$25*1000000/$D$8))*1000,0)</f>
        <v>2.4898113038495229</v>
      </c>
      <c r="T55" s="447" t="s">
        <v>382</v>
      </c>
      <c r="U55" s="838">
        <f>S55*O55*30*$D$11*(1+$D$24)/1000</f>
        <v>219937.60218563388</v>
      </c>
      <c r="V55" s="447" t="s">
        <v>383</v>
      </c>
      <c r="W55" s="866">
        <f>IF(O55&lt;&gt;0,U55/O55,0)</f>
        <v>21.993760218563388</v>
      </c>
      <c r="X55" s="447" t="s">
        <v>384</v>
      </c>
      <c r="Y55" s="277" t="str">
        <f>IF(O55=0,"-",IF(AND(((F55*(1-$Y$50))&lt;W55),(W55&lt;(G55*(1+$Y$50)))),"OK", "NOK"))</f>
        <v>OK</v>
      </c>
      <c r="Z55" s="144"/>
      <c r="AA55" s="239">
        <f>IF(OR(Y55="OK",Y55="-"),1,0)</f>
        <v>1</v>
      </c>
      <c r="AB55" s="453"/>
    </row>
    <row r="56" spans="1:28" s="252" customFormat="1" ht="24" hidden="1" customHeight="1" outlineLevel="1" x14ac:dyDescent="0.25">
      <c r="A56" s="438"/>
      <c r="B56" s="2173"/>
      <c r="C56" s="2174"/>
      <c r="D56" s="2176"/>
      <c r="E56" s="849"/>
      <c r="F56" s="1613">
        <f>G55</f>
        <v>25</v>
      </c>
      <c r="G56" s="1614">
        <v>35</v>
      </c>
      <c r="H56" s="1615">
        <v>6.5000000000000002E-2</v>
      </c>
      <c r="I56" s="1449"/>
      <c r="J56" s="1616">
        <f>$L$32*(H52+(G54-F54)*H54+(G55-F55)*H55+(G56-F56)*H56)*$B$51*$C$51</f>
        <v>773.85542404813816</v>
      </c>
      <c r="K56" s="1617">
        <f>$M$32*(H52+(G54-F54)*H54+(G55-F55)*H55+(G56-F56)*H56)*$B$51*$C$51</f>
        <v>64.487952004011518</v>
      </c>
      <c r="L56" s="1616">
        <f t="shared" si="1"/>
        <v>967.31928006017267</v>
      </c>
      <c r="M56" s="1617">
        <f t="shared" si="1"/>
        <v>80.609940005014394</v>
      </c>
      <c r="N56" s="438"/>
      <c r="O56" s="854">
        <v>5500</v>
      </c>
      <c r="P56" s="447"/>
      <c r="Q56" s="276">
        <f>O56*$Q$50*M56+O56*(1-$Q$50)*K56</f>
        <v>399019.20302482124</v>
      </c>
      <c r="R56" s="438"/>
      <c r="S56" s="858">
        <f>IF(AND(Q56&lt;&gt;0,O56&lt;&gt;0),Q56/(1+$D$17+$D$18+$D$19)/O56/30/(($D$25*1000000/$D$8))*1000,0)</f>
        <v>3.3765934120699015</v>
      </c>
      <c r="T56" s="447" t="s">
        <v>382</v>
      </c>
      <c r="U56" s="838">
        <f>S56*O56*30*$D$11*(1+$D$24)/1000</f>
        <v>164049.34847955845</v>
      </c>
      <c r="V56" s="447" t="s">
        <v>383</v>
      </c>
      <c r="W56" s="866">
        <f>IF(O56&lt;&gt;0,U56/O56,0)</f>
        <v>29.827154269010627</v>
      </c>
      <c r="X56" s="447" t="s">
        <v>384</v>
      </c>
      <c r="Y56" s="277" t="str">
        <f>IF(O56=0,"-",IF(AND(((F56*(1-$Y$50))&lt;W56),(W56&lt;(G56*(1+$Y$50)))),"OK", "NOK"))</f>
        <v>OK</v>
      </c>
      <c r="Z56" s="144"/>
      <c r="AA56" s="239">
        <f>IF(OR(Y56="OK",Y56="-"),1,0)</f>
        <v>1</v>
      </c>
      <c r="AB56" s="453"/>
    </row>
    <row r="57" spans="1:28" s="252" customFormat="1" ht="24" hidden="1" customHeight="1" outlineLevel="1" x14ac:dyDescent="0.25">
      <c r="A57" s="438"/>
      <c r="B57" s="2173"/>
      <c r="C57" s="2174"/>
      <c r="D57" s="2176"/>
      <c r="E57" s="849"/>
      <c r="F57" s="1613">
        <f>G56</f>
        <v>35</v>
      </c>
      <c r="G57" s="1614">
        <v>50</v>
      </c>
      <c r="H57" s="1615">
        <f>0.06</f>
        <v>0.06</v>
      </c>
      <c r="I57" s="1449"/>
      <c r="J57" s="1616">
        <f>$L$32*(H52+(G54-F54)*H54+(G55-F55)*H55+(G56-F56)*H56+(G57-F57)*H57)*$B$51*$C$51</f>
        <v>1055.2573964292792</v>
      </c>
      <c r="K57" s="1617">
        <f>$M$32*(H52+(G54-F54)*H54+(G55-F55)*H55+(G56-F56)*H56+(G57-F57)*H57)*$B$51*$C$51</f>
        <v>87.938116369106609</v>
      </c>
      <c r="L57" s="1616">
        <f t="shared" si="1"/>
        <v>1319.0717455365989</v>
      </c>
      <c r="M57" s="1617">
        <f t="shared" si="1"/>
        <v>109.92264546138327</v>
      </c>
      <c r="N57" s="438"/>
      <c r="O57" s="854">
        <v>366</v>
      </c>
      <c r="P57" s="447"/>
      <c r="Q57" s="276">
        <f>O57*$Q$50*M57+O57*(1-$Q$50)*K57</f>
        <v>36208.519414979644</v>
      </c>
      <c r="R57" s="438"/>
      <c r="S57" s="858">
        <f>IF(AND(Q57&lt;&gt;0,O57&lt;&gt;0),Q57/(1+$D$17+$D$18+$D$19)/O57/30/(($D$25*1000000/$D$8))*1000,0)</f>
        <v>4.6044455619135016</v>
      </c>
      <c r="T57" s="447" t="s">
        <v>382</v>
      </c>
      <c r="U57" s="838">
        <f>S57*O57*30*$D$11*(1+$D$24)/1000</f>
        <v>14886.461539715301</v>
      </c>
      <c r="V57" s="447" t="s">
        <v>383</v>
      </c>
      <c r="W57" s="866">
        <f>IF(O57&lt;&gt;0,U57/O57,0)</f>
        <v>40.673392185014485</v>
      </c>
      <c r="X57" s="447" t="s">
        <v>384</v>
      </c>
      <c r="Y57" s="277" t="str">
        <f>IF(O57=0,"-",IF(AND(((F57*(1-$Y$50))&lt;W57),(W57&lt;(G57*(1+$Y$50)))),"OK", "NOK"))</f>
        <v>OK</v>
      </c>
      <c r="Z57" s="144"/>
      <c r="AA57" s="239">
        <f>IF(OR(Y57="OK",Y57="-"),1,0)</f>
        <v>1</v>
      </c>
      <c r="AB57" s="453"/>
    </row>
    <row r="58" spans="1:28" s="252" customFormat="1" ht="24" hidden="1" customHeight="1" outlineLevel="1" x14ac:dyDescent="0.25">
      <c r="A58" s="438"/>
      <c r="B58" s="2173"/>
      <c r="C58" s="2174"/>
      <c r="D58" s="2176"/>
      <c r="E58" s="849"/>
      <c r="F58" s="1613">
        <f>G57</f>
        <v>50</v>
      </c>
      <c r="G58" s="1614">
        <v>100</v>
      </c>
      <c r="H58" s="1615">
        <v>0.05</v>
      </c>
      <c r="I58" s="1449"/>
      <c r="J58" s="1616">
        <f>$L$32*(H52+(G54-F54)*H54+(G55-F55)*H55+(G56-F56)*H56+(G57-F57)*H57+(G58-F58)*H58)*$B$51*$C$51</f>
        <v>1836.9295419324492</v>
      </c>
      <c r="K58" s="1617">
        <f>$M$32*(H52+(G54-F54)*H54+(G55-F55)*H55+(G56-F56)*H56+(G57-F57)*H57+(G58-F58)*H58)*$B$51*$C$51</f>
        <v>153.0774618277041</v>
      </c>
      <c r="L58" s="1616">
        <f t="shared" si="1"/>
        <v>2296.1619274155614</v>
      </c>
      <c r="M58" s="1617">
        <f t="shared" si="1"/>
        <v>191.34682728463014</v>
      </c>
      <c r="N58" s="438"/>
      <c r="O58" s="854">
        <v>993</v>
      </c>
      <c r="P58" s="447"/>
      <c r="Q58" s="276">
        <f>O58*$Q$50*M58+O58*(1-$Q$50)*K58</f>
        <v>171006.65954427395</v>
      </c>
      <c r="R58" s="438"/>
      <c r="S58" s="858">
        <f>IF(AND(Q58&lt;&gt;0,O58&lt;&gt;0),Q58/(1+$D$17+$D$18+$D$19)/O58/30/(($D$25*1000000/$D$8))*1000,0)</f>
        <v>8.0151459781457248</v>
      </c>
      <c r="T58" s="447" t="s">
        <v>382</v>
      </c>
      <c r="U58" s="838">
        <f>S58*O58*30*$D$11*(1+$D$24)/1000</f>
        <v>70306.218024696704</v>
      </c>
      <c r="V58" s="447" t="s">
        <v>383</v>
      </c>
      <c r="W58" s="867">
        <f>IF(O58&lt;&gt;0,U58/O58,0)</f>
        <v>70.801830840580763</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90" t="s">
        <v>386</v>
      </c>
      <c r="C60" s="2191"/>
      <c r="D60" s="2191"/>
      <c r="E60" s="2191"/>
      <c r="F60" s="2191"/>
      <c r="G60" s="2191"/>
      <c r="H60" s="2191"/>
      <c r="I60" s="2191"/>
      <c r="J60" s="2191"/>
      <c r="K60" s="2191"/>
      <c r="L60" s="2191"/>
      <c r="M60" s="2191"/>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77" t="s">
        <v>369</v>
      </c>
      <c r="C61" s="2183"/>
      <c r="D61" s="2183"/>
      <c r="E61" s="2184"/>
      <c r="F61" s="2183"/>
      <c r="G61" s="2183"/>
      <c r="H61" s="2183"/>
      <c r="I61" s="2184"/>
      <c r="J61" s="2183"/>
      <c r="K61" s="2183"/>
      <c r="L61" s="2183"/>
      <c r="M61" s="2183"/>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77" t="s">
        <v>370</v>
      </c>
      <c r="C62" s="2177" t="s">
        <v>371</v>
      </c>
      <c r="D62" s="2179"/>
      <c r="E62" s="1448"/>
      <c r="F62" s="2199" t="s">
        <v>372</v>
      </c>
      <c r="G62" s="2183"/>
      <c r="H62" s="2200"/>
      <c r="I62" s="848"/>
      <c r="J62" s="2180" t="s">
        <v>970</v>
      </c>
      <c r="K62" s="2181"/>
      <c r="L62" s="2181"/>
      <c r="M62" s="2181"/>
      <c r="N62" s="438"/>
      <c r="O62" s="255">
        <f>O65+O67+O68+O69+O70+O71</f>
        <v>27440</v>
      </c>
      <c r="P62" s="447"/>
      <c r="Q62" s="856">
        <f>Q65+Q67+Q68+Q69+Q70+Q71</f>
        <v>124098.95378321057</v>
      </c>
      <c r="R62" s="438"/>
      <c r="S62" s="2182">
        <f>IF(AND(Q62&lt;&gt;0,O62&lt;&gt;0),Q62/(1+$D$17+$D$18+$D$19)/(($D$25*1000000/$D$8)),0)</f>
        <v>173.27545038204545</v>
      </c>
      <c r="T62" s="2185" t="s">
        <v>373</v>
      </c>
      <c r="U62" s="2182">
        <f>U65+U67+U68+U69+U70+U71</f>
        <v>255104.9217782148</v>
      </c>
      <c r="V62" s="447" t="s">
        <v>374</v>
      </c>
      <c r="W62" s="2182">
        <f>W65*O65+W67*O67+W68*O68+W69*O69+W70*O70+W71*O71</f>
        <v>255104.9217782148</v>
      </c>
      <c r="X62" s="447" t="s">
        <v>374</v>
      </c>
      <c r="Y62" s="833" t="s">
        <v>375</v>
      </c>
      <c r="Z62" s="438"/>
      <c r="AA62" s="438"/>
      <c r="AB62" s="453"/>
    </row>
    <row r="63" spans="1:28" s="252" customFormat="1" ht="24" hidden="1" customHeight="1" outlineLevel="1" x14ac:dyDescent="0.25">
      <c r="A63" s="438"/>
      <c r="B63" s="2178"/>
      <c r="C63" s="1558" t="s">
        <v>376</v>
      </c>
      <c r="D63" s="1559" t="s">
        <v>377</v>
      </c>
      <c r="E63" s="1449"/>
      <c r="F63" s="2201"/>
      <c r="G63" s="2183"/>
      <c r="H63" s="2200"/>
      <c r="I63" s="849"/>
      <c r="J63" s="2202" t="s">
        <v>378</v>
      </c>
      <c r="K63" s="2203"/>
      <c r="L63" s="2204" t="s">
        <v>379</v>
      </c>
      <c r="M63" s="2203"/>
      <c r="N63" s="438"/>
      <c r="O63" s="861" t="s">
        <v>380</v>
      </c>
      <c r="P63" s="447"/>
      <c r="Q63" s="857">
        <v>0.25</v>
      </c>
      <c r="R63" s="438"/>
      <c r="S63" s="2116"/>
      <c r="T63" s="2186"/>
      <c r="U63" s="2116"/>
      <c r="V63" s="447"/>
      <c r="W63" s="2115"/>
      <c r="X63" s="447"/>
      <c r="Y63" s="860">
        <f>$Y$33</f>
        <v>0.1</v>
      </c>
      <c r="Z63" s="438"/>
      <c r="AA63" s="438"/>
      <c r="AB63" s="453"/>
    </row>
    <row r="64" spans="1:28" s="252" customFormat="1" ht="24" hidden="1" customHeight="1" outlineLevel="1" x14ac:dyDescent="0.25">
      <c r="A64" s="438"/>
      <c r="B64" s="2214">
        <f>B51*$H$15</f>
        <v>0.2</v>
      </c>
      <c r="C64" s="2214">
        <f>C51</f>
        <v>1</v>
      </c>
      <c r="D64" s="2214">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215"/>
      <c r="C65" s="2215"/>
      <c r="D65" s="2215"/>
      <c r="E65" s="849"/>
      <c r="F65" s="1613" t="s">
        <v>338</v>
      </c>
      <c r="G65" s="1618">
        <f>G52</f>
        <v>5</v>
      </c>
      <c r="H65" s="1619">
        <f>H52</f>
        <v>0.3</v>
      </c>
      <c r="I65" s="1449"/>
      <c r="J65" s="1620">
        <f>$L$32*H65*$B$64*$C$64</f>
        <v>18.760131492076077</v>
      </c>
      <c r="K65" s="1617">
        <f>$M$32*H65*$B$64*$C$64</f>
        <v>1.5633442910063398</v>
      </c>
      <c r="L65" s="1616">
        <f>J65*$D$51</f>
        <v>23.450164365095098</v>
      </c>
      <c r="M65" s="1617">
        <f>K65*$D$51</f>
        <v>1.9541803637579247</v>
      </c>
      <c r="N65" s="438"/>
      <c r="O65" s="854">
        <v>15000</v>
      </c>
      <c r="P65" s="447"/>
      <c r="Q65" s="276">
        <f>O65*$Q$63*M65+O65*(1-$Q$63)*K65</f>
        <v>24915.79963791354</v>
      </c>
      <c r="R65" s="438"/>
      <c r="S65" s="858">
        <f>IF(AND(Q65&lt;&gt;0,O65&lt;&gt;0),Q65/(1+$D$17+$D$18+$D$19)/$H$15/O65/30/(($D$25*1000000/$D$8))*1000,0)</f>
        <v>0.3865460471729853</v>
      </c>
      <c r="T65" s="447" t="s">
        <v>382</v>
      </c>
      <c r="U65" s="838">
        <f>S65*O65*30*$D$11*(1+$D$24)/1000</f>
        <v>51218.345714462681</v>
      </c>
      <c r="V65" s="447" t="s">
        <v>383</v>
      </c>
      <c r="W65" s="838">
        <f>IF(O65&lt;&gt;0,U65/O65,0)</f>
        <v>3.4145563809641786</v>
      </c>
      <c r="X65" s="447" t="s">
        <v>384</v>
      </c>
      <c r="Y65" s="277" t="str">
        <f>IF(O65=0,"-", IF(W65&lt;=(G65*(1+$Y$63)),"OK", "NOK"))</f>
        <v>OK</v>
      </c>
      <c r="Z65" s="274">
        <f>W65/$H$15</f>
        <v>17.072781904820893</v>
      </c>
      <c r="AA65" s="239">
        <f>IF(OR(Y65="OK",Y65="-"),1,0)</f>
        <v>1</v>
      </c>
      <c r="AB65" s="439"/>
    </row>
    <row r="66" spans="1:28" s="252" customFormat="1" ht="24" hidden="1" customHeight="1" outlineLevel="1" x14ac:dyDescent="0.25">
      <c r="A66" s="438"/>
      <c r="B66" s="2215"/>
      <c r="C66" s="2215"/>
      <c r="D66" s="2215"/>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215"/>
      <c r="C67" s="2215"/>
      <c r="D67" s="2215"/>
      <c r="E67" s="849"/>
      <c r="F67" s="1613">
        <f>G65</f>
        <v>5</v>
      </c>
      <c r="G67" s="1618">
        <f t="shared" ref="G67:H71" si="2">G54</f>
        <v>15</v>
      </c>
      <c r="H67" s="1619">
        <f t="shared" si="2"/>
        <v>0.08</v>
      </c>
      <c r="I67" s="1449"/>
      <c r="J67" s="1620">
        <f>$L$32*(H65+(G67-F67)*H67)*$B$64*$C$64</f>
        <v>68.787148804278957</v>
      </c>
      <c r="K67" s="1617">
        <f>$M$32*(H65+(G67-F67)*H67)*$B$64*$C$64</f>
        <v>5.7322624003565794</v>
      </c>
      <c r="L67" s="1616">
        <f t="shared" ref="L67:M71" si="3">J67*$D$51</f>
        <v>85.983936005348696</v>
      </c>
      <c r="M67" s="1617">
        <f t="shared" si="3"/>
        <v>7.165328000445724</v>
      </c>
      <c r="N67" s="438"/>
      <c r="O67" s="854">
        <v>8400</v>
      </c>
      <c r="P67" s="447"/>
      <c r="Q67" s="276">
        <f>O67*$Q$63*M67+O67*(1-$Q$63)*K67</f>
        <v>51160.441923182472</v>
      </c>
      <c r="R67" s="438"/>
      <c r="S67" s="858">
        <f>IF(AND(Q67&lt;&gt;0,O67&lt;&gt;0),Q67/(1+$D$17+$D$18+$D$19)/$H$15/O67/30/(($D$25*1000000/$D$8))*1000,0)</f>
        <v>1.4173355063009465</v>
      </c>
      <c r="T67" s="447" t="s">
        <v>382</v>
      </c>
      <c r="U67" s="838">
        <f>S67*O67*30*$D$11*(1+$D$24)/1000</f>
        <v>105168.33653369673</v>
      </c>
      <c r="V67" s="447" t="s">
        <v>383</v>
      </c>
      <c r="W67" s="838">
        <f>IF(O67&lt;&gt;0,U67/O67,0)</f>
        <v>12.520040063535324</v>
      </c>
      <c r="X67" s="447" t="s">
        <v>384</v>
      </c>
      <c r="Y67" s="277" t="str">
        <f>IF(O67=0,"-",IF(AND(((F67*(1-$Y$63))&lt;W67),(W67&lt;(G67*(1+$Y$63)))),"OK", "NOK"))</f>
        <v>OK</v>
      </c>
      <c r="Z67" s="274">
        <f>W67/$H$15</f>
        <v>62.600200317676617</v>
      </c>
      <c r="AA67" s="239">
        <f>IF(OR(Y67="OK",Y67="-"),1,0)</f>
        <v>1</v>
      </c>
      <c r="AB67" s="439"/>
    </row>
    <row r="68" spans="1:28" s="252" customFormat="1" ht="24" hidden="1" customHeight="1" outlineLevel="1" x14ac:dyDescent="0.25">
      <c r="A68" s="438"/>
      <c r="B68" s="2215"/>
      <c r="C68" s="2215"/>
      <c r="D68" s="2215"/>
      <c r="E68" s="849"/>
      <c r="F68" s="1613">
        <f>G67</f>
        <v>15</v>
      </c>
      <c r="G68" s="1618">
        <f t="shared" si="2"/>
        <v>25</v>
      </c>
      <c r="H68" s="1619">
        <f t="shared" si="2"/>
        <v>7.2499999999999995E-2</v>
      </c>
      <c r="I68" s="1449"/>
      <c r="J68" s="1620">
        <f>$L$32*(H65+(G67-F67)*H67+(G68-F68)*H68)*$B$64*$C$64</f>
        <v>114.12413324346281</v>
      </c>
      <c r="K68" s="1617">
        <f>$M$32*(H65+(G67-F67)*H67+(G68-F68)*H68)*$B$64*$C$64</f>
        <v>9.5103444369552346</v>
      </c>
      <c r="L68" s="1616">
        <f t="shared" si="3"/>
        <v>142.6551665543285</v>
      </c>
      <c r="M68" s="1617">
        <f t="shared" si="3"/>
        <v>11.887930546194044</v>
      </c>
      <c r="N68" s="438"/>
      <c r="O68" s="854">
        <v>2960</v>
      </c>
      <c r="P68" s="447"/>
      <c r="Q68" s="276">
        <f>O68*$Q$63*M68+O68*(1-$Q$63)*K68</f>
        <v>29910.03325422421</v>
      </c>
      <c r="R68" s="438"/>
      <c r="S68" s="858">
        <f>IF(AND(Q68&lt;&gt;0,O68&lt;&gt;0),Q68/(1+$D$17+$D$18+$D$19)/$H$15/O68/30/(($D$25*1000000/$D$8))*1000,0)</f>
        <v>2.3514884536356608</v>
      </c>
      <c r="T68" s="447" t="s">
        <v>382</v>
      </c>
      <c r="U68" s="838">
        <f>S68*O68*30*$D$11*(1+$D$24)/1000</f>
        <v>61484.778566561654</v>
      </c>
      <c r="V68" s="447" t="s">
        <v>383</v>
      </c>
      <c r="W68" s="838">
        <f>IF(O68&lt;&gt;0,U68/O68,0)</f>
        <v>20.771884650865424</v>
      </c>
      <c r="X68" s="447" t="s">
        <v>384</v>
      </c>
      <c r="Y68" s="277" t="str">
        <f>IF(O68=0,"-",IF(AND(((F68*(1-$Y$63))&lt;W68),(W68&lt;(G68*(1+$Y$63)))),"OK", "NOK"))</f>
        <v>OK</v>
      </c>
      <c r="Z68" s="274">
        <f>W68/$H$15</f>
        <v>103.85942325432711</v>
      </c>
      <c r="AA68" s="239">
        <f>IF(OR(Y68="OK",Y68="-"),1,0)</f>
        <v>1</v>
      </c>
      <c r="AB68" s="439"/>
    </row>
    <row r="69" spans="1:28" s="252" customFormat="1" ht="24" hidden="1" customHeight="1" outlineLevel="1" x14ac:dyDescent="0.25">
      <c r="A69" s="438"/>
      <c r="B69" s="2215"/>
      <c r="C69" s="2215"/>
      <c r="D69" s="2215"/>
      <c r="E69" s="849"/>
      <c r="F69" s="1613">
        <f>G68</f>
        <v>25</v>
      </c>
      <c r="G69" s="1618">
        <f t="shared" si="2"/>
        <v>35</v>
      </c>
      <c r="H69" s="1619">
        <f t="shared" si="2"/>
        <v>6.5000000000000002E-2</v>
      </c>
      <c r="I69" s="1449"/>
      <c r="J69" s="1620">
        <f>$L$32*(H65+(G67-F67)*H67+(G68-F68)*H68+(G69-F69)*H69)*$B$64*$C$64</f>
        <v>154.77108480962764</v>
      </c>
      <c r="K69" s="1617">
        <f>$M$32*(H65+(G67-F67)*H67+(G68-F68)*H68+(G69-F69)*H69)*$B$64*$C$64</f>
        <v>12.897590400802304</v>
      </c>
      <c r="L69" s="1616">
        <f t="shared" si="3"/>
        <v>193.46385601203454</v>
      </c>
      <c r="M69" s="1617">
        <f t="shared" si="3"/>
        <v>16.12198800100288</v>
      </c>
      <c r="N69" s="438"/>
      <c r="O69" s="854">
        <v>693</v>
      </c>
      <c r="P69" s="447"/>
      <c r="Q69" s="276">
        <f>O69*$Q$63*M69+O69*(1-$Q$63)*K69</f>
        <v>9496.657031990746</v>
      </c>
      <c r="R69" s="438"/>
      <c r="S69" s="858">
        <f>IF(AND(Q69&lt;&gt;0,O69&lt;&gt;0),Q69/(1+$D$17+$D$18+$D$19)/$H$15/O69/30/(($D$25*1000000/$D$8))*1000,0)</f>
        <v>3.1890048891771285</v>
      </c>
      <c r="T69" s="447" t="s">
        <v>382</v>
      </c>
      <c r="U69" s="838">
        <f>S69*O69*30*$D$11*(1+$D$24)/1000</f>
        <v>19521.87246906745</v>
      </c>
      <c r="V69" s="447" t="s">
        <v>383</v>
      </c>
      <c r="W69" s="838">
        <f>IF(O69&lt;&gt;0,U69/O69,0)</f>
        <v>28.170090142954471</v>
      </c>
      <c r="X69" s="447" t="s">
        <v>384</v>
      </c>
      <c r="Y69" s="277" t="str">
        <f>IF(O69=0,"-",IF(AND(((F69*(1-$Y$63))&lt;W69),(W69&lt;(G69*(1+$Y$63)))),"OK", "NOK"))</f>
        <v>OK</v>
      </c>
      <c r="Z69" s="274">
        <f>W69/$H$15</f>
        <v>140.85045071477234</v>
      </c>
      <c r="AA69" s="239">
        <f>IF(OR(Y69="OK",Y69="-"),1,0)</f>
        <v>1</v>
      </c>
      <c r="AB69" s="439"/>
    </row>
    <row r="70" spans="1:28" s="252" customFormat="1" ht="24" hidden="1" customHeight="1" outlineLevel="1" x14ac:dyDescent="0.25">
      <c r="A70" s="438"/>
      <c r="B70" s="2215"/>
      <c r="C70" s="2215"/>
      <c r="D70" s="2215"/>
      <c r="E70" s="849"/>
      <c r="F70" s="1613">
        <f>G69</f>
        <v>35</v>
      </c>
      <c r="G70" s="1618">
        <f t="shared" si="2"/>
        <v>50</v>
      </c>
      <c r="H70" s="1619">
        <f t="shared" si="2"/>
        <v>0.06</v>
      </c>
      <c r="I70" s="1449"/>
      <c r="J70" s="1620">
        <f>$L$32*(H65+(G67-F67)*H67+(G68-F68)*H68+(G69-F69)*H69+(G70-F70)*H70)*$B$64*$C$64</f>
        <v>211.05147928585586</v>
      </c>
      <c r="K70" s="1617">
        <f>$M$32*(H65+(G67-F67)*H67+(G68-F68)*H68+(G69-F69)*H69+(G70-F70)*H70)*$B$64*$C$64</f>
        <v>17.587623273821322</v>
      </c>
      <c r="L70" s="1616">
        <f t="shared" si="3"/>
        <v>263.8143491073198</v>
      </c>
      <c r="M70" s="1617">
        <f t="shared" si="3"/>
        <v>21.984529092276652</v>
      </c>
      <c r="N70" s="438"/>
      <c r="O70" s="854">
        <v>287</v>
      </c>
      <c r="P70" s="447"/>
      <c r="Q70" s="276">
        <f>O70*$Q$63*M70+O70*(1-$Q$63)*K70</f>
        <v>5363.1258720608894</v>
      </c>
      <c r="R70" s="438"/>
      <c r="S70" s="858">
        <f>IF(AND(Q70&lt;&gt;0,O70&lt;&gt;0),Q70/(1+$D$17+$D$18+$D$19)/$H$15/O70/30/(($D$25*1000000/$D$8))*1000,0)</f>
        <v>4.3486430306960848</v>
      </c>
      <c r="T70" s="447" t="s">
        <v>382</v>
      </c>
      <c r="U70" s="838">
        <f>S70*O70*30*$D$11*(1+$D$24)/1000</f>
        <v>11024.748915038093</v>
      </c>
      <c r="V70" s="447" t="s">
        <v>383</v>
      </c>
      <c r="W70" s="838">
        <f>IF(O70&lt;&gt;0,U70/O70,0)</f>
        <v>38.413759285847014</v>
      </c>
      <c r="X70" s="447" t="s">
        <v>384</v>
      </c>
      <c r="Y70" s="277" t="str">
        <f>IF(O70=0,"-",IF(AND(((F70*(1-$Y$63))&lt;W70),(W70&lt;(G70*(1+$Y$63)))),"OK", "NOK"))</f>
        <v>OK</v>
      </c>
      <c r="Z70" s="274">
        <f>W70/$H$15</f>
        <v>192.06879642923505</v>
      </c>
      <c r="AA70" s="239">
        <f>IF(OR(Y70="OK",Y70="-"),1,0)</f>
        <v>1</v>
      </c>
      <c r="AB70" s="439"/>
    </row>
    <row r="71" spans="1:28" s="252" customFormat="1" ht="24" hidden="1" customHeight="1" outlineLevel="1" x14ac:dyDescent="0.25">
      <c r="A71" s="438"/>
      <c r="B71" s="2216"/>
      <c r="C71" s="2216"/>
      <c r="D71" s="2216"/>
      <c r="E71" s="849"/>
      <c r="F71" s="1613">
        <f>G70</f>
        <v>50</v>
      </c>
      <c r="G71" s="1618">
        <f t="shared" si="2"/>
        <v>100</v>
      </c>
      <c r="H71" s="1619">
        <f t="shared" si="2"/>
        <v>0.05</v>
      </c>
      <c r="I71" s="1449"/>
      <c r="J71" s="1620">
        <f>$L$32*(H65+(G67-F67)*H67+(G68-F68)*H68+(G69-F69)*H69+(G70-F70)*H70+(G71-F71)*H71)*$B$64*$C$64</f>
        <v>367.38590838648986</v>
      </c>
      <c r="K71" s="1617">
        <f>$M$32*(H65+(G67-F67)*H67+(G68-F68)*H68+(G69-F69)*H69+(G70-F70)*H70+(G71-F71)*H71)*$B$64*$C$64</f>
        <v>30.61549236554082</v>
      </c>
      <c r="L71" s="1616">
        <f t="shared" si="3"/>
        <v>459.23238548311235</v>
      </c>
      <c r="M71" s="1617">
        <f t="shared" si="3"/>
        <v>38.269365456926025</v>
      </c>
      <c r="N71" s="438"/>
      <c r="O71" s="854">
        <v>100</v>
      </c>
      <c r="P71" s="447"/>
      <c r="Q71" s="276">
        <f>O71*$Q$63*M71+O71*(1-$Q$63)*K71</f>
        <v>3252.8960638387121</v>
      </c>
      <c r="R71" s="438"/>
      <c r="S71" s="858">
        <f>IF(AND(Q71&lt;&gt;0,O71&lt;&gt;0),Q71/(1+$D$17+$D$18+$D$19)/$H$15/O71/30/(($D$25*1000000/$D$8))*1000,0)</f>
        <v>7.5698600904709625</v>
      </c>
      <c r="T71" s="447" t="s">
        <v>382</v>
      </c>
      <c r="U71" s="838">
        <f>S71*O71*30*$D$11*(1+$D$24)/1000</f>
        <v>6686.8395793881846</v>
      </c>
      <c r="V71" s="447" t="s">
        <v>383</v>
      </c>
      <c r="W71" s="838">
        <f>IF(O71&lt;&gt;0,U71/O71,0)</f>
        <v>66.868395793881845</v>
      </c>
      <c r="X71" s="447" t="s">
        <v>384</v>
      </c>
      <c r="Y71" s="277" t="str">
        <f>IF(O71=0,"-",IF(AND(((F71*(1-$Y$63))&lt;W71),(W71&lt;(G71*(1+$Y$63)))),"OK", "NOK"))</f>
        <v>OK</v>
      </c>
      <c r="Z71" s="274">
        <f>W71/$H$15</f>
        <v>334.34197896940918</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90" t="s">
        <v>762</v>
      </c>
      <c r="C73" s="2191"/>
      <c r="D73" s="2191"/>
      <c r="E73" s="2191"/>
      <c r="F73" s="2191"/>
      <c r="G73" s="2191"/>
      <c r="H73" s="2191"/>
      <c r="I73" s="2191"/>
      <c r="J73" s="2191"/>
      <c r="K73" s="2191"/>
      <c r="L73" s="2191"/>
      <c r="M73" s="2191"/>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77" t="s">
        <v>369</v>
      </c>
      <c r="C74" s="2183"/>
      <c r="D74" s="2183"/>
      <c r="E74" s="2184"/>
      <c r="F74" s="2183"/>
      <c r="G74" s="2183"/>
      <c r="H74" s="2183"/>
      <c r="I74" s="2184"/>
      <c r="J74" s="2183"/>
      <c r="K74" s="2183"/>
      <c r="L74" s="2183"/>
      <c r="M74" s="2183"/>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77" t="s">
        <v>370</v>
      </c>
      <c r="C75" s="2177" t="s">
        <v>371</v>
      </c>
      <c r="D75" s="2179"/>
      <c r="E75" s="1448"/>
      <c r="F75" s="2199" t="s">
        <v>372</v>
      </c>
      <c r="G75" s="2183"/>
      <c r="H75" s="2200"/>
      <c r="I75" s="848"/>
      <c r="J75" s="2180" t="s">
        <v>970</v>
      </c>
      <c r="K75" s="2181"/>
      <c r="L75" s="2181"/>
      <c r="M75" s="2181"/>
      <c r="N75" s="438"/>
      <c r="O75" s="255">
        <f>O78+O80+O81+O82+O83+O84</f>
        <v>27440</v>
      </c>
      <c r="P75" s="447"/>
      <c r="Q75" s="856">
        <f>Q78+Q80+Q81+Q82+Q83+Q84</f>
        <v>1794251.2198781576</v>
      </c>
      <c r="R75" s="438"/>
      <c r="S75" s="2182">
        <f>IF(AND(Q75&lt;&gt;0,O75&lt;&gt;0),Q75/(1+$D$17+$D$18+$D$19)/(($D$25*1000000/$D$8)),0)</f>
        <v>2505.2563196143888</v>
      </c>
      <c r="T75" s="2185" t="s">
        <v>373</v>
      </c>
      <c r="U75" s="2182">
        <f>U78+U80+U81+U82+U83+U84</f>
        <v>737673.12800570857</v>
      </c>
      <c r="V75" s="447" t="s">
        <v>374</v>
      </c>
      <c r="W75" s="2182">
        <f>W78*O78+W80*O80+W81*O81+W82*O82+W83*O83+W84*O84</f>
        <v>737673.12800570857</v>
      </c>
      <c r="X75" s="447" t="s">
        <v>374</v>
      </c>
      <c r="Y75" s="833" t="s">
        <v>375</v>
      </c>
      <c r="Z75" s="144"/>
      <c r="AA75" s="144"/>
      <c r="AB75" s="453"/>
    </row>
    <row r="76" spans="1:28" s="252" customFormat="1" ht="24" hidden="1" customHeight="1" outlineLevel="1" x14ac:dyDescent="0.25">
      <c r="A76" s="439"/>
      <c r="B76" s="2178"/>
      <c r="C76" s="1558" t="s">
        <v>376</v>
      </c>
      <c r="D76" s="1559" t="s">
        <v>377</v>
      </c>
      <c r="E76" s="1449"/>
      <c r="F76" s="2201"/>
      <c r="G76" s="2183"/>
      <c r="H76" s="2200"/>
      <c r="I76" s="849"/>
      <c r="J76" s="2202" t="s">
        <v>378</v>
      </c>
      <c r="K76" s="2203"/>
      <c r="L76" s="2204" t="s">
        <v>379</v>
      </c>
      <c r="M76" s="2203"/>
      <c r="N76" s="438"/>
      <c r="O76" s="861" t="s">
        <v>380</v>
      </c>
      <c r="P76" s="447"/>
      <c r="Q76" s="857">
        <v>0.5</v>
      </c>
      <c r="R76" s="438"/>
      <c r="S76" s="2116"/>
      <c r="T76" s="2186"/>
      <c r="U76" s="2116"/>
      <c r="V76" s="447"/>
      <c r="W76" s="2115"/>
      <c r="X76" s="447"/>
      <c r="Y76" s="860">
        <f>$Y$33</f>
        <v>0.1</v>
      </c>
      <c r="Z76" s="144"/>
      <c r="AA76" s="144"/>
      <c r="AB76" s="453"/>
    </row>
    <row r="77" spans="1:28" s="252" customFormat="1" ht="24" hidden="1" customHeight="1" outlineLevel="1" x14ac:dyDescent="0.25">
      <c r="A77" s="439"/>
      <c r="B77" s="2172">
        <v>2</v>
      </c>
      <c r="C77" s="2172">
        <v>1</v>
      </c>
      <c r="D77" s="2175">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73"/>
      <c r="C78" s="2212"/>
      <c r="D78" s="2213"/>
      <c r="E78" s="849"/>
      <c r="F78" s="1613" t="s">
        <v>338</v>
      </c>
      <c r="G78" s="1614">
        <v>5</v>
      </c>
      <c r="H78" s="1615">
        <f>0.35-0.25</f>
        <v>9.9999999999999978E-2</v>
      </c>
      <c r="I78" s="1449"/>
      <c r="J78" s="1616">
        <f>$L$32*H78*$B$77*$C$77</f>
        <v>62.533771640253576</v>
      </c>
      <c r="K78" s="1617">
        <f>$M$32*H78*$B$77*$C$77</f>
        <v>5.2111476366877971</v>
      </c>
      <c r="L78" s="1616">
        <f>J78*$D$77</f>
        <v>78.16721455031697</v>
      </c>
      <c r="M78" s="1617">
        <f>K78*$D$77</f>
        <v>6.5139345458597466</v>
      </c>
      <c r="N78" s="438"/>
      <c r="O78" s="854">
        <v>7692</v>
      </c>
      <c r="P78" s="447"/>
      <c r="Q78" s="276">
        <f>O78*$Q$76*M78+O78*(1-$Q$76)*K78</f>
        <v>45094.666074077853</v>
      </c>
      <c r="R78" s="438"/>
      <c r="S78" s="858">
        <f>IF(AND(Q78&lt;&gt;0,O78&lt;&gt;0),Q78/(1+$D$17+$D$18+$D$19)/O78/30/(($D$25*1000000/$D$8))*1000,0)</f>
        <v>0.27285603329857783</v>
      </c>
      <c r="T78" s="447" t="s">
        <v>382</v>
      </c>
      <c r="U78" s="838">
        <f>S78*O78*30*$D$11*(1+$D$24)/1000</f>
        <v>18539.836011089265</v>
      </c>
      <c r="V78" s="447" t="s">
        <v>383</v>
      </c>
      <c r="W78" s="838">
        <f>IF(O78&lt;&gt;0,U78/O78,0)</f>
        <v>2.410275092445302</v>
      </c>
      <c r="X78" s="447" t="s">
        <v>383</v>
      </c>
      <c r="Y78" s="277" t="str">
        <f>IF(O78=0,"-", IF(W78&lt;=(G78*(1+$Y$76)),"OK", "NOK"))</f>
        <v>OK</v>
      </c>
      <c r="Z78" s="144"/>
      <c r="AA78" s="239">
        <f>IF(OR(Y78="OK",Y78="-"),1,0)</f>
        <v>1</v>
      </c>
      <c r="AB78" s="453"/>
    </row>
    <row r="79" spans="1:28" s="252" customFormat="1" ht="24" hidden="1" customHeight="1" outlineLevel="1" x14ac:dyDescent="0.25">
      <c r="A79" s="438"/>
      <c r="B79" s="2173"/>
      <c r="C79" s="2212"/>
      <c r="D79" s="2213"/>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73"/>
      <c r="C80" s="2212"/>
      <c r="D80" s="2213"/>
      <c r="E80" s="849"/>
      <c r="F80" s="1613">
        <f>G78</f>
        <v>5</v>
      </c>
      <c r="G80" s="1614">
        <v>20</v>
      </c>
      <c r="H80" s="1615">
        <f>0.05</f>
        <v>0.05</v>
      </c>
      <c r="I80" s="1449"/>
      <c r="J80" s="1616">
        <f>$L$32*(H78+(G80-F80)*H80)*$B$77*$C$77</f>
        <v>531.53705894215545</v>
      </c>
      <c r="K80" s="1617">
        <f>$M$32*(H78+(G80-F80)*H80)*$B$77*$C$77</f>
        <v>44.29475491184629</v>
      </c>
      <c r="L80" s="1616">
        <f t="shared" ref="L80:M84" si="4">J80*$D$77</f>
        <v>664.42132367769432</v>
      </c>
      <c r="M80" s="1617">
        <f t="shared" si="4"/>
        <v>55.368443639807865</v>
      </c>
      <c r="N80" s="438"/>
      <c r="O80" s="854">
        <v>8500</v>
      </c>
      <c r="P80" s="447"/>
      <c r="Q80" s="276">
        <f>O80*$Q$76*M80+O80*(1-$Q$76)*K80</f>
        <v>423568.59384453017</v>
      </c>
      <c r="R80" s="438"/>
      <c r="S80" s="858">
        <f>IF(AND(Q80&lt;&gt;0,O80&lt;&gt;0),Q80/(1+$D$17+$D$18+$D$19)/O80/30/(($D$25*1000000/$D$8))*1000,0)</f>
        <v>2.3192762830379121</v>
      </c>
      <c r="T80" s="447" t="s">
        <v>382</v>
      </c>
      <c r="U80" s="838">
        <f>S80*O80*30*$D$11*(1+$D$24)/1000</f>
        <v>174142.37542917317</v>
      </c>
      <c r="V80" s="447" t="s">
        <v>383</v>
      </c>
      <c r="W80" s="838">
        <f>IF(O80&lt;&gt;0,U80/O80,0)</f>
        <v>20.487338285785079</v>
      </c>
      <c r="X80" s="447" t="s">
        <v>383</v>
      </c>
      <c r="Y80" s="277" t="str">
        <f>IF(O80=0,"-",IF(AND(((F80*(1-$Y$76))&lt;W80),(W80&lt;(G80*(1+$Y$76)))),"OK", "NOK"))</f>
        <v>OK</v>
      </c>
      <c r="Z80" s="144"/>
      <c r="AA80" s="239">
        <f>IF(OR(Y80="OK",Y80="-"),1,0)</f>
        <v>1</v>
      </c>
      <c r="AB80" s="453"/>
    </row>
    <row r="81" spans="1:28" s="252" customFormat="1" ht="24" hidden="1" customHeight="1" outlineLevel="1" x14ac:dyDescent="0.25">
      <c r="A81" s="438"/>
      <c r="B81" s="2173"/>
      <c r="C81" s="2212"/>
      <c r="D81" s="2213"/>
      <c r="E81" s="849"/>
      <c r="F81" s="1613">
        <f>G80</f>
        <v>20</v>
      </c>
      <c r="G81" s="1614">
        <v>30</v>
      </c>
      <c r="H81" s="1615">
        <f>0.045</f>
        <v>4.4999999999999998E-2</v>
      </c>
      <c r="I81" s="1449"/>
      <c r="J81" s="1616">
        <f>$L$32*(H78+(G80-F80)*H80+(G81-F81)*H81)*$B$77*$C$77</f>
        <v>812.93903132329649</v>
      </c>
      <c r="K81" s="1617">
        <f>$M$32*(H78+(G80-F80)*H80+(G81-F81)*H81)*$B$77*$C$77</f>
        <v>67.744919276941374</v>
      </c>
      <c r="L81" s="1616">
        <f t="shared" si="4"/>
        <v>1016.1737891541206</v>
      </c>
      <c r="M81" s="1617">
        <f t="shared" si="4"/>
        <v>84.681149096176711</v>
      </c>
      <c r="N81" s="438"/>
      <c r="O81" s="854">
        <v>2573</v>
      </c>
      <c r="P81" s="447"/>
      <c r="Q81" s="276">
        <f>O81*$Q$76*M81+O81*(1-$Q$76)*K81</f>
        <v>196096.1369620164</v>
      </c>
      <c r="R81" s="438"/>
      <c r="S81" s="858">
        <f>IF(AND(Q81&lt;&gt;0,O81&lt;&gt;0),Q81/(1+$D$17+$D$18+$D$19)/O81/30/(($D$25*1000000/$D$8))*1000,0)</f>
        <v>3.5471284328815118</v>
      </c>
      <c r="T81" s="447" t="s">
        <v>382</v>
      </c>
      <c r="U81" s="838">
        <f>S81*O81*30*$D$11*(1+$D$24)/1000</f>
        <v>80621.291567202919</v>
      </c>
      <c r="V81" s="447" t="s">
        <v>383</v>
      </c>
      <c r="W81" s="838">
        <f>IF(O81&lt;&gt;0,U81/O81,0)</f>
        <v>31.333576201788929</v>
      </c>
      <c r="X81" s="447" t="s">
        <v>383</v>
      </c>
      <c r="Y81" s="277" t="str">
        <f>IF(O81=0,"-",IF(AND(((F81*(1-$Y$76))&lt;W81),(W81&lt;(G81*(1+$Y$76)))),"OK", "NOK"))</f>
        <v>OK</v>
      </c>
      <c r="Z81" s="144"/>
      <c r="AA81" s="239">
        <f>IF(OR(Y81="OK",Y81="-"),1,0)</f>
        <v>1</v>
      </c>
      <c r="AB81" s="453"/>
    </row>
    <row r="82" spans="1:28" s="252" customFormat="1" ht="24" hidden="1" customHeight="1" outlineLevel="1" x14ac:dyDescent="0.25">
      <c r="A82" s="438"/>
      <c r="B82" s="2173"/>
      <c r="C82" s="2212"/>
      <c r="D82" s="2213"/>
      <c r="E82" s="849"/>
      <c r="F82" s="1613">
        <f>G81</f>
        <v>30</v>
      </c>
      <c r="G82" s="1614">
        <v>40</v>
      </c>
      <c r="H82" s="1615">
        <f>0.04</f>
        <v>0.04</v>
      </c>
      <c r="I82" s="1449"/>
      <c r="J82" s="1616">
        <f>$L$32*(H78+(G80-F80)*H80+(G81-F81)*H81+(G82-F82)*H82)*$B$77*$C$77</f>
        <v>1063.0741178843109</v>
      </c>
      <c r="K82" s="1617">
        <f>$M$32*(H78+(G80-F80)*H80+(G81-F81)*H81+(G82-F82)*H82)*$B$77*$C$77</f>
        <v>88.589509823692566</v>
      </c>
      <c r="L82" s="1616">
        <f t="shared" si="4"/>
        <v>1328.8426473553886</v>
      </c>
      <c r="M82" s="1617">
        <f t="shared" si="4"/>
        <v>110.7368872796157</v>
      </c>
      <c r="N82" s="438"/>
      <c r="O82" s="854">
        <v>4825</v>
      </c>
      <c r="P82" s="447"/>
      <c r="Q82" s="276">
        <f>O82*$Q$76*M82+O82*(1-$Q$76)*K82</f>
        <v>480874.93301173125</v>
      </c>
      <c r="R82" s="438"/>
      <c r="S82" s="858">
        <f>IF(AND(Q82&lt;&gt;0,O82&lt;&gt;0),Q82/(1+$D$17+$D$18+$D$19)/O82/30/(($D$25*1000000/$D$8))*1000,0)</f>
        <v>4.6385525660758233</v>
      </c>
      <c r="T82" s="447" t="s">
        <v>382</v>
      </c>
      <c r="U82" s="838">
        <f>S82*O82*30*$D$11*(1+$D$24)/1000</f>
        <v>197702.81445782594</v>
      </c>
      <c r="V82" s="447" t="s">
        <v>383</v>
      </c>
      <c r="W82" s="838">
        <f>IF(O82&lt;&gt;0,U82/O82,0)</f>
        <v>40.974676571570143</v>
      </c>
      <c r="X82" s="447" t="s">
        <v>383</v>
      </c>
      <c r="Y82" s="277" t="str">
        <f>IF(O82=0,"-",IF(AND(((F82*(1-$Y$76))&lt;W82),(W82&lt;(G82*(1+$Y$76)))),"OK", "NOK"))</f>
        <v>OK</v>
      </c>
      <c r="Z82" s="144"/>
      <c r="AA82" s="239">
        <f>IF(OR(Y82="OK",Y82="-"),1,0)</f>
        <v>1</v>
      </c>
      <c r="AB82" s="453"/>
    </row>
    <row r="83" spans="1:28" s="252" customFormat="1" ht="24" hidden="1" customHeight="1" outlineLevel="1" x14ac:dyDescent="0.25">
      <c r="A83" s="438"/>
      <c r="B83" s="2173"/>
      <c r="C83" s="2212"/>
      <c r="D83" s="2213"/>
      <c r="E83" s="849"/>
      <c r="F83" s="1613">
        <f>G82</f>
        <v>40</v>
      </c>
      <c r="G83" s="1614">
        <v>55</v>
      </c>
      <c r="H83" s="1615">
        <f>0.035</f>
        <v>3.5000000000000003E-2</v>
      </c>
      <c r="I83" s="1449"/>
      <c r="J83" s="1616">
        <f>$L$32*(H78+(G80-F80)*H80+(G81-F81)*H81+(G82-F82)*H82+(G83-F83)*H83)*$B$77*$C$77</f>
        <v>1391.3764189956421</v>
      </c>
      <c r="K83" s="1617">
        <f>$M$32*(H78+(G80-F80)*H80+(G81-F81)*H81+(G82-F82)*H82+(G83-F83)*H83)*$B$77*$C$77</f>
        <v>115.9480349163035</v>
      </c>
      <c r="L83" s="1616">
        <f t="shared" si="4"/>
        <v>1739.2205237445526</v>
      </c>
      <c r="M83" s="1617">
        <f t="shared" si="4"/>
        <v>144.93504364537938</v>
      </c>
      <c r="N83" s="438"/>
      <c r="O83" s="854">
        <v>2000</v>
      </c>
      <c r="P83" s="447"/>
      <c r="Q83" s="276">
        <f>O83*$Q$76*M83+O83*(1-$Q$76)*K83</f>
        <v>260883.07856168287</v>
      </c>
      <c r="R83" s="438"/>
      <c r="S83" s="858">
        <f>IF(AND(Q83&lt;&gt;0,O83&lt;&gt;0),Q83/(1+$D$17+$D$18+$D$19)/O83/30/(($D$25*1000000/$D$8))*1000,0)</f>
        <v>6.0710467408933564</v>
      </c>
      <c r="T83" s="447" t="s">
        <v>382</v>
      </c>
      <c r="U83" s="838">
        <f>S83*O83*30*$D$11*(1+$D$24)/1000</f>
        <v>107257.24161381595</v>
      </c>
      <c r="V83" s="495" t="s">
        <v>383</v>
      </c>
      <c r="W83" s="838">
        <f>IF(O83&lt;&gt;0,U83/O83,0)</f>
        <v>53.628620806907975</v>
      </c>
      <c r="X83" s="447" t="s">
        <v>383</v>
      </c>
      <c r="Y83" s="277" t="str">
        <f>IF(O83=0,"-",IF(AND(((F83*(1-$Y$76))&lt;W83),(W83&lt;(G83*(1+$Y$76)))),"OK", "NOK"))</f>
        <v>OK</v>
      </c>
      <c r="Z83" s="144"/>
      <c r="AA83" s="239">
        <f>IF(OR(Y83="OK",Y83="-"),1,0)</f>
        <v>1</v>
      </c>
      <c r="AB83" s="453"/>
    </row>
    <row r="84" spans="1:28" s="252" customFormat="1" ht="24" hidden="1" customHeight="1" outlineLevel="1" x14ac:dyDescent="0.25">
      <c r="A84" s="438"/>
      <c r="B84" s="2173"/>
      <c r="C84" s="2212"/>
      <c r="D84" s="2213"/>
      <c r="E84" s="849"/>
      <c r="F84" s="1613">
        <f>G83</f>
        <v>55</v>
      </c>
      <c r="G84" s="1614">
        <v>100</v>
      </c>
      <c r="H84" s="1615">
        <f>0.03</f>
        <v>0.03</v>
      </c>
      <c r="I84" s="1449"/>
      <c r="J84" s="1616">
        <f>$L$32*(H78+(G80-F80)*H80+(G81-F81)*H81+(G82-F82)*H82+(G83-F83)*H83+(G84-F84)*H84)*$B$77*$C$77</f>
        <v>2235.5823361390653</v>
      </c>
      <c r="K84" s="1617">
        <f>$M$32*(H78+(G80-F80)*H80+(G81-F81)*H81+(G82-F82)*H82+(G83-F83)*H83+(G84-F84)*H84)*$B$77*$C$77</f>
        <v>186.29852801158876</v>
      </c>
      <c r="L84" s="1616">
        <f t="shared" si="4"/>
        <v>2794.4779201738315</v>
      </c>
      <c r="M84" s="1617">
        <f t="shared" si="4"/>
        <v>232.87316001448596</v>
      </c>
      <c r="N84" s="438"/>
      <c r="O84" s="854">
        <v>1850</v>
      </c>
      <c r="P84" s="447"/>
      <c r="Q84" s="276">
        <f>O84*$Q$76*M84+O84*(1-$Q$76)*K84</f>
        <v>387733.81142411911</v>
      </c>
      <c r="R84" s="438"/>
      <c r="S84" s="858">
        <f>IF(AND(Q84&lt;&gt;0,O84&lt;&gt;0),Q84/(1+$D$17+$D$18+$D$19)/O84/30/(($D$25*1000000/$D$8))*1000,0)</f>
        <v>9.7546031904241541</v>
      </c>
      <c r="T84" s="447" t="s">
        <v>382</v>
      </c>
      <c r="U84" s="838">
        <f>S84*O84*30*$D$11*(1+$D$24)/1000</f>
        <v>159409.56892660115</v>
      </c>
      <c r="V84" s="447" t="s">
        <v>383</v>
      </c>
      <c r="W84" s="838">
        <f>IF(O84&lt;&gt;0,U84/O84,0)</f>
        <v>86.167334554919535</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90" t="s">
        <v>387</v>
      </c>
      <c r="C86" s="2191"/>
      <c r="D86" s="2191"/>
      <c r="E86" s="2191"/>
      <c r="F86" s="2191"/>
      <c r="G86" s="2191"/>
      <c r="H86" s="2191"/>
      <c r="I86" s="2191"/>
      <c r="J86" s="2191"/>
      <c r="K86" s="2191"/>
      <c r="L86" s="2191"/>
      <c r="M86" s="2191"/>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77" t="s">
        <v>369</v>
      </c>
      <c r="C87" s="2183"/>
      <c r="D87" s="2183"/>
      <c r="E87" s="2184"/>
      <c r="F87" s="2183"/>
      <c r="G87" s="2183"/>
      <c r="H87" s="2183"/>
      <c r="I87" s="2184"/>
      <c r="J87" s="2183"/>
      <c r="K87" s="2183"/>
      <c r="L87" s="2183"/>
      <c r="M87" s="2183"/>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77" t="s">
        <v>370</v>
      </c>
      <c r="C88" s="2177" t="s">
        <v>371</v>
      </c>
      <c r="D88" s="2179"/>
      <c r="E88" s="1448"/>
      <c r="F88" s="2199" t="s">
        <v>372</v>
      </c>
      <c r="G88" s="2183"/>
      <c r="H88" s="2200"/>
      <c r="I88" s="848"/>
      <c r="J88" s="2180" t="s">
        <v>970</v>
      </c>
      <c r="K88" s="2181"/>
      <c r="L88" s="2181"/>
      <c r="M88" s="2181"/>
      <c r="N88" s="438"/>
      <c r="O88" s="277">
        <f>O91+O93+O94+O95+O96</f>
        <v>5</v>
      </c>
      <c r="P88" s="447"/>
      <c r="Q88" s="856">
        <f>Q91+Q93+Q94+Q95+Q96</f>
        <v>1519.0495360944933</v>
      </c>
      <c r="R88" s="438"/>
      <c r="S88" s="2182">
        <f>IF(AND(Q88&lt;&gt;0,O88&lt;&gt;0),Q88/(1+$D$17+$D$18+$D$19)/(($D$25*1000000/$D$8)),0)</f>
        <v>2.1210008988409452</v>
      </c>
      <c r="T88" s="2185" t="s">
        <v>373</v>
      </c>
      <c r="U88" s="2182">
        <f>U91+U93+U94+U95+U96+Z97</f>
        <v>624.5290572869385</v>
      </c>
      <c r="V88" s="438" t="s">
        <v>374</v>
      </c>
      <c r="W88" s="2182">
        <f>W91*O91+W93*O93+W94*O94+W95*O95+W96*O96</f>
        <v>624.5290572869385</v>
      </c>
      <c r="X88" s="447" t="s">
        <v>374</v>
      </c>
      <c r="Y88" s="833" t="s">
        <v>375</v>
      </c>
      <c r="Z88" s="144"/>
      <c r="AA88" s="144"/>
      <c r="AB88" s="453"/>
    </row>
    <row r="89" spans="1:28" s="252" customFormat="1" ht="24" hidden="1" customHeight="1" outlineLevel="1" x14ac:dyDescent="0.25">
      <c r="A89" s="438"/>
      <c r="B89" s="2178"/>
      <c r="C89" s="1558" t="s">
        <v>376</v>
      </c>
      <c r="D89" s="1559" t="s">
        <v>377</v>
      </c>
      <c r="E89" s="1449"/>
      <c r="F89" s="2201"/>
      <c r="G89" s="2183"/>
      <c r="H89" s="2200"/>
      <c r="I89" s="849"/>
      <c r="J89" s="2202" t="s">
        <v>378</v>
      </c>
      <c r="K89" s="2203"/>
      <c r="L89" s="2204" t="s">
        <v>379</v>
      </c>
      <c r="M89" s="2203"/>
      <c r="N89" s="438"/>
      <c r="O89" s="861" t="s">
        <v>380</v>
      </c>
      <c r="P89" s="447"/>
      <c r="Q89" s="857">
        <v>0.25</v>
      </c>
      <c r="R89" s="438"/>
      <c r="S89" s="2116"/>
      <c r="T89" s="2186"/>
      <c r="U89" s="2116"/>
      <c r="V89" s="438"/>
      <c r="W89" s="2115"/>
      <c r="X89" s="447"/>
      <c r="Y89" s="860">
        <f>$Y$33</f>
        <v>0.1</v>
      </c>
      <c r="Z89" s="144"/>
      <c r="AA89" s="144"/>
      <c r="AB89" s="453"/>
    </row>
    <row r="90" spans="1:28" s="252" customFormat="1" ht="24" hidden="1" customHeight="1" outlineLevel="1" x14ac:dyDescent="0.25">
      <c r="A90" s="438"/>
      <c r="B90" s="2172">
        <v>2</v>
      </c>
      <c r="C90" s="2172">
        <v>1</v>
      </c>
      <c r="D90" s="2175">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73"/>
      <c r="C91" s="2174"/>
      <c r="D91" s="2176"/>
      <c r="E91" s="849"/>
      <c r="F91" s="1613" t="s">
        <v>338</v>
      </c>
      <c r="G91" s="1614">
        <v>5</v>
      </c>
      <c r="H91" s="1615">
        <v>0.35</v>
      </c>
      <c r="I91" s="1449"/>
      <c r="J91" s="1616">
        <f>$L$32*H91*$B$90*$C$90</f>
        <v>218.86820074088754</v>
      </c>
      <c r="K91" s="1617">
        <f>$M$32*H91*$B$90*$C$90</f>
        <v>18.239016728407293</v>
      </c>
      <c r="L91" s="1616">
        <f>J91*$D$90</f>
        <v>262.64184088906507</v>
      </c>
      <c r="M91" s="1617">
        <f>K91*$D$90</f>
        <v>21.88682007408875</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73"/>
      <c r="C92" s="2174"/>
      <c r="D92" s="2176"/>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73"/>
      <c r="C93" s="2174"/>
      <c r="D93" s="2176"/>
      <c r="E93" s="849"/>
      <c r="F93" s="1613">
        <f>G91</f>
        <v>5</v>
      </c>
      <c r="G93" s="1614">
        <v>30</v>
      </c>
      <c r="H93" s="1615">
        <v>0.05</v>
      </c>
      <c r="I93" s="1449"/>
      <c r="J93" s="1616">
        <f>$L$32*(H91+(G93-F93)*H93)*$B$90*$C$90</f>
        <v>1000.5403462440574</v>
      </c>
      <c r="K93" s="1617">
        <f>$M$32*(H91+(G93-F93)*H93)*$B$90*$C$90</f>
        <v>83.378362187004782</v>
      </c>
      <c r="L93" s="1616">
        <f t="shared" ref="L93:M96" si="5">J93*$D$90</f>
        <v>1200.6484154928689</v>
      </c>
      <c r="M93" s="1617">
        <f t="shared" si="5"/>
        <v>100.05403462440573</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73"/>
      <c r="C94" s="2174"/>
      <c r="D94" s="2176"/>
      <c r="E94" s="849"/>
      <c r="F94" s="1613">
        <f>G93</f>
        <v>30</v>
      </c>
      <c r="G94" s="1614">
        <v>100</v>
      </c>
      <c r="H94" s="1615">
        <v>0.03</v>
      </c>
      <c r="I94" s="1449"/>
      <c r="J94" s="1616">
        <f>$L$32*(H91+(G93-F93)*H93+(G94-F94)*H94)*$B$90*$C$90</f>
        <v>2313.7495506893829</v>
      </c>
      <c r="K94" s="1617">
        <f>$M$32*(H91+(G93-F93)*H93+(G94-F94)*H94)*$B$90*$C$90</f>
        <v>192.81246255744855</v>
      </c>
      <c r="L94" s="1616">
        <f t="shared" si="5"/>
        <v>2776.4994608272596</v>
      </c>
      <c r="M94" s="1617">
        <f t="shared" si="5"/>
        <v>231.37495506893825</v>
      </c>
      <c r="N94" s="438"/>
      <c r="O94" s="854">
        <v>4</v>
      </c>
      <c r="P94" s="447"/>
      <c r="Q94" s="276">
        <f>O94*$Q$76*M94+O94*(1-$Q$76)*K94</f>
        <v>848.37483525277366</v>
      </c>
      <c r="R94" s="438"/>
      <c r="S94" s="858">
        <f>IF(AND(Q94&lt;&gt;0,O94&lt;&gt;0),Q94/(1+$D$17+$D$18+$D$19)/O94/30/(($D$25*1000000/$D$8))*1000,0)</f>
        <v>9.8713249380018837</v>
      </c>
      <c r="T94" s="447" t="s">
        <v>382</v>
      </c>
      <c r="U94" s="838">
        <f>S94*O94*30*$D$11*(1+$D$24)/1000</f>
        <v>348.79358671119581</v>
      </c>
      <c r="V94" s="438" t="s">
        <v>383</v>
      </c>
      <c r="W94" s="838">
        <f>IF(O94&lt;&gt;0,U94/O94,0)</f>
        <v>87.198396677798954</v>
      </c>
      <c r="X94" s="447" t="s">
        <v>383</v>
      </c>
      <c r="Y94" s="255" t="str">
        <f>IF(O94=0,"-",IF(AND(((F94*(1-$Y$89))&lt;W94),(W94&lt;(G94*(1+$Y$89)))),"OK", "NOK"))</f>
        <v>OK</v>
      </c>
      <c r="Z94" s="144"/>
      <c r="AA94" s="239">
        <f>IF(OR(Y94="OK",Y94="-"),1,0)</f>
        <v>1</v>
      </c>
      <c r="AB94" s="453"/>
    </row>
    <row r="95" spans="1:28" s="252" customFormat="1" ht="24" hidden="1" customHeight="1" outlineLevel="1" x14ac:dyDescent="0.25">
      <c r="A95" s="438"/>
      <c r="B95" s="2173"/>
      <c r="C95" s="2174"/>
      <c r="D95" s="2176"/>
      <c r="E95" s="849"/>
      <c r="F95" s="1613">
        <f>G94</f>
        <v>100</v>
      </c>
      <c r="G95" s="1614">
        <v>500</v>
      </c>
      <c r="H95" s="1615">
        <v>0.02</v>
      </c>
      <c r="I95" s="1449"/>
      <c r="J95" s="1616">
        <f>$L$32*(H91+(G93-F93)*H93+(G94-F94)*H94+(G95-F95)*H95)*$B$90*$C$90</f>
        <v>7316.451281909669</v>
      </c>
      <c r="K95" s="1617">
        <f>$M$32*(H91+(G93-F93)*H93+(G94-F94)*H94+(G95-F95)*H95)*$B$90*$C$90</f>
        <v>609.70427349247245</v>
      </c>
      <c r="L95" s="1616">
        <f t="shared" si="5"/>
        <v>8779.7415382916024</v>
      </c>
      <c r="M95" s="1617">
        <f t="shared" si="5"/>
        <v>731.64512819096694</v>
      </c>
      <c r="N95" s="438"/>
      <c r="O95" s="854">
        <v>1</v>
      </c>
      <c r="P95" s="447"/>
      <c r="Q95" s="276">
        <f>O95*$Q$76*M95+O95*(1-$Q$76)*K95</f>
        <v>670.67470084171964</v>
      </c>
      <c r="R95" s="438"/>
      <c r="S95" s="858">
        <f>IF(AND(Q95&lt;&gt;0,O95&lt;&gt;0),Q95/(1+$D$17+$D$18+$D$19)/O95/30/(($D$25*1000000/$D$8))*1000,0)</f>
        <v>31.214730209357302</v>
      </c>
      <c r="T95" s="447" t="s">
        <v>382</v>
      </c>
      <c r="U95" s="838">
        <f>S95*O95*30*$D$11*(1+$D$24)/1000</f>
        <v>275.73547057574262</v>
      </c>
      <c r="V95" s="438" t="s">
        <v>383</v>
      </c>
      <c r="W95" s="838">
        <f>IF(O95&lt;&gt;0,U95/O95,0)</f>
        <v>275.73547057574262</v>
      </c>
      <c r="X95" s="447" t="s">
        <v>383</v>
      </c>
      <c r="Y95" s="255" t="str">
        <f>IF(O95=0,"-",IF(AND(((F95*(1-$Y$89))&lt;W95),(W95&lt;(G95*(1+$Y$89)))),"OK", "NOK"))</f>
        <v>OK</v>
      </c>
      <c r="Z95" s="144"/>
      <c r="AA95" s="239">
        <f>IF(OR(Y95="OK",Y95="-"),1,0)</f>
        <v>1</v>
      </c>
      <c r="AB95" s="453"/>
    </row>
    <row r="96" spans="1:28" s="252" customFormat="1" ht="24" hidden="1" customHeight="1" outlineLevel="1" x14ac:dyDescent="0.25">
      <c r="A96" s="438"/>
      <c r="B96" s="2173"/>
      <c r="C96" s="2174"/>
      <c r="D96" s="2176"/>
      <c r="E96" s="849"/>
      <c r="F96" s="1613">
        <f>G95</f>
        <v>500</v>
      </c>
      <c r="G96" s="1614">
        <v>1000</v>
      </c>
      <c r="H96" s="1615">
        <v>0.01</v>
      </c>
      <c r="I96" s="1449"/>
      <c r="J96" s="1616">
        <f>$L$32*(H91+(G93-F93)*H93+(G94-F94)*H94+(G95-F95)*H95+(G96-F96)*H96)*$B$90*$C$90</f>
        <v>10443.139863922348</v>
      </c>
      <c r="K96" s="1617">
        <f>$M$32*(H91+(G93-F93)*H93+(G94-F94)*H94+(G95-F95)*H95+(G96-F96)*H96)*$B$90*$C$90</f>
        <v>870.2616553268623</v>
      </c>
      <c r="L96" s="1616">
        <f t="shared" si="5"/>
        <v>12531.767836706817</v>
      </c>
      <c r="M96" s="1617">
        <f t="shared" si="5"/>
        <v>1044.3139863922347</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1098</v>
      </c>
      <c r="R1" s="64"/>
    </row>
    <row r="2" spans="1:20" s="197" customFormat="1" ht="25.15" customHeight="1" x14ac:dyDescent="0.25">
      <c r="B2" s="2225" t="s">
        <v>869</v>
      </c>
      <c r="C2" s="2225"/>
      <c r="D2" s="2225"/>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25"/>
      <c r="C3" s="2225"/>
      <c r="D3" s="2225"/>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25"/>
      <c r="C4" s="2225"/>
      <c r="D4" s="2225"/>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1100</v>
      </c>
      <c r="D6" s="1866" t="s">
        <v>1099</v>
      </c>
      <c r="E6" s="1417"/>
      <c r="F6" s="2222" t="s">
        <v>389</v>
      </c>
      <c r="G6" s="2223"/>
      <c r="H6" s="2224"/>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-213.80464191342415</v>
      </c>
      <c r="H8" s="1854">
        <f>SUMIF(C33:BC33,1,C178:BC178)</f>
        <v>-230.80558373380774</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-5.7361801751661279E-2</v>
      </c>
      <c r="H9" s="185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1.5007590593812479</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f>G9-C28</f>
        <v>-0.15476180175166127</v>
      </c>
      <c r="H10" s="1857">
        <f>H9-C28</f>
        <v>1.4033590593812479</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422.47105588026301</v>
      </c>
      <c r="H11" s="1859">
        <f>SUMIF(C33:BC33,1,C63:BC63)</f>
        <v>422.47105588026301</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1100</v>
      </c>
      <c r="D12" s="1868" t="s">
        <v>1099</v>
      </c>
      <c r="F12" s="1855" t="s">
        <v>397</v>
      </c>
      <c r="G12" s="1856">
        <f>G8/G11</f>
        <v>-0.50608115973280021</v>
      </c>
      <c r="H12" s="1857">
        <f>H8/H11</f>
        <v>-0.54632283211189447</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53</v>
      </c>
      <c r="H13" s="1862">
        <f>IF(H8&lt;0,SUM(C183:BC183),SUM(C183:BC183))</f>
        <v>53</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0.49391884026719979</v>
      </c>
      <c r="H14" s="1865">
        <f>(SUMIF(C33:BC33,1,C178:BC178)+SUMIF(C33:BC33,1,C63:BC63))/SUMIF(C33:BC33,1,C63:BC63)</f>
        <v>0.45367716788810547</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36"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37"/>
      <c r="G17" s="2240" t="s">
        <v>873</v>
      </c>
      <c r="H17" s="2242"/>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37"/>
      <c r="G18" s="2241"/>
      <c r="H18" s="2243"/>
      <c r="I18" s="1831"/>
      <c r="J18" s="1404"/>
      <c r="K18" s="283"/>
      <c r="L18" s="283"/>
      <c r="M18" s="283"/>
      <c r="N18" s="283"/>
      <c r="O18" s="283"/>
      <c r="P18" s="283"/>
      <c r="Q18" s="283"/>
      <c r="R18" s="283"/>
      <c r="S18" s="285"/>
    </row>
    <row r="19" spans="1:58" s="197" customFormat="1" ht="2.65" customHeight="1" outlineLevel="1" x14ac:dyDescent="0.25">
      <c r="B19" s="1414"/>
      <c r="C19" s="1843"/>
      <c r="D19" s="1822"/>
      <c r="F19" s="2237"/>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1103</v>
      </c>
      <c r="D20" s="1887" t="s">
        <v>1103</v>
      </c>
      <c r="F20" s="2237"/>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37"/>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37"/>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38"/>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39" t="s">
        <v>1101</v>
      </c>
      <c r="G26" s="2231"/>
      <c r="H26" s="1405">
        <f>'R&amp;C-Painel de Controle'!D33</f>
        <v>545.44961638466214</v>
      </c>
      <c r="I26" s="1535" t="s">
        <v>295</v>
      </c>
      <c r="J26" s="1534"/>
      <c r="K26" s="2230" t="s">
        <v>653</v>
      </c>
      <c r="L26" s="2231"/>
      <c r="M26" s="1406">
        <f>G8</f>
        <v>-213.80464191342415</v>
      </c>
      <c r="N26" s="1535" t="s">
        <v>304</v>
      </c>
      <c r="O26" s="2220" t="s">
        <v>654</v>
      </c>
      <c r="P26" s="2220"/>
      <c r="Q26" s="2221"/>
      <c r="R26" s="1407">
        <f>G14</f>
        <v>0.49391884026719979</v>
      </c>
      <c r="S26" s="1537" t="s">
        <v>195</v>
      </c>
      <c r="T26" s="283"/>
    </row>
    <row r="27" spans="1:58" s="197" customFormat="1" ht="19.899999999999999" customHeight="1" outlineLevel="1" thickTop="1" x14ac:dyDescent="0.25">
      <c r="B27" s="1814" t="s">
        <v>401</v>
      </c>
      <c r="C27" s="1850" t="s">
        <v>289</v>
      </c>
      <c r="D27" s="1870" t="s">
        <v>289</v>
      </c>
      <c r="F27" s="2235" t="s">
        <v>655</v>
      </c>
      <c r="G27" s="2233"/>
      <c r="H27" s="874">
        <f>'R&amp;C-Painel de Controle'!D32</f>
        <v>35</v>
      </c>
      <c r="I27" s="1536" t="s">
        <v>388</v>
      </c>
      <c r="J27" s="1414"/>
      <c r="K27" s="2232" t="s">
        <v>656</v>
      </c>
      <c r="L27" s="2233"/>
      <c r="M27" s="875">
        <f>G9</f>
        <v>-5.7361801751661279E-2</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26" t="s">
        <v>657</v>
      </c>
      <c r="G28" s="2227"/>
      <c r="H28" s="1876">
        <f>H26*('R&amp;C-Painel de Controle'!D7*30/'R&amp;C-Painel de Controle'!D6)</f>
        <v>9.9390231777320182</v>
      </c>
      <c r="I28" s="1877" t="s">
        <v>299</v>
      </c>
      <c r="J28" s="1414"/>
      <c r="K28" s="2234" t="s">
        <v>658</v>
      </c>
      <c r="L28" s="2227"/>
      <c r="M28" s="1878">
        <f>G13</f>
        <v>53</v>
      </c>
      <c r="N28" s="1536" t="s">
        <v>388</v>
      </c>
      <c r="O28" s="1414"/>
      <c r="P28" s="1414"/>
      <c r="Q28" s="1414"/>
      <c r="R28" s="1414"/>
      <c r="S28" s="1539"/>
      <c r="T28" s="283"/>
    </row>
    <row r="29" spans="1:58" s="197" customFormat="1" ht="18" customHeight="1" outlineLevel="1" thickTop="1" thickBot="1" x14ac:dyDescent="0.3">
      <c r="B29" s="305"/>
      <c r="F29" s="2228" t="s">
        <v>1102</v>
      </c>
      <c r="G29" s="2229"/>
      <c r="H29" s="1879">
        <f>'R&amp;C-Painel de Controle'!H33</f>
        <v>607.24899876865459</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267.80917993112189</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78000</v>
      </c>
      <c r="D35" s="294">
        <f>C35*(1+$C$8)</f>
        <v>78366.599999999991</v>
      </c>
      <c r="E35" s="294">
        <f t="shared" ref="E35:AI35" si="4">D35*(1+$C$8)</f>
        <v>78734.923019999987</v>
      </c>
      <c r="F35" s="294">
        <f t="shared" si="4"/>
        <v>79104.977158193986</v>
      </c>
      <c r="G35" s="294">
        <f t="shared" si="4"/>
        <v>79476.770550837493</v>
      </c>
      <c r="H35" s="294">
        <f t="shared" si="4"/>
        <v>79850.311372426426</v>
      </c>
      <c r="I35" s="294">
        <f t="shared" si="4"/>
        <v>80225.607835876828</v>
      </c>
      <c r="J35" s="294">
        <f t="shared" si="4"/>
        <v>80602.668192705445</v>
      </c>
      <c r="K35" s="294">
        <f t="shared" si="4"/>
        <v>80981.500733211156</v>
      </c>
      <c r="L35" s="294">
        <f t="shared" si="4"/>
        <v>81362.113786657239</v>
      </c>
      <c r="M35" s="294">
        <f t="shared" si="4"/>
        <v>81744.515721454518</v>
      </c>
      <c r="N35" s="294">
        <f t="shared" si="4"/>
        <v>82128.714945345346</v>
      </c>
      <c r="O35" s="294">
        <f t="shared" si="4"/>
        <v>82514.719905588456</v>
      </c>
      <c r="P35" s="294">
        <f t="shared" si="4"/>
        <v>82902.539089144717</v>
      </c>
      <c r="Q35" s="294">
        <f t="shared" si="4"/>
        <v>83292.18102286369</v>
      </c>
      <c r="R35" s="294">
        <f t="shared" si="4"/>
        <v>83683.654273671142</v>
      </c>
      <c r="S35" s="294">
        <f t="shared" si="4"/>
        <v>84076.967448757394</v>
      </c>
      <c r="T35" s="294">
        <f t="shared" si="4"/>
        <v>84472.129195766553</v>
      </c>
      <c r="U35" s="294">
        <f t="shared" si="4"/>
        <v>84869.148202986646</v>
      </c>
      <c r="V35" s="294">
        <f t="shared" si="4"/>
        <v>85268.033199540674</v>
      </c>
      <c r="W35" s="294">
        <f t="shared" si="4"/>
        <v>85668.792955578509</v>
      </c>
      <c r="X35" s="294">
        <f t="shared" si="4"/>
        <v>86071.436282469716</v>
      </c>
      <c r="Y35" s="294">
        <f t="shared" si="4"/>
        <v>86475.972032997321</v>
      </c>
      <c r="Z35" s="294">
        <f t="shared" si="4"/>
        <v>86882.409101552403</v>
      </c>
      <c r="AA35" s="294">
        <f t="shared" si="4"/>
        <v>87290.756424329695</v>
      </c>
      <c r="AB35" s="294">
        <f t="shared" si="4"/>
        <v>87701.022979524045</v>
      </c>
      <c r="AC35" s="294">
        <f t="shared" si="4"/>
        <v>88113.217787527799</v>
      </c>
      <c r="AD35" s="294">
        <f t="shared" si="4"/>
        <v>88527.349911129175</v>
      </c>
      <c r="AE35" s="294">
        <f t="shared" si="4"/>
        <v>88943.428455711473</v>
      </c>
      <c r="AF35" s="294">
        <f t="shared" si="4"/>
        <v>89361.462569453317</v>
      </c>
      <c r="AG35" s="294">
        <f t="shared" si="4"/>
        <v>89781.461443529741</v>
      </c>
      <c r="AH35" s="294">
        <f t="shared" si="4"/>
        <v>90203.434312314319</v>
      </c>
      <c r="AI35" s="294">
        <f t="shared" si="4"/>
        <v>90627.390453582193</v>
      </c>
      <c r="AJ35" s="294">
        <f t="shared" ref="AJ35:BC35" si="5">AI35*(1+$C$8)</f>
        <v>91053.339188714017</v>
      </c>
      <c r="AK35" s="294">
        <f t="shared" si="5"/>
        <v>91481.289882900965</v>
      </c>
      <c r="AL35" s="294">
        <f t="shared" si="5"/>
        <v>91911.251945350596</v>
      </c>
      <c r="AM35" s="294">
        <f t="shared" si="5"/>
        <v>92343.23482949374</v>
      </c>
      <c r="AN35" s="294">
        <f t="shared" si="5"/>
        <v>92777.248033192358</v>
      </c>
      <c r="AO35" s="294">
        <f t="shared" si="5"/>
        <v>93213.301098948359</v>
      </c>
      <c r="AP35" s="294">
        <f t="shared" si="5"/>
        <v>93651.403614113413</v>
      </c>
      <c r="AQ35" s="294">
        <f t="shared" si="5"/>
        <v>94091.565211099733</v>
      </c>
      <c r="AR35" s="294">
        <f t="shared" si="5"/>
        <v>94533.795567591893</v>
      </c>
      <c r="AS35" s="294">
        <f t="shared" si="5"/>
        <v>94978.104406759565</v>
      </c>
      <c r="AT35" s="294">
        <f t="shared" si="5"/>
        <v>95424.501497471327</v>
      </c>
      <c r="AU35" s="294">
        <f t="shared" si="5"/>
        <v>95872.996654509436</v>
      </c>
      <c r="AV35" s="294">
        <f t="shared" si="5"/>
        <v>96323.599738785619</v>
      </c>
      <c r="AW35" s="294">
        <f t="shared" si="5"/>
        <v>96776.32065755791</v>
      </c>
      <c r="AX35" s="294">
        <f t="shared" si="5"/>
        <v>97231.16936464842</v>
      </c>
      <c r="AY35" s="294">
        <f t="shared" si="5"/>
        <v>97688.155860662257</v>
      </c>
      <c r="AZ35" s="294">
        <f t="shared" si="5"/>
        <v>98147.290193207358</v>
      </c>
      <c r="BA35" s="294">
        <f t="shared" si="5"/>
        <v>98608.582457115423</v>
      </c>
      <c r="BB35" s="294">
        <f t="shared" si="5"/>
        <v>99072.042794663852</v>
      </c>
      <c r="BC35" s="294">
        <f t="shared" si="5"/>
        <v>99537.681395798762</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9781.25</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9827.2218749999993</v>
      </c>
      <c r="G42" s="314">
        <f t="shared" si="10"/>
        <v>9827.2218749999993</v>
      </c>
      <c r="H42" s="314">
        <f t="shared" si="10"/>
        <v>9827.2218749999993</v>
      </c>
      <c r="I42" s="314">
        <f t="shared" si="10"/>
        <v>9827.2218749999993</v>
      </c>
      <c r="J42" s="314">
        <f t="shared" si="10"/>
        <v>9827.2218749999993</v>
      </c>
      <c r="K42" s="314">
        <f t="shared" si="10"/>
        <v>9827.2218749999993</v>
      </c>
      <c r="L42" s="314">
        <f t="shared" si="10"/>
        <v>9827.2218749999993</v>
      </c>
      <c r="M42" s="314">
        <f t="shared" si="10"/>
        <v>9827.2218749999993</v>
      </c>
      <c r="N42" s="314">
        <f t="shared" si="10"/>
        <v>9827.2218749999993</v>
      </c>
      <c r="O42" s="314">
        <f t="shared" si="10"/>
        <v>9827.2218749999993</v>
      </c>
      <c r="P42" s="314">
        <f t="shared" si="10"/>
        <v>9827.2218749999993</v>
      </c>
      <c r="Q42" s="314">
        <f t="shared" si="10"/>
        <v>9827.2218749999993</v>
      </c>
      <c r="R42" s="314">
        <f t="shared" ref="R42:BC42" si="11">Q42*(1+$C$8)</f>
        <v>9873.4098178124987</v>
      </c>
      <c r="S42" s="314">
        <f t="shared" si="11"/>
        <v>9919.8148439562174</v>
      </c>
      <c r="T42" s="314">
        <f t="shared" si="11"/>
        <v>9966.4379737228101</v>
      </c>
      <c r="U42" s="314">
        <f t="shared" si="11"/>
        <v>10013.280232199306</v>
      </c>
      <c r="V42" s="314">
        <f t="shared" si="11"/>
        <v>10060.342649290642</v>
      </c>
      <c r="W42" s="314">
        <f t="shared" si="11"/>
        <v>10107.626259742307</v>
      </c>
      <c r="X42" s="314">
        <f t="shared" si="11"/>
        <v>10155.132103163094</v>
      </c>
      <c r="Y42" s="314">
        <f t="shared" si="11"/>
        <v>10202.86122404796</v>
      </c>
      <c r="Z42" s="314">
        <f t="shared" si="11"/>
        <v>10250.814671800985</v>
      </c>
      <c r="AA42" s="314">
        <f t="shared" si="11"/>
        <v>10298.993500758448</v>
      </c>
      <c r="AB42" s="314">
        <f t="shared" si="11"/>
        <v>10347.398770212012</v>
      </c>
      <c r="AC42" s="314">
        <f t="shared" si="11"/>
        <v>10396.031544432008</v>
      </c>
      <c r="AD42" s="314">
        <f t="shared" si="11"/>
        <v>10444.892892690837</v>
      </c>
      <c r="AE42" s="314">
        <f t="shared" si="11"/>
        <v>10493.983889286483</v>
      </c>
      <c r="AF42" s="314">
        <f t="shared" si="11"/>
        <v>10543.305613566128</v>
      </c>
      <c r="AG42" s="314">
        <f t="shared" si="11"/>
        <v>10592.859149949889</v>
      </c>
      <c r="AH42" s="314">
        <f t="shared" si="11"/>
        <v>10642.645587954652</v>
      </c>
      <c r="AI42" s="314">
        <f t="shared" si="11"/>
        <v>10692.666022218038</v>
      </c>
      <c r="AJ42" s="314">
        <f t="shared" si="11"/>
        <v>10742.921552522463</v>
      </c>
      <c r="AK42" s="314">
        <f t="shared" si="11"/>
        <v>10793.413283819318</v>
      </c>
      <c r="AL42" s="314">
        <f t="shared" si="11"/>
        <v>10844.142326253268</v>
      </c>
      <c r="AM42" s="314">
        <f t="shared" si="11"/>
        <v>10895.109795186658</v>
      </c>
      <c r="AN42" s="314">
        <f t="shared" si="11"/>
        <v>10946.316811224035</v>
      </c>
      <c r="AO42" s="314">
        <f t="shared" si="11"/>
        <v>10997.764500236786</v>
      </c>
      <c r="AP42" s="314">
        <f t="shared" si="11"/>
        <v>11049.453993387899</v>
      </c>
      <c r="AQ42" s="314">
        <f t="shared" si="11"/>
        <v>11101.386427156822</v>
      </c>
      <c r="AR42" s="314">
        <f t="shared" si="11"/>
        <v>11153.562943364457</v>
      </c>
      <c r="AS42" s="314">
        <f t="shared" si="11"/>
        <v>11205.984689198269</v>
      </c>
      <c r="AT42" s="314">
        <f t="shared" si="11"/>
        <v>11258.6528172375</v>
      </c>
      <c r="AU42" s="314">
        <f t="shared" si="11"/>
        <v>11311.568485478516</v>
      </c>
      <c r="AV42" s="314">
        <f t="shared" si="11"/>
        <v>11364.732857360264</v>
      </c>
      <c r="AW42" s="314">
        <f t="shared" si="11"/>
        <v>11418.147101789857</v>
      </c>
      <c r="AX42" s="314">
        <f t="shared" si="11"/>
        <v>11471.812393168268</v>
      </c>
      <c r="AY42" s="314">
        <f t="shared" si="11"/>
        <v>11525.729911416158</v>
      </c>
      <c r="AZ42" s="314">
        <f t="shared" si="11"/>
        <v>11579.900841999814</v>
      </c>
      <c r="BA42" s="314">
        <f t="shared" si="11"/>
        <v>11634.326375957211</v>
      </c>
      <c r="BB42" s="314">
        <f t="shared" si="11"/>
        <v>11689.00770992421</v>
      </c>
      <c r="BC42" s="314">
        <f t="shared" si="11"/>
        <v>11743.946046160852</v>
      </c>
      <c r="BD42" s="295"/>
      <c r="BE42" s="295"/>
      <c r="BF42" s="295"/>
    </row>
    <row r="43" spans="1:58" s="197" customFormat="1" ht="18" hidden="1" customHeight="1" outlineLevel="1" x14ac:dyDescent="0.25">
      <c r="B43" s="871" t="str">
        <f>B71</f>
        <v>Produção de CDR TM — Trat. Mec.</v>
      </c>
      <c r="C43" s="306" t="str">
        <f>C71</f>
        <v>Não</v>
      </c>
      <c r="D43" s="306">
        <f>'R&amp;C-Painel de Controle'!H58</f>
        <v>0</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0</v>
      </c>
      <c r="G45" s="314">
        <f t="shared" si="13"/>
        <v>0</v>
      </c>
      <c r="H45" s="314">
        <f t="shared" si="13"/>
        <v>0</v>
      </c>
      <c r="I45" s="314">
        <f t="shared" si="13"/>
        <v>0</v>
      </c>
      <c r="J45" s="314">
        <f t="shared" si="13"/>
        <v>0</v>
      </c>
      <c r="K45" s="314">
        <f t="shared" si="13"/>
        <v>0</v>
      </c>
      <c r="L45" s="314">
        <f t="shared" si="13"/>
        <v>0</v>
      </c>
      <c r="M45" s="314">
        <f t="shared" si="13"/>
        <v>0</v>
      </c>
      <c r="N45" s="314">
        <f t="shared" si="13"/>
        <v>0</v>
      </c>
      <c r="O45" s="314">
        <f t="shared" si="13"/>
        <v>0</v>
      </c>
      <c r="P45" s="314">
        <f t="shared" si="13"/>
        <v>0</v>
      </c>
      <c r="Q45" s="314">
        <f t="shared" si="13"/>
        <v>0</v>
      </c>
      <c r="R45" s="314">
        <f t="shared" ref="R45:BC45" si="14">Q45*(1+$C$8)</f>
        <v>0</v>
      </c>
      <c r="S45" s="314">
        <f t="shared" si="14"/>
        <v>0</v>
      </c>
      <c r="T45" s="314">
        <f t="shared" si="14"/>
        <v>0</v>
      </c>
      <c r="U45" s="314">
        <f t="shared" si="14"/>
        <v>0</v>
      </c>
      <c r="V45" s="314">
        <f t="shared" si="14"/>
        <v>0</v>
      </c>
      <c r="W45" s="314">
        <f t="shared" si="14"/>
        <v>0</v>
      </c>
      <c r="X45" s="314">
        <f t="shared" si="14"/>
        <v>0</v>
      </c>
      <c r="Y45" s="314">
        <f t="shared" si="14"/>
        <v>0</v>
      </c>
      <c r="Z45" s="314">
        <f t="shared" si="14"/>
        <v>0</v>
      </c>
      <c r="AA45" s="314">
        <f t="shared" si="14"/>
        <v>0</v>
      </c>
      <c r="AB45" s="314">
        <f t="shared" si="14"/>
        <v>0</v>
      </c>
      <c r="AC45" s="314">
        <f t="shared" si="14"/>
        <v>0</v>
      </c>
      <c r="AD45" s="314">
        <f t="shared" si="14"/>
        <v>0</v>
      </c>
      <c r="AE45" s="314">
        <f t="shared" si="14"/>
        <v>0</v>
      </c>
      <c r="AF45" s="314">
        <f t="shared" si="14"/>
        <v>0</v>
      </c>
      <c r="AG45" s="314">
        <f t="shared" si="14"/>
        <v>0</v>
      </c>
      <c r="AH45" s="314">
        <f t="shared" si="14"/>
        <v>0</v>
      </c>
      <c r="AI45" s="314">
        <f t="shared" si="14"/>
        <v>0</v>
      </c>
      <c r="AJ45" s="314">
        <f t="shared" si="14"/>
        <v>0</v>
      </c>
      <c r="AK45" s="314">
        <f t="shared" si="14"/>
        <v>0</v>
      </c>
      <c r="AL45" s="314">
        <f t="shared" si="14"/>
        <v>0</v>
      </c>
      <c r="AM45" s="314">
        <f t="shared" si="14"/>
        <v>0</v>
      </c>
      <c r="AN45" s="314">
        <f t="shared" si="14"/>
        <v>0</v>
      </c>
      <c r="AO45" s="314">
        <f t="shared" si="14"/>
        <v>0</v>
      </c>
      <c r="AP45" s="314">
        <f t="shared" si="14"/>
        <v>0</v>
      </c>
      <c r="AQ45" s="314">
        <f t="shared" si="14"/>
        <v>0</v>
      </c>
      <c r="AR45" s="314">
        <f t="shared" si="14"/>
        <v>0</v>
      </c>
      <c r="AS45" s="314">
        <f t="shared" si="14"/>
        <v>0</v>
      </c>
      <c r="AT45" s="314">
        <f t="shared" si="14"/>
        <v>0</v>
      </c>
      <c r="AU45" s="314">
        <f t="shared" si="14"/>
        <v>0</v>
      </c>
      <c r="AV45" s="314">
        <f t="shared" si="14"/>
        <v>0</v>
      </c>
      <c r="AW45" s="314">
        <f t="shared" si="14"/>
        <v>0</v>
      </c>
      <c r="AX45" s="314">
        <f t="shared" si="14"/>
        <v>0</v>
      </c>
      <c r="AY45" s="314">
        <f t="shared" si="14"/>
        <v>0</v>
      </c>
      <c r="AZ45" s="314">
        <f t="shared" si="14"/>
        <v>0</v>
      </c>
      <c r="BA45" s="314">
        <f t="shared" si="14"/>
        <v>0</v>
      </c>
      <c r="BB45" s="314">
        <f t="shared" si="14"/>
        <v>0</v>
      </c>
      <c r="BC45" s="314">
        <f t="shared" si="14"/>
        <v>0</v>
      </c>
      <c r="BD45" s="295"/>
      <c r="BE45" s="295"/>
      <c r="BF45" s="295"/>
    </row>
    <row r="46" spans="1:58" s="197" customFormat="1" ht="18" hidden="1" customHeight="1" outlineLevel="1" x14ac:dyDescent="0.25">
      <c r="B46" s="871" t="str">
        <f>B74</f>
        <v>Prod. CDR TMB — Trat. Mec./Biológ.</v>
      </c>
      <c r="C46" s="306" t="str">
        <f>C74</f>
        <v>Não</v>
      </c>
      <c r="D46" s="306">
        <f>'R&amp;C-Painel de Controle'!H61</f>
        <v>0</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0</v>
      </c>
      <c r="G48" s="314">
        <f t="shared" si="16"/>
        <v>0</v>
      </c>
      <c r="H48" s="314">
        <f t="shared" si="16"/>
        <v>0</v>
      </c>
      <c r="I48" s="314">
        <f t="shared" si="16"/>
        <v>0</v>
      </c>
      <c r="J48" s="314">
        <f t="shared" si="16"/>
        <v>0</v>
      </c>
      <c r="K48" s="314">
        <f t="shared" si="16"/>
        <v>0</v>
      </c>
      <c r="L48" s="314">
        <f t="shared" si="16"/>
        <v>0</v>
      </c>
      <c r="M48" s="314">
        <f t="shared" si="16"/>
        <v>0</v>
      </c>
      <c r="N48" s="314">
        <f t="shared" si="16"/>
        <v>0</v>
      </c>
      <c r="O48" s="314">
        <f t="shared" si="16"/>
        <v>0</v>
      </c>
      <c r="P48" s="314">
        <f t="shared" si="16"/>
        <v>0</v>
      </c>
      <c r="Q48" s="314">
        <f t="shared" si="16"/>
        <v>0</v>
      </c>
      <c r="R48" s="314">
        <f t="shared" ref="R48:BC48" si="17">Q48*(1+$C$8)</f>
        <v>0</v>
      </c>
      <c r="S48" s="314">
        <f t="shared" si="17"/>
        <v>0</v>
      </c>
      <c r="T48" s="314">
        <f t="shared" si="17"/>
        <v>0</v>
      </c>
      <c r="U48" s="314">
        <f t="shared" si="17"/>
        <v>0</v>
      </c>
      <c r="V48" s="314">
        <f t="shared" si="17"/>
        <v>0</v>
      </c>
      <c r="W48" s="314">
        <f t="shared" si="17"/>
        <v>0</v>
      </c>
      <c r="X48" s="314">
        <f t="shared" si="17"/>
        <v>0</v>
      </c>
      <c r="Y48" s="314">
        <f t="shared" si="17"/>
        <v>0</v>
      </c>
      <c r="Z48" s="314">
        <f t="shared" si="17"/>
        <v>0</v>
      </c>
      <c r="AA48" s="314">
        <f t="shared" si="17"/>
        <v>0</v>
      </c>
      <c r="AB48" s="314">
        <f t="shared" si="17"/>
        <v>0</v>
      </c>
      <c r="AC48" s="314">
        <f t="shared" si="17"/>
        <v>0</v>
      </c>
      <c r="AD48" s="314">
        <f t="shared" si="17"/>
        <v>0</v>
      </c>
      <c r="AE48" s="314">
        <f t="shared" si="17"/>
        <v>0</v>
      </c>
      <c r="AF48" s="314">
        <f t="shared" si="17"/>
        <v>0</v>
      </c>
      <c r="AG48" s="314">
        <f t="shared" si="17"/>
        <v>0</v>
      </c>
      <c r="AH48" s="314">
        <f t="shared" si="17"/>
        <v>0</v>
      </c>
      <c r="AI48" s="314">
        <f t="shared" si="17"/>
        <v>0</v>
      </c>
      <c r="AJ48" s="314">
        <f t="shared" si="17"/>
        <v>0</v>
      </c>
      <c r="AK48" s="314">
        <f t="shared" si="17"/>
        <v>0</v>
      </c>
      <c r="AL48" s="314">
        <f t="shared" si="17"/>
        <v>0</v>
      </c>
      <c r="AM48" s="314">
        <f t="shared" si="17"/>
        <v>0</v>
      </c>
      <c r="AN48" s="314">
        <f t="shared" si="17"/>
        <v>0</v>
      </c>
      <c r="AO48" s="314">
        <f t="shared" si="17"/>
        <v>0</v>
      </c>
      <c r="AP48" s="314">
        <f t="shared" si="17"/>
        <v>0</v>
      </c>
      <c r="AQ48" s="314">
        <f t="shared" si="17"/>
        <v>0</v>
      </c>
      <c r="AR48" s="314">
        <f t="shared" si="17"/>
        <v>0</v>
      </c>
      <c r="AS48" s="314">
        <f t="shared" si="17"/>
        <v>0</v>
      </c>
      <c r="AT48" s="314">
        <f t="shared" si="17"/>
        <v>0</v>
      </c>
      <c r="AU48" s="314">
        <f t="shared" si="17"/>
        <v>0</v>
      </c>
      <c r="AV48" s="314">
        <f t="shared" si="17"/>
        <v>0</v>
      </c>
      <c r="AW48" s="314">
        <f t="shared" si="17"/>
        <v>0</v>
      </c>
      <c r="AX48" s="314">
        <f t="shared" si="17"/>
        <v>0</v>
      </c>
      <c r="AY48" s="314">
        <f t="shared" si="17"/>
        <v>0</v>
      </c>
      <c r="AZ48" s="314">
        <f t="shared" si="17"/>
        <v>0</v>
      </c>
      <c r="BA48" s="314">
        <f t="shared" si="17"/>
        <v>0</v>
      </c>
      <c r="BB48" s="314">
        <f t="shared" si="17"/>
        <v>0</v>
      </c>
      <c r="BC48" s="314">
        <f t="shared" si="17"/>
        <v>0</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Não</v>
      </c>
      <c r="D52" s="306">
        <f>'R&amp;C-Painel de Controle'!H67</f>
        <v>0</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0</v>
      </c>
      <c r="G54" s="314">
        <f t="shared" si="22"/>
        <v>0</v>
      </c>
      <c r="H54" s="314">
        <f t="shared" si="22"/>
        <v>0</v>
      </c>
      <c r="I54" s="314">
        <f t="shared" si="22"/>
        <v>0</v>
      </c>
      <c r="J54" s="314">
        <f t="shared" si="22"/>
        <v>0</v>
      </c>
      <c r="K54" s="314">
        <f t="shared" si="22"/>
        <v>0</v>
      </c>
      <c r="L54" s="314">
        <f t="shared" si="22"/>
        <v>0</v>
      </c>
      <c r="M54" s="314">
        <f t="shared" si="22"/>
        <v>0</v>
      </c>
      <c r="N54" s="314">
        <f t="shared" si="22"/>
        <v>0</v>
      </c>
      <c r="O54" s="314">
        <f t="shared" si="22"/>
        <v>0</v>
      </c>
      <c r="P54" s="314">
        <f t="shared" si="22"/>
        <v>0</v>
      </c>
      <c r="Q54" s="314">
        <f t="shared" si="22"/>
        <v>0</v>
      </c>
      <c r="R54" s="314">
        <f t="shared" ref="R54:BC54" si="23">Q54*(1+$C$8)</f>
        <v>0</v>
      </c>
      <c r="S54" s="314">
        <f t="shared" si="23"/>
        <v>0</v>
      </c>
      <c r="T54" s="314">
        <f t="shared" si="23"/>
        <v>0</v>
      </c>
      <c r="U54" s="314">
        <f t="shared" si="23"/>
        <v>0</v>
      </c>
      <c r="V54" s="314">
        <f t="shared" si="23"/>
        <v>0</v>
      </c>
      <c r="W54" s="314">
        <f t="shared" si="23"/>
        <v>0</v>
      </c>
      <c r="X54" s="314">
        <f t="shared" si="23"/>
        <v>0</v>
      </c>
      <c r="Y54" s="314">
        <f t="shared" si="23"/>
        <v>0</v>
      </c>
      <c r="Z54" s="314">
        <f t="shared" si="23"/>
        <v>0</v>
      </c>
      <c r="AA54" s="314">
        <f t="shared" si="23"/>
        <v>0</v>
      </c>
      <c r="AB54" s="314">
        <f t="shared" si="23"/>
        <v>0</v>
      </c>
      <c r="AC54" s="314">
        <f t="shared" si="23"/>
        <v>0</v>
      </c>
      <c r="AD54" s="314">
        <f t="shared" si="23"/>
        <v>0</v>
      </c>
      <c r="AE54" s="314">
        <f t="shared" si="23"/>
        <v>0</v>
      </c>
      <c r="AF54" s="314">
        <f t="shared" si="23"/>
        <v>0</v>
      </c>
      <c r="AG54" s="314">
        <f t="shared" si="23"/>
        <v>0</v>
      </c>
      <c r="AH54" s="314">
        <f t="shared" si="23"/>
        <v>0</v>
      </c>
      <c r="AI54" s="314">
        <f t="shared" si="23"/>
        <v>0</v>
      </c>
      <c r="AJ54" s="314">
        <f t="shared" si="23"/>
        <v>0</v>
      </c>
      <c r="AK54" s="314">
        <f t="shared" si="23"/>
        <v>0</v>
      </c>
      <c r="AL54" s="314">
        <f t="shared" si="23"/>
        <v>0</v>
      </c>
      <c r="AM54" s="314">
        <f t="shared" si="23"/>
        <v>0</v>
      </c>
      <c r="AN54" s="314">
        <f t="shared" si="23"/>
        <v>0</v>
      </c>
      <c r="AO54" s="314">
        <f t="shared" si="23"/>
        <v>0</v>
      </c>
      <c r="AP54" s="314">
        <f t="shared" si="23"/>
        <v>0</v>
      </c>
      <c r="AQ54" s="314">
        <f t="shared" si="23"/>
        <v>0</v>
      </c>
      <c r="AR54" s="314">
        <f t="shared" si="23"/>
        <v>0</v>
      </c>
      <c r="AS54" s="314">
        <f t="shared" si="23"/>
        <v>0</v>
      </c>
      <c r="AT54" s="314">
        <f t="shared" si="23"/>
        <v>0</v>
      </c>
      <c r="AU54" s="314">
        <f t="shared" si="23"/>
        <v>0</v>
      </c>
      <c r="AV54" s="314">
        <f t="shared" si="23"/>
        <v>0</v>
      </c>
      <c r="AW54" s="314">
        <f t="shared" si="23"/>
        <v>0</v>
      </c>
      <c r="AX54" s="314">
        <f t="shared" si="23"/>
        <v>0</v>
      </c>
      <c r="AY54" s="314">
        <f t="shared" si="23"/>
        <v>0</v>
      </c>
      <c r="AZ54" s="314">
        <f t="shared" si="23"/>
        <v>0</v>
      </c>
      <c r="BA54" s="314">
        <f t="shared" si="23"/>
        <v>0</v>
      </c>
      <c r="BB54" s="314">
        <f t="shared" si="23"/>
        <v>0</v>
      </c>
      <c r="BC54" s="314">
        <f t="shared" si="23"/>
        <v>0</v>
      </c>
      <c r="BD54" s="295"/>
      <c r="BE54" s="295"/>
      <c r="BF54" s="295"/>
    </row>
    <row r="55" spans="1:58" s="197" customFormat="1" ht="18" hidden="1" customHeight="1" outlineLevel="1" x14ac:dyDescent="0.25">
      <c r="B55" s="871" t="str">
        <f>B83</f>
        <v>Incineração</v>
      </c>
      <c r="C55" s="306" t="str">
        <f>C83</f>
        <v>Sim</v>
      </c>
      <c r="D55" s="306">
        <f>'R&amp;C-Painel de Controle'!H70</f>
        <v>77469.9453125</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77834.054055468747</v>
      </c>
      <c r="G57" s="314">
        <f t="shared" si="25"/>
        <v>77834.054055468747</v>
      </c>
      <c r="H57" s="314">
        <f t="shared" si="25"/>
        <v>77834.054055468747</v>
      </c>
      <c r="I57" s="314">
        <f t="shared" si="25"/>
        <v>77834.054055468747</v>
      </c>
      <c r="J57" s="314">
        <f t="shared" si="25"/>
        <v>77834.054055468747</v>
      </c>
      <c r="K57" s="314">
        <f t="shared" si="25"/>
        <v>77834.054055468747</v>
      </c>
      <c r="L57" s="314">
        <f t="shared" si="25"/>
        <v>77834.054055468747</v>
      </c>
      <c r="M57" s="314">
        <f t="shared" si="25"/>
        <v>77834.054055468747</v>
      </c>
      <c r="N57" s="314">
        <f t="shared" si="25"/>
        <v>77834.054055468747</v>
      </c>
      <c r="O57" s="314">
        <f t="shared" si="25"/>
        <v>77834.054055468747</v>
      </c>
      <c r="P57" s="314">
        <f t="shared" si="25"/>
        <v>77834.054055468747</v>
      </c>
      <c r="Q57" s="314">
        <f t="shared" si="25"/>
        <v>77834.054055468747</v>
      </c>
      <c r="R57" s="314">
        <f t="shared" ref="R57:BC57" si="26">Q57*(1+$C$8)</f>
        <v>78199.874109529439</v>
      </c>
      <c r="S57" s="314">
        <f t="shared" si="26"/>
        <v>78567.413517844223</v>
      </c>
      <c r="T57" s="314">
        <f t="shared" si="26"/>
        <v>78936.680361378079</v>
      </c>
      <c r="U57" s="314">
        <f t="shared" si="26"/>
        <v>79307.682759076546</v>
      </c>
      <c r="V57" s="314">
        <f t="shared" si="26"/>
        <v>79680.428868044197</v>
      </c>
      <c r="W57" s="314">
        <f t="shared" si="26"/>
        <v>80054.926883723994</v>
      </c>
      <c r="X57" s="314">
        <f t="shared" si="26"/>
        <v>80431.185040077486</v>
      </c>
      <c r="Y57" s="314">
        <f t="shared" si="26"/>
        <v>80809.211609765844</v>
      </c>
      <c r="Z57" s="314">
        <f t="shared" si="26"/>
        <v>81189.014904331736</v>
      </c>
      <c r="AA57" s="314">
        <f t="shared" si="26"/>
        <v>81570.603274382083</v>
      </c>
      <c r="AB57" s="314">
        <f t="shared" si="26"/>
        <v>81953.985109771675</v>
      </c>
      <c r="AC57" s="314">
        <f t="shared" si="26"/>
        <v>82339.168839787599</v>
      </c>
      <c r="AD57" s="314">
        <f t="shared" si="26"/>
        <v>82726.162933334592</v>
      </c>
      <c r="AE57" s="314">
        <f t="shared" si="26"/>
        <v>83114.975899121258</v>
      </c>
      <c r="AF57" s="314">
        <f t="shared" si="26"/>
        <v>83505.616285847122</v>
      </c>
      <c r="AG57" s="314">
        <f t="shared" si="26"/>
        <v>83898.09268239059</v>
      </c>
      <c r="AH57" s="314">
        <f t="shared" si="26"/>
        <v>84292.413717997813</v>
      </c>
      <c r="AI57" s="314">
        <f t="shared" si="26"/>
        <v>84688.588062472394</v>
      </c>
      <c r="AJ57" s="314">
        <f t="shared" si="26"/>
        <v>85086.624426366005</v>
      </c>
      <c r="AK57" s="314">
        <f t="shared" si="26"/>
        <v>85486.531561169919</v>
      </c>
      <c r="AL57" s="314">
        <f t="shared" si="26"/>
        <v>85888.318259507418</v>
      </c>
      <c r="AM57" s="314">
        <f t="shared" si="26"/>
        <v>86291.993355327097</v>
      </c>
      <c r="AN57" s="314">
        <f t="shared" si="26"/>
        <v>86697.565724097134</v>
      </c>
      <c r="AO57" s="314">
        <f t="shared" si="26"/>
        <v>87105.044283000389</v>
      </c>
      <c r="AP57" s="314">
        <f t="shared" si="26"/>
        <v>87514.437991130486</v>
      </c>
      <c r="AQ57" s="314">
        <f t="shared" si="26"/>
        <v>87925.755849688794</v>
      </c>
      <c r="AR57" s="314">
        <f t="shared" si="26"/>
        <v>88339.006902182329</v>
      </c>
      <c r="AS57" s="314">
        <f t="shared" si="26"/>
        <v>88754.200234622578</v>
      </c>
      <c r="AT57" s="314">
        <f t="shared" si="26"/>
        <v>89171.344975725297</v>
      </c>
      <c r="AU57" s="314">
        <f t="shared" si="26"/>
        <v>89590.450297111194</v>
      </c>
      <c r="AV57" s="314">
        <f t="shared" si="26"/>
        <v>90011.52541350761</v>
      </c>
      <c r="AW57" s="314">
        <f t="shared" si="26"/>
        <v>90434.57958295109</v>
      </c>
      <c r="AX57" s="314">
        <f t="shared" si="26"/>
        <v>90859.622106990952</v>
      </c>
      <c r="AY57" s="314">
        <f t="shared" si="26"/>
        <v>91286.6623308938</v>
      </c>
      <c r="AZ57" s="314">
        <f t="shared" si="26"/>
        <v>91715.709643848997</v>
      </c>
      <c r="BA57" s="314">
        <f t="shared" si="26"/>
        <v>92146.773479175085</v>
      </c>
      <c r="BB57" s="314">
        <f t="shared" si="26"/>
        <v>92579.863314527203</v>
      </c>
      <c r="BC57" s="314">
        <f t="shared" si="26"/>
        <v>93014.988672105479</v>
      </c>
      <c r="BD57" s="295"/>
      <c r="BE57" s="295"/>
      <c r="BF57" s="295"/>
    </row>
    <row r="58" spans="1:58" s="197" customFormat="1" ht="18" hidden="1" customHeight="1" outlineLevel="1" x14ac:dyDescent="0.25">
      <c r="B58" s="871" t="str">
        <f>B86</f>
        <v>Aterro Sanitário</v>
      </c>
      <c r="C58" s="306" t="str">
        <f>C86</f>
        <v>Sim</v>
      </c>
      <c r="D58" s="306">
        <f>'R&amp;C-Painel de Controle'!H73</f>
        <v>34273.989062500004</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34435.07681109375</v>
      </c>
      <c r="G60" s="314">
        <f t="shared" si="28"/>
        <v>34435.07681109375</v>
      </c>
      <c r="H60" s="314">
        <f t="shared" si="28"/>
        <v>34435.07681109375</v>
      </c>
      <c r="I60" s="314">
        <f t="shared" si="28"/>
        <v>34435.07681109375</v>
      </c>
      <c r="J60" s="314">
        <f t="shared" si="28"/>
        <v>34435.07681109375</v>
      </c>
      <c r="K60" s="314">
        <f t="shared" si="28"/>
        <v>34435.07681109375</v>
      </c>
      <c r="L60" s="314">
        <f t="shared" si="28"/>
        <v>34435.07681109375</v>
      </c>
      <c r="M60" s="314">
        <f t="shared" si="28"/>
        <v>34435.07681109375</v>
      </c>
      <c r="N60" s="314">
        <f t="shared" si="28"/>
        <v>34435.07681109375</v>
      </c>
      <c r="O60" s="314">
        <f t="shared" si="28"/>
        <v>34435.07681109375</v>
      </c>
      <c r="P60" s="314">
        <f t="shared" si="28"/>
        <v>34435.07681109375</v>
      </c>
      <c r="Q60" s="314">
        <f t="shared" si="28"/>
        <v>34435.07681109375</v>
      </c>
      <c r="R60" s="314">
        <f t="shared" ref="R60:BC60" si="29">Q60*(1+$C$8)</f>
        <v>34596.921672105891</v>
      </c>
      <c r="S60" s="314">
        <f t="shared" si="29"/>
        <v>34759.52720396479</v>
      </c>
      <c r="T60" s="314">
        <f t="shared" si="29"/>
        <v>34922.896981823418</v>
      </c>
      <c r="U60" s="314">
        <f t="shared" si="29"/>
        <v>35087.034597637983</v>
      </c>
      <c r="V60" s="314">
        <f t="shared" si="29"/>
        <v>35251.943660246878</v>
      </c>
      <c r="W60" s="314">
        <f t="shared" si="29"/>
        <v>35417.627795450033</v>
      </c>
      <c r="X60" s="314">
        <f t="shared" si="29"/>
        <v>35584.090646088647</v>
      </c>
      <c r="Y60" s="314">
        <f t="shared" si="29"/>
        <v>35751.335872125259</v>
      </c>
      <c r="Z60" s="314">
        <f t="shared" si="29"/>
        <v>35919.367150724247</v>
      </c>
      <c r="AA60" s="314">
        <f t="shared" si="29"/>
        <v>36088.188176332646</v>
      </c>
      <c r="AB60" s="314">
        <f t="shared" si="29"/>
        <v>36257.802660761408</v>
      </c>
      <c r="AC60" s="314">
        <f t="shared" si="29"/>
        <v>36428.214333266988</v>
      </c>
      <c r="AD60" s="314">
        <f t="shared" si="29"/>
        <v>36599.426940633341</v>
      </c>
      <c r="AE60" s="314">
        <f t="shared" si="29"/>
        <v>36771.444247254316</v>
      </c>
      <c r="AF60" s="314">
        <f t="shared" si="29"/>
        <v>36944.27003521641</v>
      </c>
      <c r="AG60" s="314">
        <f t="shared" si="29"/>
        <v>37117.908104381924</v>
      </c>
      <c r="AH60" s="314">
        <f t="shared" si="29"/>
        <v>37292.362272472514</v>
      </c>
      <c r="AI60" s="314">
        <f t="shared" si="29"/>
        <v>37467.636375153132</v>
      </c>
      <c r="AJ60" s="314">
        <f t="shared" si="29"/>
        <v>37643.734266116349</v>
      </c>
      <c r="AK60" s="314">
        <f t="shared" si="29"/>
        <v>37820.659817167092</v>
      </c>
      <c r="AL60" s="314">
        <f t="shared" si="29"/>
        <v>37998.416918307776</v>
      </c>
      <c r="AM60" s="314">
        <f t="shared" si="29"/>
        <v>38177.00947782382</v>
      </c>
      <c r="AN60" s="314">
        <f t="shared" si="29"/>
        <v>38356.441422369586</v>
      </c>
      <c r="AO60" s="314">
        <f t="shared" si="29"/>
        <v>38536.716697054719</v>
      </c>
      <c r="AP60" s="314">
        <f t="shared" si="29"/>
        <v>38717.839265530871</v>
      </c>
      <c r="AQ60" s="314">
        <f t="shared" si="29"/>
        <v>38899.81311007886</v>
      </c>
      <c r="AR60" s="314">
        <f t="shared" si="29"/>
        <v>39082.642231696227</v>
      </c>
      <c r="AS60" s="314">
        <f t="shared" si="29"/>
        <v>39266.330650185198</v>
      </c>
      <c r="AT60" s="314">
        <f t="shared" si="29"/>
        <v>39450.882404241063</v>
      </c>
      <c r="AU60" s="314">
        <f t="shared" si="29"/>
        <v>39636.301551540993</v>
      </c>
      <c r="AV60" s="314">
        <f t="shared" si="29"/>
        <v>39822.592168833231</v>
      </c>
      <c r="AW60" s="314">
        <f t="shared" si="29"/>
        <v>40009.758352026744</v>
      </c>
      <c r="AX60" s="314">
        <f t="shared" si="29"/>
        <v>40197.804216281264</v>
      </c>
      <c r="AY60" s="314">
        <f t="shared" si="29"/>
        <v>40386.73389609778</v>
      </c>
      <c r="AZ60" s="314">
        <f t="shared" si="29"/>
        <v>40576.551545409435</v>
      </c>
      <c r="BA60" s="314">
        <f t="shared" si="29"/>
        <v>40767.261337672855</v>
      </c>
      <c r="BB60" s="314">
        <f t="shared" si="29"/>
        <v>40958.867465959913</v>
      </c>
      <c r="BC60" s="314">
        <f t="shared" si="29"/>
        <v>41151.374143049921</v>
      </c>
      <c r="BD60" s="295"/>
      <c r="BE60" s="295"/>
      <c r="BF60" s="295"/>
    </row>
    <row r="61" spans="1:58" s="197" customFormat="1" ht="18" hidden="1" customHeight="1" outlineLevel="1" x14ac:dyDescent="0.25">
      <c r="B61" s="871" t="s">
        <v>671</v>
      </c>
      <c r="C61" s="309">
        <f>C35</f>
        <v>78000</v>
      </c>
      <c r="D61" s="311">
        <f>D35</f>
        <v>78366.599999999991</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100.9879346547112</v>
      </c>
      <c r="D63" s="296">
        <f>((D67+D70+D73+D76+D79+D82+D85+D88+'R&amp;C-Painel de Controle'!I21)+('R&amp;C-Painel de Controle'!$K$77*$H$27/5+'R&amp;C-Painel de Controle'!$K$75*$H$27/20+'R&amp;C-Painel de Controle'!$D$29+'R&amp;C-Painel de Controle'!$D$30)/3*(1+$C$62))</f>
        <v>184.09418035559332</v>
      </c>
      <c r="E63" s="296">
        <f>((E67+E70+E73+E76+E79+E82+E85+E88+'R&amp;C-Painel de Controle'!J21)+('R&amp;C-Painel de Controle'!$K$77*$H$27/5+'R&amp;C-Painel de Controle'!$K$75*$H$27/20+'R&amp;C-Painel de Controle'!$D$29+'R&amp;C-Painel de Controle'!$D$30)/3*(1+$C$62))</f>
        <v>137.3889408699585</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37.281104206942601</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11.184331262082781</v>
      </c>
      <c r="D70" s="314">
        <f>D69*$D$68</f>
        <v>7.4562208413885207</v>
      </c>
      <c r="E70" s="314">
        <f>E69*$D$68</f>
        <v>18.6405521034713</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Não</v>
      </c>
      <c r="D71" s="317">
        <f>'R&amp;C-Painel de Controle'!K58</f>
        <v>0</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0</v>
      </c>
      <c r="D73" s="315">
        <f t="shared" si="35"/>
        <v>0</v>
      </c>
      <c r="E73" s="314">
        <f t="shared" si="35"/>
        <v>0</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Não</v>
      </c>
      <c r="D74" s="317">
        <f>'R&amp;C-Painel de Controle'!K61</f>
        <v>0</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0</v>
      </c>
      <c r="D76" s="315">
        <f t="shared" si="36"/>
        <v>0</v>
      </c>
      <c r="E76" s="314">
        <f t="shared" si="36"/>
        <v>0</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Não</v>
      </c>
      <c r="D80" s="317">
        <f>'R&amp;C-Painel de Controle'!K67</f>
        <v>0</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0</v>
      </c>
      <c r="D82" s="315">
        <f t="shared" si="38"/>
        <v>0</v>
      </c>
      <c r="E82" s="313">
        <f t="shared" si="38"/>
        <v>0</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Sim</v>
      </c>
      <c r="D83" s="317">
        <f>'R&amp;C-Painel de Controle'!K70</f>
        <v>276.98412430286135</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55.396824860572274</v>
      </c>
      <c r="D85" s="315">
        <f t="shared" si="39"/>
        <v>138.49206215143067</v>
      </c>
      <c r="E85" s="313">
        <f t="shared" si="39"/>
        <v>83.095237290858407</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12.463729435726561</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2.4927458871453125</v>
      </c>
      <c r="D88" s="315">
        <f t="shared" si="40"/>
        <v>6.2318647178632807</v>
      </c>
      <c r="E88" s="313">
        <f t="shared" si="40"/>
        <v>3.7391188307179681</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36.848115884009161</v>
      </c>
      <c r="G90" s="296">
        <f>IF('R&amp;C-Painel de Controle'!$D$24="Não",G94+G97+G100+G103+G106+G109+G112+G115,G94+G97+G100+G103+G106+G109+G112+G115+'R&amp;C-Painel de Controle'!$L$91)</f>
        <v>36.848115884009161</v>
      </c>
      <c r="H90" s="296">
        <f>IF('R&amp;C-Painel de Controle'!$D$24="Não",H94+H97+H100+H103+H106+H109+H112+H115,H94+H97+H100+H103+H106+H109+H112+H115+'R&amp;C-Painel de Controle'!$L$91)</f>
        <v>36.848115884009161</v>
      </c>
      <c r="I90" s="296">
        <f>IF('R&amp;C-Painel de Controle'!$D$24="Não",I94+I97+I100+I103+I106+I109+I112+I115,I94+I97+I100+I103+I106+I109+I112+I115+'R&amp;C-Painel de Controle'!$L$91)</f>
        <v>36.848115884009161</v>
      </c>
      <c r="J90" s="296">
        <f>IF('R&amp;C-Painel de Controle'!$D$24="Não",J94+J97+J100+J103+J106+J109+J112+J115,J94+J97+J100+J103+J106+J109+J112+J115+'R&amp;C-Painel de Controle'!$L$91)</f>
        <v>36.848115884009161</v>
      </c>
      <c r="K90" s="296">
        <f>IF('R&amp;C-Painel de Controle'!$D$24="Não",K94+K97+K100+K103+K106+K109+K112+K115,K94+K97+K100+K103+K106+K109+K112+K115+'R&amp;C-Painel de Controle'!$L$91)</f>
        <v>36.848115884009161</v>
      </c>
      <c r="L90" s="296">
        <f>IF('R&amp;C-Painel de Controle'!$D$24="Não",L94+L97+L100+L103+L106+L109+L112+L115,L94+L97+L100+L103+L106+L109+L112+L115+'R&amp;C-Painel de Controle'!$L$91)</f>
        <v>36.848115884009161</v>
      </c>
      <c r="M90" s="296">
        <f>IF('R&amp;C-Painel de Controle'!$D$24="Não",M94+M97+M100+M103+M106+M109+M112+M115,M94+M97+M100+M103+M106+M109+M112+M115+'R&amp;C-Painel de Controle'!$L$91)</f>
        <v>36.848115884009161</v>
      </c>
      <c r="N90" s="296">
        <f>IF('R&amp;C-Painel de Controle'!$D$24="Não",N94+N97+N100+N103+N106+N109+N112+N115,N94+N97+N100+N103+N106+N109+N112+N115+'R&amp;C-Painel de Controle'!$L$91)</f>
        <v>36.848115884009161</v>
      </c>
      <c r="O90" s="296">
        <f>IF('R&amp;C-Painel de Controle'!$D$24="Não",O94+O97+O100+O103+O106+O109+O112+O115,O94+O97+O100+O103+O106+O109+O112+O115+'R&amp;C-Painel de Controle'!$L$91)</f>
        <v>36.848115884009161</v>
      </c>
      <c r="P90" s="296">
        <f>IF('R&amp;C-Painel de Controle'!$D$24="Não",P94+P97+P100+P103+P106+P109+P112+P115,P94+P97+P100+P103+P106+P109+P112+P115+'R&amp;C-Painel de Controle'!$L$91)</f>
        <v>36.848115884009161</v>
      </c>
      <c r="Q90" s="296">
        <f>IF('R&amp;C-Painel de Controle'!$D$24="Não",Q94+Q97+Q100+Q103+Q106+Q109+Q112+Q115,Q94+Q97+Q100+Q103+Q106+Q109+Q112+Q115+'R&amp;C-Painel de Controle'!$L$91)</f>
        <v>36.848115884009161</v>
      </c>
      <c r="R90" s="296">
        <f>IF('R&amp;C-Painel de Controle'!$D$24="Não",R94+R97+R100+R103+R106+R109+R112+R115,R94+R97+R100+R103+R106+R109+R112+R115+'R&amp;C-Painel de Controle'!$L$91)</f>
        <v>36.848115884009161</v>
      </c>
      <c r="S90" s="296">
        <f>IF('R&amp;C-Painel de Controle'!$D$24="Não",S94+S97+S100+S103+S106+S109+S112+S115,S94+S97+S100+S103+S106+S109+S112+S115+'R&amp;C-Painel de Controle'!$L$91)</f>
        <v>36.848115884009161</v>
      </c>
      <c r="T90" s="296">
        <f>IF('R&amp;C-Painel de Controle'!$D$24="Não",T94+T97+T100+T103+T106+T109+T112+T115,T94+T97+T100+T103+T106+T109+T112+T115+'R&amp;C-Painel de Controle'!$L$91)</f>
        <v>36.848115884009161</v>
      </c>
      <c r="U90" s="296">
        <f>IF('R&amp;C-Painel de Controle'!$D$24="Não",U94+U97+U100+U103+U106+U109+U112+U115,U94+U97+U100+U103+U106+U109+U112+U115+'R&amp;C-Painel de Controle'!$L$91)</f>
        <v>36.848115884009161</v>
      </c>
      <c r="V90" s="296">
        <f>IF('R&amp;C-Painel de Controle'!$D$24="Não",V94+V97+V100+V103+V106+V109+V112+V115,V94+V97+V100+V103+V106+V109+V112+V115+'R&amp;C-Painel de Controle'!$L$91)</f>
        <v>36.848115884009161</v>
      </c>
      <c r="W90" s="296">
        <f>IF('R&amp;C-Painel de Controle'!$D$24="Não",W94+W97+W100+W103+W106+W109+W112+W115,W94+W97+W100+W103+W106+W109+W112+W115+'R&amp;C-Painel de Controle'!$L$91)</f>
        <v>36.848115884009161</v>
      </c>
      <c r="X90" s="296">
        <f>IF('R&amp;C-Painel de Controle'!$D$24="Não",X94+X97+X100+X103+X106+X109+X112+X115,X94+X97+X100+X103+X106+X109+X112+X115+'R&amp;C-Painel de Controle'!$L$91)</f>
        <v>36.848115884009161</v>
      </c>
      <c r="Y90" s="296">
        <f>IF('R&amp;C-Painel de Controle'!$D$24="Não",Y94+Y97+Y100+Y103+Y106+Y109+Y112+Y115,Y94+Y97+Y100+Y103+Y106+Y109+Y112+Y115+'R&amp;C-Painel de Controle'!$L$91)</f>
        <v>36.848115884009161</v>
      </c>
      <c r="Z90" s="296">
        <f>IF('R&amp;C-Painel de Controle'!$D$24="Não",Z94+Z97+Z100+Z103+Z106+Z109+Z112+Z115,Z94+Z97+Z100+Z103+Z106+Z109+Z112+Z115+'R&amp;C-Painel de Controle'!$L$91)</f>
        <v>36.848115884009161</v>
      </c>
      <c r="AA90" s="296">
        <f>IF('R&amp;C-Painel de Controle'!$D$24="Não",AA94+AA97+AA100+AA103+AA106+AA109+AA112+AA115,AA94+AA97+AA100+AA103+AA106+AA109+AA112+AA115+'R&amp;C-Painel de Controle'!$L$91)</f>
        <v>36.848115884009161</v>
      </c>
      <c r="AB90" s="296">
        <f>IF('R&amp;C-Painel de Controle'!$D$24="Não",AB94+AB97+AB100+AB103+AB106+AB109+AB112+AB115,AB94+AB97+AB100+AB103+AB106+AB109+AB112+AB115+'R&amp;C-Painel de Controle'!$L$91)</f>
        <v>36.848115884009161</v>
      </c>
      <c r="AC90" s="296">
        <f>IF('R&amp;C-Painel de Controle'!$D$24="Não",AC94+AC97+AC100+AC103+AC106+AC109+AC112+AC115,AC94+AC97+AC100+AC103+AC106+AC109+AC112+AC115+'R&amp;C-Painel de Controle'!$L$91)</f>
        <v>36.848115884009161</v>
      </c>
      <c r="AD90" s="296">
        <f>IF('R&amp;C-Painel de Controle'!$D$24="Não",AD94+AD97+AD100+AD103+AD106+AD109+AD112+AD115,AD94+AD97+AD100+AD103+AD106+AD109+AD112+AD115+'R&amp;C-Painel de Controle'!$L$91)</f>
        <v>36.848115884009161</v>
      </c>
      <c r="AE90" s="296">
        <f>IF('R&amp;C-Painel de Controle'!$D$24="Não",AE94+AE97+AE100+AE103+AE106+AE109+AE112+AE115,AE94+AE97+AE100+AE103+AE106+AE109+AE112+AE115+'R&amp;C-Painel de Controle'!$L$91)</f>
        <v>36.848115884009161</v>
      </c>
      <c r="AF90" s="296">
        <f>IF('R&amp;C-Painel de Controle'!$D$24="Não",AF94+AF97+AF100+AF103+AF106+AF109+AF112+AF115,AF94+AF97+AF100+AF103+AF106+AF109+AF112+AF115+'R&amp;C-Painel de Controle'!$L$91)</f>
        <v>36.848115884009161</v>
      </c>
      <c r="AG90" s="296">
        <f>IF('R&amp;C-Painel de Controle'!$D$24="Não",AG94+AG97+AG100+AG103+AG106+AG109+AG112+AG115,AG94+AG97+AG100+AG103+AG106+AG109+AG112+AG115+'R&amp;C-Painel de Controle'!$L$91)</f>
        <v>36.848115884009161</v>
      </c>
      <c r="AH90" s="296">
        <f>IF('R&amp;C-Painel de Controle'!$D$24="Não",AH94+AH97+AH100+AH103+AH106+AH109+AH112+AH115,AH94+AH97+AH100+AH103+AH106+AH109+AH112+AH115+'R&amp;C-Painel de Controle'!$L$91)</f>
        <v>36.848115884009161</v>
      </c>
      <c r="AI90" s="296">
        <f>IF('R&amp;C-Painel de Controle'!$D$24="Não",AI94+AI97+AI100+AI103+AI106+AI109+AI112+AI115,AI94+AI97+AI100+AI103+AI106+AI109+AI112+AI115+'R&amp;C-Painel de Controle'!$L$91)</f>
        <v>36.848115884009161</v>
      </c>
      <c r="AJ90" s="296">
        <f>IF('R&amp;C-Painel de Controle'!$D$24="Não",AJ94+AJ97+AJ100+AJ103+AJ106+AJ109+AJ112+AJ115,AJ94+AJ97+AJ100+AJ103+AJ106+AJ109+AJ112+AJ115+'R&amp;C-Painel de Controle'!$L$91)</f>
        <v>36.848115884009161</v>
      </c>
      <c r="AK90" s="296">
        <f>IF('R&amp;C-Painel de Controle'!$D$24="Não",AK94+AK97+AK100+AK103+AK106+AK109+AK112+AK115,AK94+AK97+AK100+AK103+AK106+AK109+AK112+AK115+'R&amp;C-Painel de Controle'!$L$91)</f>
        <v>36.848115884009161</v>
      </c>
      <c r="AL90" s="296">
        <f>IF('R&amp;C-Painel de Controle'!$D$24="Não",AL94+AL97+AL100+AL103+AL106+AL109+AL112+AL115,AL94+AL97+AL100+AL103+AL106+AL109+AL112+AL115+'R&amp;C-Painel de Controle'!$L$91)</f>
        <v>36.848115884009161</v>
      </c>
      <c r="AM90" s="296">
        <f>IF('R&amp;C-Painel de Controle'!$D$24="Não",AM94+AM97+AM100+AM103+AM106+AM109+AM112+AM115,AM94+AM97+AM100+AM103+AM106+AM109+AM112+AM115+'R&amp;C-Painel de Controle'!$L$91)</f>
        <v>36.848115884009161</v>
      </c>
      <c r="AN90" s="296">
        <f>IF('R&amp;C-Painel de Controle'!$D$24="Não",AN94+AN97+AN100+AN103+AN106+AN109+AN112+AN115,AN94+AN97+AN100+AN103+AN106+AN109+AN112+AN115+'R&amp;C-Painel de Controle'!$L$91)</f>
        <v>36.848115884009161</v>
      </c>
      <c r="AO90" s="296">
        <f>IF('R&amp;C-Painel de Controle'!$D$24="Não",AO94+AO97+AO100+AO103+AO106+AO109+AO112+AO115,AO94+AO97+AO100+AO103+AO106+AO109+AO112+AO115+'R&amp;C-Painel de Controle'!$L$91)</f>
        <v>36.848115884009161</v>
      </c>
      <c r="AP90" s="296">
        <f>IF('R&amp;C-Painel de Controle'!$D$24="Não",AP94+AP97+AP100+AP103+AP106+AP109+AP112+AP115,AP94+AP97+AP100+AP103+AP106+AP109+AP112+AP115+'R&amp;C-Painel de Controle'!$L$91)</f>
        <v>36.848115884009161</v>
      </c>
      <c r="AQ90" s="296">
        <f>IF('R&amp;C-Painel de Controle'!$D$24="Não",AQ94+AQ97+AQ100+AQ103+AQ106+AQ109+AQ112+AQ115,AQ94+AQ97+AQ100+AQ103+AQ106+AQ109+AQ112+AQ115+'R&amp;C-Painel de Controle'!$L$91)</f>
        <v>36.848115884009161</v>
      </c>
      <c r="AR90" s="296">
        <f>IF('R&amp;C-Painel de Controle'!$D$24="Não",AR94+AR97+AR100+AR103+AR106+AR109+AR112+AR115,AR94+AR97+AR100+AR103+AR106+AR109+AR112+AR115+'R&amp;C-Painel de Controle'!$L$91)</f>
        <v>36.848115884009161</v>
      </c>
      <c r="AS90" s="296">
        <f>IF('R&amp;C-Painel de Controle'!$D$24="Não",AS94+AS97+AS100+AS103+AS106+AS109+AS112+AS115,AS94+AS97+AS100+AS103+AS106+AS109+AS112+AS115+'R&amp;C-Painel de Controle'!$L$91)</f>
        <v>36.848115884009161</v>
      </c>
      <c r="AT90" s="296">
        <f>IF('R&amp;C-Painel de Controle'!$D$24="Não",AT94+AT97+AT100+AT103+AT106+AT109+AT112+AT115,AT94+AT97+AT100+AT103+AT106+AT109+AT112+AT115+'R&amp;C-Painel de Controle'!$L$91)</f>
        <v>36.848115884009161</v>
      </c>
      <c r="AU90" s="296">
        <f>IF('R&amp;C-Painel de Controle'!$D$24="Não",AU94+AU97+AU100+AU103+AU106+AU109+AU112+AU115,AU94+AU97+AU100+AU103+AU106+AU109+AU112+AU115+'R&amp;C-Painel de Controle'!$L$91)</f>
        <v>36.848115884009161</v>
      </c>
      <c r="AV90" s="296">
        <f>IF('R&amp;C-Painel de Controle'!$D$24="Não",AV94+AV97+AV100+AV103+AV106+AV109+AV112+AV115,AV94+AV97+AV100+AV103+AV106+AV109+AV112+AV115+'R&amp;C-Painel de Controle'!$L$91)</f>
        <v>36.848115884009161</v>
      </c>
      <c r="AW90" s="296">
        <f>IF('R&amp;C-Painel de Controle'!$D$24="Não",AW94+AW97+AW100+AW103+AW106+AW109+AW112+AW115,AW94+AW97+AW100+AW103+AW106+AW109+AW112+AW115+'R&amp;C-Painel de Controle'!$L$91)</f>
        <v>36.848115884009161</v>
      </c>
      <c r="AX90" s="296">
        <f>IF('R&amp;C-Painel de Controle'!$D$24="Não",AX94+AX97+AX100+AX103+AX106+AX109+AX112+AX115,AX94+AX97+AX100+AX103+AX106+AX109+AX112+AX115+'R&amp;C-Painel de Controle'!$L$91)</f>
        <v>36.848115884009161</v>
      </c>
      <c r="AY90" s="296">
        <f>IF('R&amp;C-Painel de Controle'!$D$24="Não",AY94+AY97+AY100+AY103+AY106+AY109+AY112+AY115,AY94+AY97+AY100+AY103+AY106+AY109+AY112+AY115+'R&amp;C-Painel de Controle'!$L$91)</f>
        <v>36.848115884009161</v>
      </c>
      <c r="AZ90" s="296">
        <f>IF('R&amp;C-Painel de Controle'!$D$24="Não",AZ94+AZ97+AZ100+AZ103+AZ106+AZ109+AZ112+AZ115,AZ94+AZ97+AZ100+AZ103+AZ106+AZ109+AZ112+AZ115+'R&amp;C-Painel de Controle'!$L$91)</f>
        <v>36.848115884009161</v>
      </c>
      <c r="BA90" s="296">
        <f>IF('R&amp;C-Painel de Controle'!$D$24="Não",BA94+BA97+BA100+BA103+BA106+BA109+BA112+BA115,BA94+BA97+BA100+BA103+BA106+BA109+BA112+BA115+'R&amp;C-Painel de Controle'!$L$91)</f>
        <v>36.848115884009161</v>
      </c>
      <c r="BB90" s="296">
        <f>IF('R&amp;C-Painel de Controle'!$D$24="Não",BB94+BB97+BB100+BB103+BB106+BB109+BB112+BB115,BB94+BB97+BB100+BB103+BB106+BB109+BB112+BB115+'R&amp;C-Painel de Controle'!$L$91)</f>
        <v>36.848115884009161</v>
      </c>
      <c r="BC90" s="296">
        <f>IF('R&amp;C-Painel de Controle'!$D$24="Não",BC94+BC97+BC100+BC103+BC106+BC109+BC112+BC115,BC94+BC97+BC100+BC103+BC106+BC109+BC112+BC115+'R&amp;C-Painel de Controle'!$L$91)</f>
        <v>36.848115884009161</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9781.25</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7.5693689761573939</v>
      </c>
      <c r="G97" s="308">
        <f>IF(G42&gt;0,'R&amp;C-Painel de Controle'!$O57+'R&amp;C-Painel de Controle'!$P57*G42/1000000,0)</f>
        <v>7.5693689761573939</v>
      </c>
      <c r="H97" s="308">
        <f>IF(H42&gt;0,'R&amp;C-Painel de Controle'!$O57+'R&amp;C-Painel de Controle'!$P57*H42/1000000,0)</f>
        <v>7.5693689761573939</v>
      </c>
      <c r="I97" s="308">
        <f>IF(I42&gt;0,'R&amp;C-Painel de Controle'!$O57+'R&amp;C-Painel de Controle'!$P57*I42/1000000,0)</f>
        <v>7.5693689761573939</v>
      </c>
      <c r="J97" s="308">
        <f>IF(J42&gt;0,'R&amp;C-Painel de Controle'!$O57+'R&amp;C-Painel de Controle'!$P57*J42/1000000,0)</f>
        <v>7.5693689761573939</v>
      </c>
      <c r="K97" s="308">
        <f>IF(K42&gt;0,'R&amp;C-Painel de Controle'!$O57+'R&amp;C-Painel de Controle'!$P57*K42/1000000,0)</f>
        <v>7.5693689761573939</v>
      </c>
      <c r="L97" s="308">
        <f>IF(L42&gt;0,'R&amp;C-Painel de Controle'!$O57+'R&amp;C-Painel de Controle'!$P57*L42/1000000,0)</f>
        <v>7.5693689761573939</v>
      </c>
      <c r="M97" s="308">
        <f>IF(M42&gt;0,'R&amp;C-Painel de Controle'!$O57+'R&amp;C-Painel de Controle'!$P57*M42/1000000,0)</f>
        <v>7.5693689761573939</v>
      </c>
      <c r="N97" s="308">
        <f>IF(N42&gt;0,'R&amp;C-Painel de Controle'!$O57+'R&amp;C-Painel de Controle'!$P57*N42/1000000,0)</f>
        <v>7.5693689761573939</v>
      </c>
      <c r="O97" s="308">
        <f>IF(O42&gt;0,'R&amp;C-Painel de Controle'!$O57+'R&amp;C-Painel de Controle'!$P57*O42/1000000,0)</f>
        <v>7.5693689761573939</v>
      </c>
      <c r="P97" s="308">
        <f>IF(P42&gt;0,'R&amp;C-Painel de Controle'!$O57+'R&amp;C-Painel de Controle'!$P57*P42/1000000,0)</f>
        <v>7.5693689761573939</v>
      </c>
      <c r="Q97" s="308">
        <f>IF(Q42&gt;0,'R&amp;C-Painel de Controle'!$O57+'R&amp;C-Painel de Controle'!$P57*Q42/1000000,0)</f>
        <v>7.5693689761573939</v>
      </c>
      <c r="R97" s="295">
        <f t="shared" ref="R97:BC97" si="42">Q97</f>
        <v>7.5693689761573939</v>
      </c>
      <c r="S97" s="295">
        <f t="shared" si="42"/>
        <v>7.5693689761573939</v>
      </c>
      <c r="T97" s="295">
        <f t="shared" si="42"/>
        <v>7.5693689761573939</v>
      </c>
      <c r="U97" s="295">
        <f t="shared" si="42"/>
        <v>7.5693689761573939</v>
      </c>
      <c r="V97" s="295">
        <f t="shared" si="42"/>
        <v>7.5693689761573939</v>
      </c>
      <c r="W97" s="295">
        <f t="shared" si="42"/>
        <v>7.5693689761573939</v>
      </c>
      <c r="X97" s="295">
        <f t="shared" si="42"/>
        <v>7.5693689761573939</v>
      </c>
      <c r="Y97" s="295">
        <f t="shared" si="42"/>
        <v>7.5693689761573939</v>
      </c>
      <c r="Z97" s="295">
        <f t="shared" si="42"/>
        <v>7.5693689761573939</v>
      </c>
      <c r="AA97" s="295">
        <f t="shared" si="42"/>
        <v>7.5693689761573939</v>
      </c>
      <c r="AB97" s="295">
        <f t="shared" si="42"/>
        <v>7.5693689761573939</v>
      </c>
      <c r="AC97" s="295">
        <f t="shared" si="42"/>
        <v>7.5693689761573939</v>
      </c>
      <c r="AD97" s="295">
        <f t="shared" si="42"/>
        <v>7.5693689761573939</v>
      </c>
      <c r="AE97" s="295">
        <f t="shared" si="42"/>
        <v>7.5693689761573939</v>
      </c>
      <c r="AF97" s="295">
        <f t="shared" si="42"/>
        <v>7.5693689761573939</v>
      </c>
      <c r="AG97" s="295">
        <f t="shared" si="42"/>
        <v>7.5693689761573939</v>
      </c>
      <c r="AH97" s="295">
        <f t="shared" si="42"/>
        <v>7.5693689761573939</v>
      </c>
      <c r="AI97" s="295">
        <f t="shared" si="42"/>
        <v>7.5693689761573939</v>
      </c>
      <c r="AJ97" s="295">
        <f t="shared" si="42"/>
        <v>7.5693689761573939</v>
      </c>
      <c r="AK97" s="295">
        <f t="shared" si="42"/>
        <v>7.5693689761573939</v>
      </c>
      <c r="AL97" s="295">
        <f t="shared" si="42"/>
        <v>7.5693689761573939</v>
      </c>
      <c r="AM97" s="295">
        <f t="shared" si="42"/>
        <v>7.5693689761573939</v>
      </c>
      <c r="AN97" s="295">
        <f t="shared" si="42"/>
        <v>7.5693689761573939</v>
      </c>
      <c r="AO97" s="295">
        <f t="shared" si="42"/>
        <v>7.5693689761573939</v>
      </c>
      <c r="AP97" s="295">
        <f t="shared" si="42"/>
        <v>7.5693689761573939</v>
      </c>
      <c r="AQ97" s="295">
        <f t="shared" si="42"/>
        <v>7.5693689761573939</v>
      </c>
      <c r="AR97" s="295">
        <f t="shared" si="42"/>
        <v>7.5693689761573939</v>
      </c>
      <c r="AS97" s="295">
        <f t="shared" si="42"/>
        <v>7.5693689761573939</v>
      </c>
      <c r="AT97" s="295">
        <f t="shared" si="42"/>
        <v>7.5693689761573939</v>
      </c>
      <c r="AU97" s="295">
        <f t="shared" si="42"/>
        <v>7.5693689761573939</v>
      </c>
      <c r="AV97" s="295">
        <f t="shared" si="42"/>
        <v>7.5693689761573939</v>
      </c>
      <c r="AW97" s="295">
        <f t="shared" si="42"/>
        <v>7.5693689761573939</v>
      </c>
      <c r="AX97" s="295">
        <f t="shared" si="42"/>
        <v>7.5693689761573939</v>
      </c>
      <c r="AY97" s="295">
        <f t="shared" si="42"/>
        <v>7.5693689761573939</v>
      </c>
      <c r="AZ97" s="295">
        <f t="shared" si="42"/>
        <v>7.5693689761573939</v>
      </c>
      <c r="BA97" s="295">
        <f t="shared" si="42"/>
        <v>7.5693689761573939</v>
      </c>
      <c r="BB97" s="295">
        <f t="shared" si="42"/>
        <v>7.5693689761573939</v>
      </c>
      <c r="BC97" s="295">
        <f t="shared" si="42"/>
        <v>7.5693689761573939</v>
      </c>
      <c r="BD97" s="295"/>
      <c r="BE97" s="295"/>
      <c r="BF97" s="295"/>
    </row>
    <row r="98" spans="2:58" s="197" customFormat="1" ht="18" hidden="1" customHeight="1" outlineLevel="1" x14ac:dyDescent="0.25">
      <c r="B98" s="871" t="str">
        <f>B71</f>
        <v>Produção de CDR TM — Trat. Mec.</v>
      </c>
      <c r="C98" s="306" t="str">
        <f>C43</f>
        <v>Não</v>
      </c>
      <c r="D98" s="306">
        <f>D43</f>
        <v>0</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0</v>
      </c>
      <c r="G100" s="308">
        <f>IF(G45&gt;0,'R&amp;C-Painel de Controle'!$O60+'R&amp;C-Painel de Controle'!$P60*G45/1000000,0)</f>
        <v>0</v>
      </c>
      <c r="H100" s="308">
        <f>IF(H45&gt;0,'R&amp;C-Painel de Controle'!$O60+'R&amp;C-Painel de Controle'!$P60*H45/1000000,0)</f>
        <v>0</v>
      </c>
      <c r="I100" s="308">
        <f>IF(I45&gt;0,'R&amp;C-Painel de Controle'!$O60+'R&amp;C-Painel de Controle'!$P60*I45/1000000,0)</f>
        <v>0</v>
      </c>
      <c r="J100" s="308">
        <f>IF(J45&gt;0,'R&amp;C-Painel de Controle'!$O60+'R&amp;C-Painel de Controle'!$P60*J45/1000000,0)</f>
        <v>0</v>
      </c>
      <c r="K100" s="308">
        <f>IF(K45&gt;0,'R&amp;C-Painel de Controle'!$O60+'R&amp;C-Painel de Controle'!$P60*K45/1000000,0)</f>
        <v>0</v>
      </c>
      <c r="L100" s="308">
        <f>IF(L45&gt;0,'R&amp;C-Painel de Controle'!$O60+'R&amp;C-Painel de Controle'!$P60*L45/1000000,0)</f>
        <v>0</v>
      </c>
      <c r="M100" s="308">
        <f>IF(M45&gt;0,'R&amp;C-Painel de Controle'!$O60+'R&amp;C-Painel de Controle'!$P60*M45/1000000,0)</f>
        <v>0</v>
      </c>
      <c r="N100" s="308">
        <f>IF(N45&gt;0,'R&amp;C-Painel de Controle'!$O60+'R&amp;C-Painel de Controle'!$P60*N45/1000000,0)</f>
        <v>0</v>
      </c>
      <c r="O100" s="308">
        <f>IF(O45&gt;0,'R&amp;C-Painel de Controle'!$O60+'R&amp;C-Painel de Controle'!$P60*O45/1000000,0)</f>
        <v>0</v>
      </c>
      <c r="P100" s="308">
        <f>IF(P45&gt;0,'R&amp;C-Painel de Controle'!$O60+'R&amp;C-Painel de Controle'!$P60*P45/1000000,0)</f>
        <v>0</v>
      </c>
      <c r="Q100" s="308">
        <f>IF(Q45&gt;0,'R&amp;C-Painel de Controle'!$O60+'R&amp;C-Painel de Controle'!$P60*Q45/1000000,0)</f>
        <v>0</v>
      </c>
      <c r="R100" s="295">
        <f t="shared" ref="R100:BC100" si="43">Q100</f>
        <v>0</v>
      </c>
      <c r="S100" s="295">
        <f t="shared" si="43"/>
        <v>0</v>
      </c>
      <c r="T100" s="295">
        <f t="shared" si="43"/>
        <v>0</v>
      </c>
      <c r="U100" s="295">
        <f t="shared" si="43"/>
        <v>0</v>
      </c>
      <c r="V100" s="295">
        <f t="shared" si="43"/>
        <v>0</v>
      </c>
      <c r="W100" s="295">
        <f t="shared" si="43"/>
        <v>0</v>
      </c>
      <c r="X100" s="295">
        <f t="shared" si="43"/>
        <v>0</v>
      </c>
      <c r="Y100" s="295">
        <f t="shared" si="43"/>
        <v>0</v>
      </c>
      <c r="Z100" s="295">
        <f t="shared" si="43"/>
        <v>0</v>
      </c>
      <c r="AA100" s="295">
        <f t="shared" si="43"/>
        <v>0</v>
      </c>
      <c r="AB100" s="295">
        <f t="shared" si="43"/>
        <v>0</v>
      </c>
      <c r="AC100" s="295">
        <f t="shared" si="43"/>
        <v>0</v>
      </c>
      <c r="AD100" s="295">
        <f t="shared" si="43"/>
        <v>0</v>
      </c>
      <c r="AE100" s="295">
        <f t="shared" si="43"/>
        <v>0</v>
      </c>
      <c r="AF100" s="295">
        <f t="shared" si="43"/>
        <v>0</v>
      </c>
      <c r="AG100" s="295">
        <f t="shared" si="43"/>
        <v>0</v>
      </c>
      <c r="AH100" s="295">
        <f t="shared" si="43"/>
        <v>0</v>
      </c>
      <c r="AI100" s="295">
        <f t="shared" si="43"/>
        <v>0</v>
      </c>
      <c r="AJ100" s="295">
        <f t="shared" si="43"/>
        <v>0</v>
      </c>
      <c r="AK100" s="295">
        <f t="shared" si="43"/>
        <v>0</v>
      </c>
      <c r="AL100" s="295">
        <f t="shared" si="43"/>
        <v>0</v>
      </c>
      <c r="AM100" s="295">
        <f t="shared" si="43"/>
        <v>0</v>
      </c>
      <c r="AN100" s="295">
        <f t="shared" si="43"/>
        <v>0</v>
      </c>
      <c r="AO100" s="295">
        <f t="shared" si="43"/>
        <v>0</v>
      </c>
      <c r="AP100" s="295">
        <f t="shared" si="43"/>
        <v>0</v>
      </c>
      <c r="AQ100" s="295">
        <f t="shared" si="43"/>
        <v>0</v>
      </c>
      <c r="AR100" s="295">
        <f t="shared" si="43"/>
        <v>0</v>
      </c>
      <c r="AS100" s="295">
        <f t="shared" si="43"/>
        <v>0</v>
      </c>
      <c r="AT100" s="295">
        <f t="shared" si="43"/>
        <v>0</v>
      </c>
      <c r="AU100" s="295">
        <f t="shared" si="43"/>
        <v>0</v>
      </c>
      <c r="AV100" s="295">
        <f t="shared" si="43"/>
        <v>0</v>
      </c>
      <c r="AW100" s="295">
        <f t="shared" si="43"/>
        <v>0</v>
      </c>
      <c r="AX100" s="295">
        <f t="shared" si="43"/>
        <v>0</v>
      </c>
      <c r="AY100" s="295">
        <f t="shared" si="43"/>
        <v>0</v>
      </c>
      <c r="AZ100" s="295">
        <f t="shared" si="43"/>
        <v>0</v>
      </c>
      <c r="BA100" s="295">
        <f t="shared" si="43"/>
        <v>0</v>
      </c>
      <c r="BB100" s="295">
        <f t="shared" si="43"/>
        <v>0</v>
      </c>
      <c r="BC100" s="295">
        <f t="shared" si="43"/>
        <v>0</v>
      </c>
      <c r="BD100" s="295"/>
      <c r="BE100" s="295"/>
      <c r="BF100" s="295"/>
    </row>
    <row r="101" spans="2:58" s="197" customFormat="1" ht="18" hidden="1" customHeight="1" outlineLevel="1" x14ac:dyDescent="0.25">
      <c r="B101" s="871" t="str">
        <f>B74</f>
        <v>Prod. CDR TMB — Trat. Mec./Biológ.</v>
      </c>
      <c r="C101" s="306" t="str">
        <f>C46</f>
        <v>Não</v>
      </c>
      <c r="D101" s="306">
        <f>D46</f>
        <v>0</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0</v>
      </c>
      <c r="G103" s="308">
        <f>IF(G48&gt;0,'R&amp;C-Painel de Controle'!$O63+'R&amp;C-Painel de Controle'!$P63*G48/1000000,0)</f>
        <v>0</v>
      </c>
      <c r="H103" s="308">
        <f>IF(H48&gt;0,'R&amp;C-Painel de Controle'!$O63+'R&amp;C-Painel de Controle'!$P63*H48/1000000,0)</f>
        <v>0</v>
      </c>
      <c r="I103" s="308">
        <f>IF(I48&gt;0,'R&amp;C-Painel de Controle'!$O63+'R&amp;C-Painel de Controle'!$P63*I48/1000000,0)</f>
        <v>0</v>
      </c>
      <c r="J103" s="308">
        <f>IF(J48&gt;0,'R&amp;C-Painel de Controle'!$O63+'R&amp;C-Painel de Controle'!$P63*J48/1000000,0)</f>
        <v>0</v>
      </c>
      <c r="K103" s="308">
        <f>IF(K48&gt;0,'R&amp;C-Painel de Controle'!$O63+'R&amp;C-Painel de Controle'!$P63*K48/1000000,0)</f>
        <v>0</v>
      </c>
      <c r="L103" s="308">
        <f>IF(L48&gt;0,'R&amp;C-Painel de Controle'!$O63+'R&amp;C-Painel de Controle'!$P63*L48/1000000,0)</f>
        <v>0</v>
      </c>
      <c r="M103" s="308">
        <f>IF(M48&gt;0,'R&amp;C-Painel de Controle'!$O63+'R&amp;C-Painel de Controle'!$P63*M48/1000000,0)</f>
        <v>0</v>
      </c>
      <c r="N103" s="308">
        <f>IF(N48&gt;0,'R&amp;C-Painel de Controle'!$O63+'R&amp;C-Painel de Controle'!$P63*N48/1000000,0)</f>
        <v>0</v>
      </c>
      <c r="O103" s="308">
        <f>IF(O48&gt;0,'R&amp;C-Painel de Controle'!$O63+'R&amp;C-Painel de Controle'!$P63*O48/1000000,0)</f>
        <v>0</v>
      </c>
      <c r="P103" s="308">
        <f>IF(P48&gt;0,'R&amp;C-Painel de Controle'!$O63+'R&amp;C-Painel de Controle'!$P63*P48/1000000,0)</f>
        <v>0</v>
      </c>
      <c r="Q103" s="308">
        <f>IF(Q48&gt;0,'R&amp;C-Painel de Controle'!$O63+'R&amp;C-Painel de Controle'!$P63*Q48/1000000,0)</f>
        <v>0</v>
      </c>
      <c r="R103" s="295">
        <f t="shared" ref="R103:BC103" si="44">Q103</f>
        <v>0</v>
      </c>
      <c r="S103" s="295">
        <f t="shared" si="44"/>
        <v>0</v>
      </c>
      <c r="T103" s="295">
        <f t="shared" si="44"/>
        <v>0</v>
      </c>
      <c r="U103" s="295">
        <f t="shared" si="44"/>
        <v>0</v>
      </c>
      <c r="V103" s="295">
        <f t="shared" si="44"/>
        <v>0</v>
      </c>
      <c r="W103" s="295">
        <f t="shared" si="44"/>
        <v>0</v>
      </c>
      <c r="X103" s="295">
        <f t="shared" si="44"/>
        <v>0</v>
      </c>
      <c r="Y103" s="295">
        <f t="shared" si="44"/>
        <v>0</v>
      </c>
      <c r="Z103" s="295">
        <f t="shared" si="44"/>
        <v>0</v>
      </c>
      <c r="AA103" s="295">
        <f t="shared" si="44"/>
        <v>0</v>
      </c>
      <c r="AB103" s="295">
        <f t="shared" si="44"/>
        <v>0</v>
      </c>
      <c r="AC103" s="295">
        <f t="shared" si="44"/>
        <v>0</v>
      </c>
      <c r="AD103" s="295">
        <f t="shared" si="44"/>
        <v>0</v>
      </c>
      <c r="AE103" s="295">
        <f t="shared" si="44"/>
        <v>0</v>
      </c>
      <c r="AF103" s="295">
        <f t="shared" si="44"/>
        <v>0</v>
      </c>
      <c r="AG103" s="295">
        <f t="shared" si="44"/>
        <v>0</v>
      </c>
      <c r="AH103" s="295">
        <f t="shared" si="44"/>
        <v>0</v>
      </c>
      <c r="AI103" s="295">
        <f t="shared" si="44"/>
        <v>0</v>
      </c>
      <c r="AJ103" s="295">
        <f t="shared" si="44"/>
        <v>0</v>
      </c>
      <c r="AK103" s="295">
        <f t="shared" si="44"/>
        <v>0</v>
      </c>
      <c r="AL103" s="295">
        <f t="shared" si="44"/>
        <v>0</v>
      </c>
      <c r="AM103" s="295">
        <f t="shared" si="44"/>
        <v>0</v>
      </c>
      <c r="AN103" s="295">
        <f t="shared" si="44"/>
        <v>0</v>
      </c>
      <c r="AO103" s="295">
        <f t="shared" si="44"/>
        <v>0</v>
      </c>
      <c r="AP103" s="295">
        <f t="shared" si="44"/>
        <v>0</v>
      </c>
      <c r="AQ103" s="295">
        <f t="shared" si="44"/>
        <v>0</v>
      </c>
      <c r="AR103" s="295">
        <f t="shared" si="44"/>
        <v>0</v>
      </c>
      <c r="AS103" s="295">
        <f t="shared" si="44"/>
        <v>0</v>
      </c>
      <c r="AT103" s="295">
        <f t="shared" si="44"/>
        <v>0</v>
      </c>
      <c r="AU103" s="295">
        <f t="shared" si="44"/>
        <v>0</v>
      </c>
      <c r="AV103" s="295">
        <f t="shared" si="44"/>
        <v>0</v>
      </c>
      <c r="AW103" s="295">
        <f t="shared" si="44"/>
        <v>0</v>
      </c>
      <c r="AX103" s="295">
        <f t="shared" si="44"/>
        <v>0</v>
      </c>
      <c r="AY103" s="295">
        <f t="shared" si="44"/>
        <v>0</v>
      </c>
      <c r="AZ103" s="295">
        <f t="shared" si="44"/>
        <v>0</v>
      </c>
      <c r="BA103" s="295">
        <f t="shared" si="44"/>
        <v>0</v>
      </c>
      <c r="BB103" s="295">
        <f t="shared" si="44"/>
        <v>0</v>
      </c>
      <c r="BC103" s="295">
        <f t="shared" si="44"/>
        <v>0</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Não</v>
      </c>
      <c r="D107" s="306">
        <f>D52</f>
        <v>0</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0</v>
      </c>
      <c r="G109" s="308">
        <f>IF(G54&gt;0,'R&amp;C-Painel de Controle'!$O69+'R&amp;C-Painel de Controle'!$P69*G54/1000000,0)</f>
        <v>0</v>
      </c>
      <c r="H109" s="308">
        <f>IF(H54&gt;0,'R&amp;C-Painel de Controle'!$O69+'R&amp;C-Painel de Controle'!$P69*H54/1000000,0)</f>
        <v>0</v>
      </c>
      <c r="I109" s="308">
        <f>IF(I54&gt;0,'R&amp;C-Painel de Controle'!$O69+'R&amp;C-Painel de Controle'!$P69*I54/1000000,0)</f>
        <v>0</v>
      </c>
      <c r="J109" s="308">
        <f>IF(J54&gt;0,'R&amp;C-Painel de Controle'!$O69+'R&amp;C-Painel de Controle'!$P69*J54/1000000,0)</f>
        <v>0</v>
      </c>
      <c r="K109" s="308">
        <f>IF(K54&gt;0,'R&amp;C-Painel de Controle'!$O69+'R&amp;C-Painel de Controle'!$P69*K54/1000000,0)</f>
        <v>0</v>
      </c>
      <c r="L109" s="308">
        <f>IF(L54&gt;0,'R&amp;C-Painel de Controle'!$O69+'R&amp;C-Painel de Controle'!$P69*L54/1000000,0)</f>
        <v>0</v>
      </c>
      <c r="M109" s="308">
        <f>IF(M54&gt;0,'R&amp;C-Painel de Controle'!$O69+'R&amp;C-Painel de Controle'!$P69*M54/1000000,0)</f>
        <v>0</v>
      </c>
      <c r="N109" s="308">
        <f>IF(N54&gt;0,'R&amp;C-Painel de Controle'!$O69+'R&amp;C-Painel de Controle'!$P69*N54/1000000,0)</f>
        <v>0</v>
      </c>
      <c r="O109" s="308">
        <f>IF(O54&gt;0,'R&amp;C-Painel de Controle'!$O69+'R&amp;C-Painel de Controle'!$P69*O54/1000000,0)</f>
        <v>0</v>
      </c>
      <c r="P109" s="308">
        <f>IF(P54&gt;0,'R&amp;C-Painel de Controle'!$O69+'R&amp;C-Painel de Controle'!$P69*P54/1000000,0)</f>
        <v>0</v>
      </c>
      <c r="Q109" s="308">
        <f>IF(Q54&gt;0,'R&amp;C-Painel de Controle'!$O69+'R&amp;C-Painel de Controle'!$P69*Q54/1000000,0)</f>
        <v>0</v>
      </c>
      <c r="R109" s="295">
        <f t="shared" ref="R109:BC109" si="46">Q109</f>
        <v>0</v>
      </c>
      <c r="S109" s="295">
        <f t="shared" si="46"/>
        <v>0</v>
      </c>
      <c r="T109" s="295">
        <f t="shared" si="46"/>
        <v>0</v>
      </c>
      <c r="U109" s="295">
        <f t="shared" si="46"/>
        <v>0</v>
      </c>
      <c r="V109" s="295">
        <f t="shared" si="46"/>
        <v>0</v>
      </c>
      <c r="W109" s="295">
        <f t="shared" si="46"/>
        <v>0</v>
      </c>
      <c r="X109" s="295">
        <f t="shared" si="46"/>
        <v>0</v>
      </c>
      <c r="Y109" s="295">
        <f t="shared" si="46"/>
        <v>0</v>
      </c>
      <c r="Z109" s="295">
        <f t="shared" si="46"/>
        <v>0</v>
      </c>
      <c r="AA109" s="295">
        <f t="shared" si="46"/>
        <v>0</v>
      </c>
      <c r="AB109" s="295">
        <f t="shared" si="46"/>
        <v>0</v>
      </c>
      <c r="AC109" s="295">
        <f t="shared" si="46"/>
        <v>0</v>
      </c>
      <c r="AD109" s="295">
        <f t="shared" si="46"/>
        <v>0</v>
      </c>
      <c r="AE109" s="295">
        <f t="shared" si="46"/>
        <v>0</v>
      </c>
      <c r="AF109" s="295">
        <f t="shared" si="46"/>
        <v>0</v>
      </c>
      <c r="AG109" s="295">
        <f t="shared" si="46"/>
        <v>0</v>
      </c>
      <c r="AH109" s="295">
        <f t="shared" si="46"/>
        <v>0</v>
      </c>
      <c r="AI109" s="295">
        <f t="shared" si="46"/>
        <v>0</v>
      </c>
      <c r="AJ109" s="295">
        <f t="shared" si="46"/>
        <v>0</v>
      </c>
      <c r="AK109" s="295">
        <f t="shared" si="46"/>
        <v>0</v>
      </c>
      <c r="AL109" s="295">
        <f t="shared" si="46"/>
        <v>0</v>
      </c>
      <c r="AM109" s="295">
        <f t="shared" si="46"/>
        <v>0</v>
      </c>
      <c r="AN109" s="295">
        <f t="shared" si="46"/>
        <v>0</v>
      </c>
      <c r="AO109" s="295">
        <f t="shared" si="46"/>
        <v>0</v>
      </c>
      <c r="AP109" s="295">
        <f t="shared" si="46"/>
        <v>0</v>
      </c>
      <c r="AQ109" s="295">
        <f t="shared" si="46"/>
        <v>0</v>
      </c>
      <c r="AR109" s="295">
        <f t="shared" si="46"/>
        <v>0</v>
      </c>
      <c r="AS109" s="295">
        <f t="shared" si="46"/>
        <v>0</v>
      </c>
      <c r="AT109" s="295">
        <f t="shared" si="46"/>
        <v>0</v>
      </c>
      <c r="AU109" s="295">
        <f t="shared" si="46"/>
        <v>0</v>
      </c>
      <c r="AV109" s="295">
        <f t="shared" si="46"/>
        <v>0</v>
      </c>
      <c r="AW109" s="295">
        <f t="shared" si="46"/>
        <v>0</v>
      </c>
      <c r="AX109" s="295">
        <f t="shared" si="46"/>
        <v>0</v>
      </c>
      <c r="AY109" s="295">
        <f t="shared" si="46"/>
        <v>0</v>
      </c>
      <c r="AZ109" s="295">
        <f t="shared" si="46"/>
        <v>0</v>
      </c>
      <c r="BA109" s="295">
        <f t="shared" si="46"/>
        <v>0</v>
      </c>
      <c r="BB109" s="295">
        <f t="shared" si="46"/>
        <v>0</v>
      </c>
      <c r="BC109" s="295">
        <f t="shared" si="46"/>
        <v>0</v>
      </c>
      <c r="BD109" s="295"/>
      <c r="BE109" s="295"/>
      <c r="BF109" s="295"/>
    </row>
    <row r="110" spans="2:58" s="197" customFormat="1" ht="18" hidden="1" customHeight="1" outlineLevel="1" x14ac:dyDescent="0.25">
      <c r="B110" s="871" t="str">
        <f>B83</f>
        <v>Incineração</v>
      </c>
      <c r="C110" s="306" t="str">
        <f>C55</f>
        <v>Sim</v>
      </c>
      <c r="D110" s="306">
        <f>D55</f>
        <v>77469.9453125</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24.533636228949653</v>
      </c>
      <c r="G112" s="308">
        <f>IF(G57&gt;0,'R&amp;C-Painel de Controle'!$O72+'R&amp;C-Painel de Controle'!$P72*G57/1000000,0)</f>
        <v>24.533636228949653</v>
      </c>
      <c r="H112" s="308">
        <f>IF(H57&gt;0,'R&amp;C-Painel de Controle'!$O72+'R&amp;C-Painel de Controle'!$P72*H57/1000000,0)</f>
        <v>24.533636228949653</v>
      </c>
      <c r="I112" s="308">
        <f>IF(I57&gt;0,'R&amp;C-Painel de Controle'!$O72+'R&amp;C-Painel de Controle'!$P72*I57/1000000,0)</f>
        <v>24.533636228949653</v>
      </c>
      <c r="J112" s="308">
        <f>IF(J57&gt;0,'R&amp;C-Painel de Controle'!$O72+'R&amp;C-Painel de Controle'!$P72*J57/1000000,0)</f>
        <v>24.533636228949653</v>
      </c>
      <c r="K112" s="308">
        <f>IF(K57&gt;0,'R&amp;C-Painel de Controle'!$O72+'R&amp;C-Painel de Controle'!$P72*K57/1000000,0)</f>
        <v>24.533636228949653</v>
      </c>
      <c r="L112" s="308">
        <f>IF(L57&gt;0,'R&amp;C-Painel de Controle'!$O72+'R&amp;C-Painel de Controle'!$P72*L57/1000000,0)</f>
        <v>24.533636228949653</v>
      </c>
      <c r="M112" s="308">
        <f>IF(M57&gt;0,'R&amp;C-Painel de Controle'!$O72+'R&amp;C-Painel de Controle'!$P72*M57/1000000,0)</f>
        <v>24.533636228949653</v>
      </c>
      <c r="N112" s="308">
        <f>IF(N57&gt;0,'R&amp;C-Painel de Controle'!$O72+'R&amp;C-Painel de Controle'!$P72*N57/1000000,0)</f>
        <v>24.533636228949653</v>
      </c>
      <c r="O112" s="308">
        <f>IF(O57&gt;0,'R&amp;C-Painel de Controle'!$O72+'R&amp;C-Painel de Controle'!$P72*O57/1000000,0)</f>
        <v>24.533636228949653</v>
      </c>
      <c r="P112" s="308">
        <f>IF(P57&gt;0,'R&amp;C-Painel de Controle'!$O72+'R&amp;C-Painel de Controle'!$P72*P57/1000000,0)</f>
        <v>24.533636228949653</v>
      </c>
      <c r="Q112" s="308">
        <f>IF(Q57&gt;0,'R&amp;C-Painel de Controle'!$O72+'R&amp;C-Painel de Controle'!$P72*Q57/1000000,0)</f>
        <v>24.533636228949653</v>
      </c>
      <c r="R112" s="295">
        <f t="shared" ref="R112:BC112" si="47">Q112</f>
        <v>24.533636228949653</v>
      </c>
      <c r="S112" s="295">
        <f t="shared" si="47"/>
        <v>24.533636228949653</v>
      </c>
      <c r="T112" s="295">
        <f t="shared" si="47"/>
        <v>24.533636228949653</v>
      </c>
      <c r="U112" s="295">
        <f t="shared" si="47"/>
        <v>24.533636228949653</v>
      </c>
      <c r="V112" s="295">
        <f t="shared" si="47"/>
        <v>24.533636228949653</v>
      </c>
      <c r="W112" s="295">
        <f t="shared" si="47"/>
        <v>24.533636228949653</v>
      </c>
      <c r="X112" s="295">
        <f t="shared" si="47"/>
        <v>24.533636228949653</v>
      </c>
      <c r="Y112" s="295">
        <f t="shared" si="47"/>
        <v>24.533636228949653</v>
      </c>
      <c r="Z112" s="295">
        <f t="shared" si="47"/>
        <v>24.533636228949653</v>
      </c>
      <c r="AA112" s="295">
        <f t="shared" si="47"/>
        <v>24.533636228949653</v>
      </c>
      <c r="AB112" s="295">
        <f t="shared" si="47"/>
        <v>24.533636228949653</v>
      </c>
      <c r="AC112" s="295">
        <f t="shared" si="47"/>
        <v>24.533636228949653</v>
      </c>
      <c r="AD112" s="295">
        <f t="shared" si="47"/>
        <v>24.533636228949653</v>
      </c>
      <c r="AE112" s="295">
        <f t="shared" si="47"/>
        <v>24.533636228949653</v>
      </c>
      <c r="AF112" s="295">
        <f t="shared" si="47"/>
        <v>24.533636228949653</v>
      </c>
      <c r="AG112" s="295">
        <f t="shared" si="47"/>
        <v>24.533636228949653</v>
      </c>
      <c r="AH112" s="295">
        <f t="shared" si="47"/>
        <v>24.533636228949653</v>
      </c>
      <c r="AI112" s="295">
        <f t="shared" si="47"/>
        <v>24.533636228949653</v>
      </c>
      <c r="AJ112" s="295">
        <f t="shared" si="47"/>
        <v>24.533636228949653</v>
      </c>
      <c r="AK112" s="295">
        <f t="shared" si="47"/>
        <v>24.533636228949653</v>
      </c>
      <c r="AL112" s="295">
        <f t="shared" si="47"/>
        <v>24.533636228949653</v>
      </c>
      <c r="AM112" s="295">
        <f t="shared" si="47"/>
        <v>24.533636228949653</v>
      </c>
      <c r="AN112" s="295">
        <f t="shared" si="47"/>
        <v>24.533636228949653</v>
      </c>
      <c r="AO112" s="295">
        <f t="shared" si="47"/>
        <v>24.533636228949653</v>
      </c>
      <c r="AP112" s="295">
        <f t="shared" si="47"/>
        <v>24.533636228949653</v>
      </c>
      <c r="AQ112" s="295">
        <f t="shared" si="47"/>
        <v>24.533636228949653</v>
      </c>
      <c r="AR112" s="295">
        <f t="shared" si="47"/>
        <v>24.533636228949653</v>
      </c>
      <c r="AS112" s="295">
        <f t="shared" si="47"/>
        <v>24.533636228949653</v>
      </c>
      <c r="AT112" s="295">
        <f t="shared" si="47"/>
        <v>24.533636228949653</v>
      </c>
      <c r="AU112" s="295">
        <f t="shared" si="47"/>
        <v>24.533636228949653</v>
      </c>
      <c r="AV112" s="295">
        <f t="shared" si="47"/>
        <v>24.533636228949653</v>
      </c>
      <c r="AW112" s="295">
        <f t="shared" si="47"/>
        <v>24.533636228949653</v>
      </c>
      <c r="AX112" s="295">
        <f t="shared" si="47"/>
        <v>24.533636228949653</v>
      </c>
      <c r="AY112" s="295">
        <f t="shared" si="47"/>
        <v>24.533636228949653</v>
      </c>
      <c r="AZ112" s="295">
        <f t="shared" si="47"/>
        <v>24.533636228949653</v>
      </c>
      <c r="BA112" s="295">
        <f t="shared" si="47"/>
        <v>24.533636228949653</v>
      </c>
      <c r="BB112" s="295">
        <f t="shared" si="47"/>
        <v>24.533636228949653</v>
      </c>
      <c r="BC112" s="295">
        <f t="shared" si="47"/>
        <v>24.533636228949653</v>
      </c>
      <c r="BD112" s="295"/>
      <c r="BE112" s="295"/>
      <c r="BF112" s="295"/>
    </row>
    <row r="113" spans="1:58" s="197" customFormat="1" ht="18" hidden="1" customHeight="1" outlineLevel="1" x14ac:dyDescent="0.25">
      <c r="B113" s="871" t="str">
        <f>B86</f>
        <v>Aterro Sanitário</v>
      </c>
      <c r="C113" s="306" t="str">
        <f>C58</f>
        <v>Sim</v>
      </c>
      <c r="D113" s="306">
        <f>D58</f>
        <v>34273.989062500004</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4.7451106789021171</v>
      </c>
      <c r="G115" s="308">
        <f>IF(G60&gt;0,'R&amp;C-Painel de Controle'!$O75+'R&amp;C-Painel de Controle'!$P75*G60/1000000,0)</f>
        <v>4.7451106789021171</v>
      </c>
      <c r="H115" s="308">
        <f>IF(H60&gt;0,'R&amp;C-Painel de Controle'!$O75+'R&amp;C-Painel de Controle'!$P75*H60/1000000,0)</f>
        <v>4.7451106789021171</v>
      </c>
      <c r="I115" s="308">
        <f>IF(I60&gt;0,'R&amp;C-Painel de Controle'!$O75+'R&amp;C-Painel de Controle'!$P75*I60/1000000,0)</f>
        <v>4.7451106789021171</v>
      </c>
      <c r="J115" s="308">
        <f>IF(J60&gt;0,'R&amp;C-Painel de Controle'!$O75+'R&amp;C-Painel de Controle'!$P75*J60/1000000,0)</f>
        <v>4.7451106789021171</v>
      </c>
      <c r="K115" s="308">
        <f>IF(K60&gt;0,'R&amp;C-Painel de Controle'!$O75+'R&amp;C-Painel de Controle'!$P75*K60/1000000,0)</f>
        <v>4.7451106789021171</v>
      </c>
      <c r="L115" s="308">
        <f>IF(L60&gt;0,'R&amp;C-Painel de Controle'!$O75+'R&amp;C-Painel de Controle'!$P75*L60/1000000,0)</f>
        <v>4.7451106789021171</v>
      </c>
      <c r="M115" s="308">
        <f>IF(M60&gt;0,'R&amp;C-Painel de Controle'!$O75+'R&amp;C-Painel de Controle'!$P75*M60/1000000,0)</f>
        <v>4.7451106789021171</v>
      </c>
      <c r="N115" s="308">
        <f>IF(N60&gt;0,'R&amp;C-Painel de Controle'!$O75+'R&amp;C-Painel de Controle'!$P75*N60/1000000,0)</f>
        <v>4.7451106789021171</v>
      </c>
      <c r="O115" s="308">
        <f>IF(O60&gt;0,'R&amp;C-Painel de Controle'!$O75+'R&amp;C-Painel de Controle'!$P75*O60/1000000,0)</f>
        <v>4.7451106789021171</v>
      </c>
      <c r="P115" s="308">
        <f>IF(P60&gt;0,'R&amp;C-Painel de Controle'!$O75+'R&amp;C-Painel de Controle'!$P75*P60/1000000,0)</f>
        <v>4.7451106789021171</v>
      </c>
      <c r="Q115" s="308">
        <f>IF(Q60&gt;0,'R&amp;C-Painel de Controle'!$O75+'R&amp;C-Painel de Controle'!$P75*Q60/1000000,0)</f>
        <v>4.7451106789021171</v>
      </c>
      <c r="R115" s="295">
        <f t="shared" ref="R115:BC115" si="48">Q115</f>
        <v>4.7451106789021171</v>
      </c>
      <c r="S115" s="295">
        <f t="shared" si="48"/>
        <v>4.7451106789021171</v>
      </c>
      <c r="T115" s="295">
        <f t="shared" si="48"/>
        <v>4.7451106789021171</v>
      </c>
      <c r="U115" s="295">
        <f t="shared" si="48"/>
        <v>4.7451106789021171</v>
      </c>
      <c r="V115" s="295">
        <f t="shared" si="48"/>
        <v>4.7451106789021171</v>
      </c>
      <c r="W115" s="295">
        <f t="shared" si="48"/>
        <v>4.7451106789021171</v>
      </c>
      <c r="X115" s="295">
        <f t="shared" si="48"/>
        <v>4.7451106789021171</v>
      </c>
      <c r="Y115" s="295">
        <f t="shared" si="48"/>
        <v>4.7451106789021171</v>
      </c>
      <c r="Z115" s="295">
        <f t="shared" si="48"/>
        <v>4.7451106789021171</v>
      </c>
      <c r="AA115" s="295">
        <f t="shared" si="48"/>
        <v>4.7451106789021171</v>
      </c>
      <c r="AB115" s="295">
        <f t="shared" si="48"/>
        <v>4.7451106789021171</v>
      </c>
      <c r="AC115" s="295">
        <f t="shared" si="48"/>
        <v>4.7451106789021171</v>
      </c>
      <c r="AD115" s="295">
        <f t="shared" si="48"/>
        <v>4.7451106789021171</v>
      </c>
      <c r="AE115" s="295">
        <f t="shared" si="48"/>
        <v>4.7451106789021171</v>
      </c>
      <c r="AF115" s="295">
        <f t="shared" si="48"/>
        <v>4.7451106789021171</v>
      </c>
      <c r="AG115" s="295">
        <f t="shared" si="48"/>
        <v>4.7451106789021171</v>
      </c>
      <c r="AH115" s="295">
        <f t="shared" si="48"/>
        <v>4.7451106789021171</v>
      </c>
      <c r="AI115" s="295">
        <f t="shared" si="48"/>
        <v>4.7451106789021171</v>
      </c>
      <c r="AJ115" s="295">
        <f t="shared" si="48"/>
        <v>4.7451106789021171</v>
      </c>
      <c r="AK115" s="295">
        <f t="shared" si="48"/>
        <v>4.7451106789021171</v>
      </c>
      <c r="AL115" s="295">
        <f t="shared" si="48"/>
        <v>4.7451106789021171</v>
      </c>
      <c r="AM115" s="295">
        <f t="shared" si="48"/>
        <v>4.7451106789021171</v>
      </c>
      <c r="AN115" s="295">
        <f t="shared" si="48"/>
        <v>4.7451106789021171</v>
      </c>
      <c r="AO115" s="295">
        <f t="shared" si="48"/>
        <v>4.7451106789021171</v>
      </c>
      <c r="AP115" s="295">
        <f t="shared" si="48"/>
        <v>4.7451106789021171</v>
      </c>
      <c r="AQ115" s="295">
        <f t="shared" si="48"/>
        <v>4.7451106789021171</v>
      </c>
      <c r="AR115" s="295">
        <f t="shared" si="48"/>
        <v>4.7451106789021171</v>
      </c>
      <c r="AS115" s="295">
        <f t="shared" si="48"/>
        <v>4.7451106789021171</v>
      </c>
      <c r="AT115" s="295">
        <f t="shared" si="48"/>
        <v>4.7451106789021171</v>
      </c>
      <c r="AU115" s="295">
        <f t="shared" si="48"/>
        <v>4.7451106789021171</v>
      </c>
      <c r="AV115" s="295">
        <f t="shared" si="48"/>
        <v>4.7451106789021171</v>
      </c>
      <c r="AW115" s="295">
        <f t="shared" si="48"/>
        <v>4.7451106789021171</v>
      </c>
      <c r="AX115" s="295">
        <f t="shared" si="48"/>
        <v>4.7451106789021171</v>
      </c>
      <c r="AY115" s="295">
        <f t="shared" si="48"/>
        <v>4.7451106789021171</v>
      </c>
      <c r="AZ115" s="295">
        <f t="shared" si="48"/>
        <v>4.7451106789021171</v>
      </c>
      <c r="BA115" s="295">
        <f t="shared" si="48"/>
        <v>4.7451106789021171</v>
      </c>
      <c r="BB115" s="295">
        <f t="shared" si="48"/>
        <v>4.7451106789021171</v>
      </c>
      <c r="BC115" s="295">
        <f t="shared" si="48"/>
        <v>4.7451106789021171</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0.77222437499999996</v>
      </c>
      <c r="D117" s="296">
        <f>IF('R-Definição'!$E$121="Existente",D90+((('R&amp;C-Painel de Controle'!$D$88+'R&amp;C-Painel de Controle'!$D$89)*('R&amp;C-Painel de Controle'!$D$44+'R&amp;C-Painel de Controle'!$D$46))/1000000),D90+((('R&amp;C-Painel de Controle'!$D$88)*('R&amp;C-Painel de Controle'!$D$44+'R&amp;C-Painel de Controle'!$D$46))/1000000))</f>
        <v>0.77222437499999996</v>
      </c>
      <c r="E117" s="296">
        <f>IF('R-Definição'!$E$121="Existente",E90+((('R&amp;C-Painel de Controle'!$D$88+'R&amp;C-Painel de Controle'!$D$89)*('R&amp;C-Painel de Controle'!$D$44+'R&amp;C-Painel de Controle'!$D$46))/1000000),E90+((('R&amp;C-Painel de Controle'!$D$88)*('R&amp;C-Painel de Controle'!$D$44+'R&amp;C-Painel de Controle'!$D$46))/1000000))</f>
        <v>0.77222437499999996</v>
      </c>
      <c r="F117" s="296">
        <f>IF('R-Definição'!$E$121="Existente",F90+((('R&amp;C-Painel de Controle'!$D$88+'R&amp;C-Painel de Controle'!$D$89)*('R&amp;C-Painel de Controle'!$D$44+'R&amp;C-Painel de Controle'!$D$46))/1000000),F90+((('R&amp;C-Painel de Controle'!$D$88)*('R&amp;C-Painel de Controle'!$D$44+'R&amp;C-Painel de Controle'!$D$46))/1000000))</f>
        <v>37.620340259009161</v>
      </c>
      <c r="G117" s="296">
        <f>IF('R-Definição'!$E$121="Existente",G90+((('R&amp;C-Painel de Controle'!$D$88+'R&amp;C-Painel de Controle'!$D$89)*('R&amp;C-Painel de Controle'!$D$44+'R&amp;C-Painel de Controle'!$D$46))/1000000),G90+((('R&amp;C-Painel de Controle'!$D$88)*('R&amp;C-Painel de Controle'!$D$44+'R&amp;C-Painel de Controle'!$D$46))/1000000))</f>
        <v>37.620340259009161</v>
      </c>
      <c r="H117" s="296">
        <f>IF('R-Definição'!$E$121="Existente",H90+((('R&amp;C-Painel de Controle'!$D$88+'R&amp;C-Painel de Controle'!$D$89)*('R&amp;C-Painel de Controle'!$D$44+'R&amp;C-Painel de Controle'!$D$46))/1000000),H90+((('R&amp;C-Painel de Controle'!$D$88)*('R&amp;C-Painel de Controle'!$D$44+'R&amp;C-Painel de Controle'!$D$46))/1000000))</f>
        <v>37.620340259009161</v>
      </c>
      <c r="I117" s="296">
        <f>IF('R-Definição'!$E$121="Existente",I90+((('R&amp;C-Painel de Controle'!$D$88+'R&amp;C-Painel de Controle'!$D$89)*('R&amp;C-Painel de Controle'!$D$44+'R&amp;C-Painel de Controle'!$D$46))/1000000),I90+((('R&amp;C-Painel de Controle'!$D$88)*('R&amp;C-Painel de Controle'!$D$44+'R&amp;C-Painel de Controle'!$D$46))/1000000))</f>
        <v>37.620340259009161</v>
      </c>
      <c r="J117" s="296">
        <f>IF('R-Definição'!$E$121="Existente",J90+((('R&amp;C-Painel de Controle'!$D$88+'R&amp;C-Painel de Controle'!$D$89)*('R&amp;C-Painel de Controle'!$D$44+'R&amp;C-Painel de Controle'!$D$46))/1000000),J90+((('R&amp;C-Painel de Controle'!$D$88)*('R&amp;C-Painel de Controle'!$D$44+'R&amp;C-Painel de Controle'!$D$46))/1000000))</f>
        <v>37.620340259009161</v>
      </c>
      <c r="K117" s="296">
        <f>IF('R-Definição'!$E$121="Existente",K90+((('R&amp;C-Painel de Controle'!$D$88+'R&amp;C-Painel de Controle'!$D$89)*('R&amp;C-Painel de Controle'!$D$44+'R&amp;C-Painel de Controle'!$D$46))/1000000),K90+((('R&amp;C-Painel de Controle'!$D$88)*('R&amp;C-Painel de Controle'!$D$44+'R&amp;C-Painel de Controle'!$D$46))/1000000))</f>
        <v>37.620340259009161</v>
      </c>
      <c r="L117" s="296">
        <f>IF('R-Definição'!$E$121="Existente",L90+((('R&amp;C-Painel de Controle'!$D$88+'R&amp;C-Painel de Controle'!$D$89)*('R&amp;C-Painel de Controle'!$D$44+'R&amp;C-Painel de Controle'!$D$46))/1000000),L90+((('R&amp;C-Painel de Controle'!$D$88)*('R&amp;C-Painel de Controle'!$D$44+'R&amp;C-Painel de Controle'!$D$46))/1000000))</f>
        <v>37.620340259009161</v>
      </c>
      <c r="M117" s="296">
        <f>IF('R-Definição'!$E$121="Existente",M90+((('R&amp;C-Painel de Controle'!$D$88+'R&amp;C-Painel de Controle'!$D$89)*('R&amp;C-Painel de Controle'!$D$44+'R&amp;C-Painel de Controle'!$D$46))/1000000),M90+((('R&amp;C-Painel de Controle'!$D$88)*('R&amp;C-Painel de Controle'!$D$44+'R&amp;C-Painel de Controle'!$D$46))/1000000))</f>
        <v>37.620340259009161</v>
      </c>
      <c r="N117" s="296">
        <f>IF('R-Definição'!$E$121="Existente",N90+((('R&amp;C-Painel de Controle'!$D$88+'R&amp;C-Painel de Controle'!$D$89)*('R&amp;C-Painel de Controle'!$D$44+'R&amp;C-Painel de Controle'!$D$46))/1000000),N90+((('R&amp;C-Painel de Controle'!$D$88)*('R&amp;C-Painel de Controle'!$D$44+'R&amp;C-Painel de Controle'!$D$46))/1000000))</f>
        <v>37.620340259009161</v>
      </c>
      <c r="O117" s="296">
        <f>IF('R-Definição'!$E$121="Existente",O90+((('R&amp;C-Painel de Controle'!$D$88+'R&amp;C-Painel de Controle'!$D$89)*('R&amp;C-Painel de Controle'!$D$44+'R&amp;C-Painel de Controle'!$D$46))/1000000),O90+((('R&amp;C-Painel de Controle'!$D$88)*('R&amp;C-Painel de Controle'!$D$44+'R&amp;C-Painel de Controle'!$D$46))/1000000))</f>
        <v>37.620340259009161</v>
      </c>
      <c r="P117" s="296">
        <f>IF('R-Definição'!$E$121="Existente",P90+((('R&amp;C-Painel de Controle'!$D$88+'R&amp;C-Painel de Controle'!$D$89)*('R&amp;C-Painel de Controle'!$D$44+'R&amp;C-Painel de Controle'!$D$46))/1000000),P90+((('R&amp;C-Painel de Controle'!$D$88)*('R&amp;C-Painel de Controle'!$D$44+'R&amp;C-Painel de Controle'!$D$46))/1000000))</f>
        <v>37.620340259009161</v>
      </c>
      <c r="Q117" s="296">
        <f>IF('R-Definição'!$E$121="Existente",Q90+((('R&amp;C-Painel de Controle'!$D$88+'R&amp;C-Painel de Controle'!$D$89)*('R&amp;C-Painel de Controle'!$D$44+'R&amp;C-Painel de Controle'!$D$46))/1000000),Q90+((('R&amp;C-Painel de Controle'!$D$88)*('R&amp;C-Painel de Controle'!$D$44+'R&amp;C-Painel de Controle'!$D$46))/1000000))</f>
        <v>37.620340259009161</v>
      </c>
      <c r="R117" s="296">
        <f>IF('R-Definição'!$E$121="Existente",R90+((('R&amp;C-Painel de Controle'!$D$88+'R&amp;C-Painel de Controle'!$D$89)*('R&amp;C-Painel de Controle'!$D$44+'R&amp;C-Painel de Controle'!$D$46))/1000000),R90+((('R&amp;C-Painel de Controle'!$D$88)*('R&amp;C-Painel de Controle'!$D$44+'R&amp;C-Painel de Controle'!$D$46))/1000000))</f>
        <v>37.620340259009161</v>
      </c>
      <c r="S117" s="296">
        <f>IF('R-Definição'!$E$121="Existente",S90+((('R&amp;C-Painel de Controle'!$D$88+'R&amp;C-Painel de Controle'!$D$89)*('R&amp;C-Painel de Controle'!$D$44+'R&amp;C-Painel de Controle'!$D$46))/1000000),S90+((('R&amp;C-Painel de Controle'!$D$88)*('R&amp;C-Painel de Controle'!$D$44+'R&amp;C-Painel de Controle'!$D$46))/1000000))</f>
        <v>37.620340259009161</v>
      </c>
      <c r="T117" s="296">
        <f>IF('R-Definição'!$E$121="Existente",T90+((('R&amp;C-Painel de Controle'!$D$88+'R&amp;C-Painel de Controle'!$D$89)*('R&amp;C-Painel de Controle'!$D$44+'R&amp;C-Painel de Controle'!$D$46))/1000000),T90+((('R&amp;C-Painel de Controle'!$D$88)*('R&amp;C-Painel de Controle'!$D$44+'R&amp;C-Painel de Controle'!$D$46))/1000000))</f>
        <v>37.620340259009161</v>
      </c>
      <c r="U117" s="296">
        <f>IF('R-Definição'!$E$121="Existente",U90+((('R&amp;C-Painel de Controle'!$D$88+'R&amp;C-Painel de Controle'!$D$89)*('R&amp;C-Painel de Controle'!$D$44+'R&amp;C-Painel de Controle'!$D$46))/1000000),U90+((('R&amp;C-Painel de Controle'!$D$88)*('R&amp;C-Painel de Controle'!$D$44+'R&amp;C-Painel de Controle'!$D$46))/1000000))</f>
        <v>37.620340259009161</v>
      </c>
      <c r="V117" s="296">
        <f>IF('R-Definição'!$E$121="Existente",V90+((('R&amp;C-Painel de Controle'!$D$88+'R&amp;C-Painel de Controle'!$D$89)*('R&amp;C-Painel de Controle'!$D$44+'R&amp;C-Painel de Controle'!$D$46))/1000000),V90+((('R&amp;C-Painel de Controle'!$D$88)*('R&amp;C-Painel de Controle'!$D$44+'R&amp;C-Painel de Controle'!$D$46))/1000000))</f>
        <v>37.620340259009161</v>
      </c>
      <c r="W117" s="296">
        <f>IF('R-Definição'!$E$121="Existente",W90+((('R&amp;C-Painel de Controle'!$D$88+'R&amp;C-Painel de Controle'!$D$89)*('R&amp;C-Painel de Controle'!$D$44+'R&amp;C-Painel de Controle'!$D$46))/1000000),W90+((('R&amp;C-Painel de Controle'!$D$88)*('R&amp;C-Painel de Controle'!$D$44+'R&amp;C-Painel de Controle'!$D$46))/1000000))</f>
        <v>37.620340259009161</v>
      </c>
      <c r="X117" s="296">
        <f>IF('R-Definição'!$E$121="Existente",X90+((('R&amp;C-Painel de Controle'!$D$88+'R&amp;C-Painel de Controle'!$D$89)*('R&amp;C-Painel de Controle'!$D$44+'R&amp;C-Painel de Controle'!$D$46))/1000000),X90+((('R&amp;C-Painel de Controle'!$D$88)*('R&amp;C-Painel de Controle'!$D$44+'R&amp;C-Painel de Controle'!$D$46))/1000000))</f>
        <v>37.620340259009161</v>
      </c>
      <c r="Y117" s="296">
        <f>IF('R-Definição'!$E$121="Existente",Y90+((('R&amp;C-Painel de Controle'!$D$88+'R&amp;C-Painel de Controle'!$D$89)*('R&amp;C-Painel de Controle'!$D$44+'R&amp;C-Painel de Controle'!$D$46))/1000000),Y90+((('R&amp;C-Painel de Controle'!$D$88)*('R&amp;C-Painel de Controle'!$D$44+'R&amp;C-Painel de Controle'!$D$46))/1000000))</f>
        <v>37.620340259009161</v>
      </c>
      <c r="Z117" s="296">
        <f>IF('R-Definição'!$E$121="Existente",Z90+((('R&amp;C-Painel de Controle'!$D$88+'R&amp;C-Painel de Controle'!$D$89)*('R&amp;C-Painel de Controle'!$D$44+'R&amp;C-Painel de Controle'!$D$46))/1000000),Z90+((('R&amp;C-Painel de Controle'!$D$88)*('R&amp;C-Painel de Controle'!$D$44+'R&amp;C-Painel de Controle'!$D$46))/1000000))</f>
        <v>37.620340259009161</v>
      </c>
      <c r="AA117" s="296">
        <f>IF('R-Definição'!$E$121="Existente",AA90+((('R&amp;C-Painel de Controle'!$D$88+'R&amp;C-Painel de Controle'!$D$89)*('R&amp;C-Painel de Controle'!$D$44+'R&amp;C-Painel de Controle'!$D$46))/1000000),AA90+((('R&amp;C-Painel de Controle'!$D$88)*('R&amp;C-Painel de Controle'!$D$44+'R&amp;C-Painel de Controle'!$D$46))/1000000))</f>
        <v>37.620340259009161</v>
      </c>
      <c r="AB117" s="296">
        <f>IF('R-Definição'!$E$121="Existente",AB90+((('R&amp;C-Painel de Controle'!$D$88+'R&amp;C-Painel de Controle'!$D$89)*('R&amp;C-Painel de Controle'!$D$44+'R&amp;C-Painel de Controle'!$D$46))/1000000),AB90+((('R&amp;C-Painel de Controle'!$D$88)*('R&amp;C-Painel de Controle'!$D$44+'R&amp;C-Painel de Controle'!$D$46))/1000000))</f>
        <v>37.620340259009161</v>
      </c>
      <c r="AC117" s="296">
        <f>IF('R-Definição'!$E$121="Existente",AC90+((('R&amp;C-Painel de Controle'!$D$88+'R&amp;C-Painel de Controle'!$D$89)*('R&amp;C-Painel de Controle'!$D$44+'R&amp;C-Painel de Controle'!$D$46))/1000000),AC90+((('R&amp;C-Painel de Controle'!$D$88)*('R&amp;C-Painel de Controle'!$D$44+'R&amp;C-Painel de Controle'!$D$46))/1000000))</f>
        <v>37.620340259009161</v>
      </c>
      <c r="AD117" s="296">
        <f>IF('R-Definição'!$E$121="Existente",AD90+((('R&amp;C-Painel de Controle'!$D$88+'R&amp;C-Painel de Controle'!$D$89)*('R&amp;C-Painel de Controle'!$D$44+'R&amp;C-Painel de Controle'!$D$46))/1000000),AD90+((('R&amp;C-Painel de Controle'!$D$88)*('R&amp;C-Painel de Controle'!$D$44+'R&amp;C-Painel de Controle'!$D$46))/1000000))</f>
        <v>37.620340259009161</v>
      </c>
      <c r="AE117" s="296">
        <f>IF('R-Definição'!$E$121="Existente",AE90+((('R&amp;C-Painel de Controle'!$D$88+'R&amp;C-Painel de Controle'!$D$89)*('R&amp;C-Painel de Controle'!$D$44+'R&amp;C-Painel de Controle'!$D$46))/1000000),AE90+((('R&amp;C-Painel de Controle'!$D$88)*('R&amp;C-Painel de Controle'!$D$44+'R&amp;C-Painel de Controle'!$D$46))/1000000))</f>
        <v>37.620340259009161</v>
      </c>
      <c r="AF117" s="296">
        <f>IF('R-Definição'!$E$121="Existente",AF90+((('R&amp;C-Painel de Controle'!$D$88+'R&amp;C-Painel de Controle'!$D$89)*('R&amp;C-Painel de Controle'!$D$44+'R&amp;C-Painel de Controle'!$D$46))/1000000),AF90+((('R&amp;C-Painel de Controle'!$D$88)*('R&amp;C-Painel de Controle'!$D$44+'R&amp;C-Painel de Controle'!$D$46))/1000000))</f>
        <v>37.620340259009161</v>
      </c>
      <c r="AG117" s="296">
        <f>IF('R-Definição'!$E$121="Existente",AG90+((('R&amp;C-Painel de Controle'!$D$88+'R&amp;C-Painel de Controle'!$D$89)*('R&amp;C-Painel de Controle'!$D$44+'R&amp;C-Painel de Controle'!$D$46))/1000000),AG90+((('R&amp;C-Painel de Controle'!$D$88)*('R&amp;C-Painel de Controle'!$D$44+'R&amp;C-Painel de Controle'!$D$46))/1000000))</f>
        <v>37.620340259009161</v>
      </c>
      <c r="AH117" s="296">
        <f>IF('R-Definição'!$E$121="Existente",AH90+((('R&amp;C-Painel de Controle'!$D$88+'R&amp;C-Painel de Controle'!$D$89)*('R&amp;C-Painel de Controle'!$D$44+'R&amp;C-Painel de Controle'!$D$46))/1000000),AH90+((('R&amp;C-Painel de Controle'!$D$88)*('R&amp;C-Painel de Controle'!$D$44+'R&amp;C-Painel de Controle'!$D$46))/1000000))</f>
        <v>37.620340259009161</v>
      </c>
      <c r="AI117" s="296">
        <f>IF('R-Definição'!$E$121="Existente",AI90+((('R&amp;C-Painel de Controle'!$D$88+'R&amp;C-Painel de Controle'!$D$89)*('R&amp;C-Painel de Controle'!$D$44+'R&amp;C-Painel de Controle'!$D$46))/1000000),AI90+((('R&amp;C-Painel de Controle'!$D$88)*('R&amp;C-Painel de Controle'!$D$44+'R&amp;C-Painel de Controle'!$D$46))/1000000))</f>
        <v>37.620340259009161</v>
      </c>
      <c r="AJ117" s="296">
        <f>IF('R-Definição'!$E$121="Existente",AJ90+((('R&amp;C-Painel de Controle'!$D$88+'R&amp;C-Painel de Controle'!$D$89)*('R&amp;C-Painel de Controle'!$D$44+'R&amp;C-Painel de Controle'!$D$46))/1000000),AJ90+((('R&amp;C-Painel de Controle'!$D$88)*('R&amp;C-Painel de Controle'!$D$44+'R&amp;C-Painel de Controle'!$D$46))/1000000))</f>
        <v>37.620340259009161</v>
      </c>
      <c r="AK117" s="296">
        <f>IF('R-Definição'!$E$121="Existente",AK90+((('R&amp;C-Painel de Controle'!$D$88+'R&amp;C-Painel de Controle'!$D$89)*('R&amp;C-Painel de Controle'!$D$44+'R&amp;C-Painel de Controle'!$D$46))/1000000),AK90+((('R&amp;C-Painel de Controle'!$D$88)*('R&amp;C-Painel de Controle'!$D$44+'R&amp;C-Painel de Controle'!$D$46))/1000000))</f>
        <v>37.620340259009161</v>
      </c>
      <c r="AL117" s="296">
        <f>IF('R-Definição'!$E$121="Existente",AL90+((('R&amp;C-Painel de Controle'!$D$88+'R&amp;C-Painel de Controle'!$D$89)*('R&amp;C-Painel de Controle'!$D$44+'R&amp;C-Painel de Controle'!$D$46))/1000000),AL90+((('R&amp;C-Painel de Controle'!$D$88)*('R&amp;C-Painel de Controle'!$D$44+'R&amp;C-Painel de Controle'!$D$46))/1000000))</f>
        <v>37.620340259009161</v>
      </c>
      <c r="AM117" s="296">
        <f>IF('R-Definição'!$E$121="Existente",AM90+((('R&amp;C-Painel de Controle'!$D$88+'R&amp;C-Painel de Controle'!$D$89)*('R&amp;C-Painel de Controle'!$D$44+'R&amp;C-Painel de Controle'!$D$46))/1000000),AM90+((('R&amp;C-Painel de Controle'!$D$88)*('R&amp;C-Painel de Controle'!$D$44+'R&amp;C-Painel de Controle'!$D$46))/1000000))</f>
        <v>37.620340259009161</v>
      </c>
      <c r="AN117" s="296">
        <f>IF('R-Definição'!$E$121="Existente",AN90+((('R&amp;C-Painel de Controle'!$D$88+'R&amp;C-Painel de Controle'!$D$89)*('R&amp;C-Painel de Controle'!$D$44+'R&amp;C-Painel de Controle'!$D$46))/1000000),AN90+((('R&amp;C-Painel de Controle'!$D$88)*('R&amp;C-Painel de Controle'!$D$44+'R&amp;C-Painel de Controle'!$D$46))/1000000))</f>
        <v>37.620340259009161</v>
      </c>
      <c r="AO117" s="296">
        <f>IF('R-Definição'!$E$121="Existente",AO90+((('R&amp;C-Painel de Controle'!$D$88+'R&amp;C-Painel de Controle'!$D$89)*('R&amp;C-Painel de Controle'!$D$44+'R&amp;C-Painel de Controle'!$D$46))/1000000),AO90+((('R&amp;C-Painel de Controle'!$D$88)*('R&amp;C-Painel de Controle'!$D$44+'R&amp;C-Painel de Controle'!$D$46))/1000000))</f>
        <v>37.620340259009161</v>
      </c>
      <c r="AP117" s="296">
        <f>IF('R-Definição'!$E$121="Existente",AP90+((('R&amp;C-Painel de Controle'!$D$88+'R&amp;C-Painel de Controle'!$D$89)*('R&amp;C-Painel de Controle'!$D$44+'R&amp;C-Painel de Controle'!$D$46))/1000000),AP90+((('R&amp;C-Painel de Controle'!$D$88)*('R&amp;C-Painel de Controle'!$D$44+'R&amp;C-Painel de Controle'!$D$46))/1000000))</f>
        <v>37.620340259009161</v>
      </c>
      <c r="AQ117" s="296">
        <f>IF('R-Definição'!$E$121="Existente",AQ90+((('R&amp;C-Painel de Controle'!$D$88+'R&amp;C-Painel de Controle'!$D$89)*('R&amp;C-Painel de Controle'!$D$44+'R&amp;C-Painel de Controle'!$D$46))/1000000),AQ90+((('R&amp;C-Painel de Controle'!$D$88)*('R&amp;C-Painel de Controle'!$D$44+'R&amp;C-Painel de Controle'!$D$46))/1000000))</f>
        <v>37.620340259009161</v>
      </c>
      <c r="AR117" s="296">
        <f>IF('R-Definição'!$E$121="Existente",AR90+((('R&amp;C-Painel de Controle'!$D$88+'R&amp;C-Painel de Controle'!$D$89)*('R&amp;C-Painel de Controle'!$D$44+'R&amp;C-Painel de Controle'!$D$46))/1000000),AR90+((('R&amp;C-Painel de Controle'!$D$88)*('R&amp;C-Painel de Controle'!$D$44+'R&amp;C-Painel de Controle'!$D$46))/1000000))</f>
        <v>37.620340259009161</v>
      </c>
      <c r="AS117" s="296">
        <f>IF('R-Definição'!$E$121="Existente",AS90+((('R&amp;C-Painel de Controle'!$D$88+'R&amp;C-Painel de Controle'!$D$89)*('R&amp;C-Painel de Controle'!$D$44+'R&amp;C-Painel de Controle'!$D$46))/1000000),AS90+((('R&amp;C-Painel de Controle'!$D$88)*('R&amp;C-Painel de Controle'!$D$44+'R&amp;C-Painel de Controle'!$D$46))/1000000))</f>
        <v>37.620340259009161</v>
      </c>
      <c r="AT117" s="296">
        <f>IF('R-Definição'!$E$121="Existente",AT90+((('R&amp;C-Painel de Controle'!$D$88+'R&amp;C-Painel de Controle'!$D$89)*('R&amp;C-Painel de Controle'!$D$44+'R&amp;C-Painel de Controle'!$D$46))/1000000),AT90+((('R&amp;C-Painel de Controle'!$D$88)*('R&amp;C-Painel de Controle'!$D$44+'R&amp;C-Painel de Controle'!$D$46))/1000000))</f>
        <v>37.620340259009161</v>
      </c>
      <c r="AU117" s="296">
        <f>IF('R-Definição'!$E$121="Existente",AU90+((('R&amp;C-Painel de Controle'!$D$88+'R&amp;C-Painel de Controle'!$D$89)*('R&amp;C-Painel de Controle'!$D$44+'R&amp;C-Painel de Controle'!$D$46))/1000000),AU90+((('R&amp;C-Painel de Controle'!$D$88)*('R&amp;C-Painel de Controle'!$D$44+'R&amp;C-Painel de Controle'!$D$46))/1000000))</f>
        <v>37.620340259009161</v>
      </c>
      <c r="AV117" s="296">
        <f>IF('R-Definição'!$E$121="Existente",AV90+((('R&amp;C-Painel de Controle'!$D$88+'R&amp;C-Painel de Controle'!$D$89)*('R&amp;C-Painel de Controle'!$D$44+'R&amp;C-Painel de Controle'!$D$46))/1000000),AV90+((('R&amp;C-Painel de Controle'!$D$88)*('R&amp;C-Painel de Controle'!$D$44+'R&amp;C-Painel de Controle'!$D$46))/1000000))</f>
        <v>37.620340259009161</v>
      </c>
      <c r="AW117" s="296">
        <f>IF('R-Definição'!$E$121="Existente",AW90+((('R&amp;C-Painel de Controle'!$D$88+'R&amp;C-Painel de Controle'!$D$89)*('R&amp;C-Painel de Controle'!$D$44+'R&amp;C-Painel de Controle'!$D$46))/1000000),AW90+((('R&amp;C-Painel de Controle'!$D$88)*('R&amp;C-Painel de Controle'!$D$44+'R&amp;C-Painel de Controle'!$D$46))/1000000))</f>
        <v>37.620340259009161</v>
      </c>
      <c r="AX117" s="296">
        <f>IF('R-Definição'!$E$121="Existente",AX90+((('R&amp;C-Painel de Controle'!$D$88+'R&amp;C-Painel de Controle'!$D$89)*('R&amp;C-Painel de Controle'!$D$44+'R&amp;C-Painel de Controle'!$D$46))/1000000),AX90+((('R&amp;C-Painel de Controle'!$D$88)*('R&amp;C-Painel de Controle'!$D$44+'R&amp;C-Painel de Controle'!$D$46))/1000000))</f>
        <v>37.620340259009161</v>
      </c>
      <c r="AY117" s="296">
        <f>IF('R-Definição'!$E$121="Existente",AY90+((('R&amp;C-Painel de Controle'!$D$88+'R&amp;C-Painel de Controle'!$D$89)*('R&amp;C-Painel de Controle'!$D$44+'R&amp;C-Painel de Controle'!$D$46))/1000000),AY90+((('R&amp;C-Painel de Controle'!$D$88)*('R&amp;C-Painel de Controle'!$D$44+'R&amp;C-Painel de Controle'!$D$46))/1000000))</f>
        <v>37.620340259009161</v>
      </c>
      <c r="AZ117" s="296">
        <f>IF('R-Definição'!$E$121="Existente",AZ90+((('R&amp;C-Painel de Controle'!$D$88+'R&amp;C-Painel de Controle'!$D$89)*('R&amp;C-Painel de Controle'!$D$44+'R&amp;C-Painel de Controle'!$D$46))/1000000),AZ90+((('R&amp;C-Painel de Controle'!$D$88)*('R&amp;C-Painel de Controle'!$D$44+'R&amp;C-Painel de Controle'!$D$46))/1000000))</f>
        <v>37.620340259009161</v>
      </c>
      <c r="BA117" s="296">
        <f>IF('R-Definição'!$E$121="Existente",BA90+((('R&amp;C-Painel de Controle'!$D$88+'R&amp;C-Painel de Controle'!$D$89)*('R&amp;C-Painel de Controle'!$D$44+'R&amp;C-Painel de Controle'!$D$46))/1000000),BA90+((('R&amp;C-Painel de Controle'!$D$88)*('R&amp;C-Painel de Controle'!$D$44+'R&amp;C-Painel de Controle'!$D$46))/1000000))</f>
        <v>37.620340259009161</v>
      </c>
      <c r="BB117" s="296">
        <f>IF('R-Definição'!$E$121="Existente",BB90+((('R&amp;C-Painel de Controle'!$D$88+'R&amp;C-Painel de Controle'!$D$89)*('R&amp;C-Painel de Controle'!$D$44+'R&amp;C-Painel de Controle'!$D$46))/1000000),BB90+((('R&amp;C-Painel de Controle'!$D$88)*('R&amp;C-Painel de Controle'!$D$44+'R&amp;C-Painel de Controle'!$D$46))/1000000))</f>
        <v>37.620340259009161</v>
      </c>
      <c r="BC117" s="296">
        <f>IF('R-Definição'!$E$121="Existente",BC90+((('R&amp;C-Painel de Controle'!$D$88+'R&amp;C-Painel de Controle'!$D$89)*('R&amp;C-Painel de Controle'!$D$44+'R&amp;C-Painel de Controle'!$D$46))/1000000),BC90+((('R&amp;C-Painel de Controle'!$D$88)*('R&amp;C-Painel de Controle'!$D$44+'R&amp;C-Painel de Controle'!$D$46))/1000000))</f>
        <v>37.620340259009161</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1.772224375</v>
      </c>
      <c r="D119" s="296">
        <f>(D117+'R&amp;C-Painel de Controle'!$D$28)*(1+$C$118)</f>
        <v>1.772224375</v>
      </c>
      <c r="E119" s="296">
        <f>(E117+'R&amp;C-Painel de Controle'!$D$28)*(1+$C$118)</f>
        <v>1.772224375</v>
      </c>
      <c r="F119" s="296">
        <f>(F117+'R&amp;C-Painel de Controle'!$D$28)*(1+$C$118)</f>
        <v>38.620340259009161</v>
      </c>
      <c r="G119" s="296">
        <f>(G117+'R&amp;C-Painel de Controle'!$D$28)*(1+$C$118)</f>
        <v>38.620340259009161</v>
      </c>
      <c r="H119" s="296">
        <f>(H117+'R&amp;C-Painel de Controle'!$D$28)*(1+$C$118)</f>
        <v>38.620340259009161</v>
      </c>
      <c r="I119" s="296">
        <f>(I117+'R&amp;C-Painel de Controle'!$D$28)*(1+$C$118)</f>
        <v>38.620340259009161</v>
      </c>
      <c r="J119" s="296">
        <f>(J117+'R&amp;C-Painel de Controle'!$D$28)*(1+$C$118)</f>
        <v>38.620340259009161</v>
      </c>
      <c r="K119" s="296">
        <f>(K117+'R&amp;C-Painel de Controle'!$D$28)*(1+$C$118)</f>
        <v>38.620340259009161</v>
      </c>
      <c r="L119" s="296">
        <f>(L117+'R&amp;C-Painel de Controle'!$D$28)*(1+$C$118)</f>
        <v>38.620340259009161</v>
      </c>
      <c r="M119" s="296">
        <f>(M117+'R&amp;C-Painel de Controle'!$D$28)*(1+$C$118)</f>
        <v>38.620340259009161</v>
      </c>
      <c r="N119" s="296">
        <f>(N117+'R&amp;C-Painel de Controle'!$D$28)*(1+$C$118)</f>
        <v>38.620340259009161</v>
      </c>
      <c r="O119" s="296">
        <f>(O117+'R&amp;C-Painel de Controle'!$D$28)*(1+$C$118)</f>
        <v>38.620340259009161</v>
      </c>
      <c r="P119" s="296">
        <f>(P117+'R&amp;C-Painel de Controle'!$D$28)*(1+$C$118)</f>
        <v>38.620340259009161</v>
      </c>
      <c r="Q119" s="296">
        <f>(Q117+'R&amp;C-Painel de Controle'!$D$28)*(1+$C$118)</f>
        <v>38.620340259009161</v>
      </c>
      <c r="R119" s="296">
        <f>(R117+'R&amp;C-Painel de Controle'!$D$28)*(1+$C$118)</f>
        <v>38.620340259009161</v>
      </c>
      <c r="S119" s="296">
        <f>(S117+'R&amp;C-Painel de Controle'!$D$28)*(1+$C$118)</f>
        <v>38.620340259009161</v>
      </c>
      <c r="T119" s="296">
        <f>(T117+'R&amp;C-Painel de Controle'!$D$28)*(1+$C$118)</f>
        <v>38.620340259009161</v>
      </c>
      <c r="U119" s="296">
        <f>(U117+'R&amp;C-Painel de Controle'!$D$28)*(1+$C$118)</f>
        <v>38.620340259009161</v>
      </c>
      <c r="V119" s="296">
        <f>(V117+'R&amp;C-Painel de Controle'!$D$28)*(1+$C$118)</f>
        <v>38.620340259009161</v>
      </c>
      <c r="W119" s="296">
        <f>(W117+'R&amp;C-Painel de Controle'!$D$28)*(1+$C$118)</f>
        <v>38.620340259009161</v>
      </c>
      <c r="X119" s="296">
        <f>(X117+'R&amp;C-Painel de Controle'!$D$28)*(1+$C$118)</f>
        <v>38.620340259009161</v>
      </c>
      <c r="Y119" s="296">
        <f>(Y117+'R&amp;C-Painel de Controle'!$D$28)*(1+$C$118)</f>
        <v>38.620340259009161</v>
      </c>
      <c r="Z119" s="296">
        <f>(Z117+'R&amp;C-Painel de Controle'!$D$28)*(1+$C$118)</f>
        <v>38.620340259009161</v>
      </c>
      <c r="AA119" s="296">
        <f>(AA117+'R&amp;C-Painel de Controle'!$D$28)*(1+$C$118)</f>
        <v>38.620340259009161</v>
      </c>
      <c r="AB119" s="296">
        <f>(AB117+'R&amp;C-Painel de Controle'!$D$28)*(1+$C$118)</f>
        <v>38.620340259009161</v>
      </c>
      <c r="AC119" s="296">
        <f>(AC117+'R&amp;C-Painel de Controle'!$D$28)*(1+$C$118)</f>
        <v>38.620340259009161</v>
      </c>
      <c r="AD119" s="296">
        <f>(AD117+'R&amp;C-Painel de Controle'!$D$28)*(1+$C$118)</f>
        <v>38.620340259009161</v>
      </c>
      <c r="AE119" s="296">
        <f>(AE117+'R&amp;C-Painel de Controle'!$D$28)*(1+$C$118)</f>
        <v>38.620340259009161</v>
      </c>
      <c r="AF119" s="296">
        <f>(AF117+'R&amp;C-Painel de Controle'!$D$28)*(1+$C$118)</f>
        <v>38.620340259009161</v>
      </c>
      <c r="AG119" s="296">
        <f>(AG117+'R&amp;C-Painel de Controle'!$D$28)*(1+$C$118)</f>
        <v>38.620340259009161</v>
      </c>
      <c r="AH119" s="296">
        <f>(AH117+'R&amp;C-Painel de Controle'!$D$28)*(1+$C$118)</f>
        <v>38.620340259009161</v>
      </c>
      <c r="AI119" s="296">
        <f>(AI117+'R&amp;C-Painel de Controle'!$D$28)*(1+$C$118)</f>
        <v>38.620340259009161</v>
      </c>
      <c r="AJ119" s="296">
        <f>(AJ117+'R&amp;C-Painel de Controle'!$D$28)*(1+$C$118)</f>
        <v>38.620340259009161</v>
      </c>
      <c r="AK119" s="296">
        <f>(AK117+'R&amp;C-Painel de Controle'!$D$28)*(1+$C$118)</f>
        <v>38.620340259009161</v>
      </c>
      <c r="AL119" s="296">
        <f>(AL117+'R&amp;C-Painel de Controle'!$D$28)*(1+$C$118)</f>
        <v>38.620340259009161</v>
      </c>
      <c r="AM119" s="296">
        <f>(AM117+'R&amp;C-Painel de Controle'!$D$28)*(1+$C$118)</f>
        <v>38.620340259009161</v>
      </c>
      <c r="AN119" s="296">
        <f>(AN117+'R&amp;C-Painel de Controle'!$D$28)*(1+$C$118)</f>
        <v>38.620340259009161</v>
      </c>
      <c r="AO119" s="296">
        <f>(AO117+'R&amp;C-Painel de Controle'!$D$28)*(1+$C$118)</f>
        <v>38.620340259009161</v>
      </c>
      <c r="AP119" s="296">
        <f>(AP117+'R&amp;C-Painel de Controle'!$D$28)*(1+$C$118)</f>
        <v>38.620340259009161</v>
      </c>
      <c r="AQ119" s="296">
        <f>(AQ117+'R&amp;C-Painel de Controle'!$D$28)*(1+$C$118)</f>
        <v>38.620340259009161</v>
      </c>
      <c r="AR119" s="296">
        <f>(AR117+'R&amp;C-Painel de Controle'!$D$28)*(1+$C$118)</f>
        <v>38.620340259009161</v>
      </c>
      <c r="AS119" s="296">
        <f>(AS117+'R&amp;C-Painel de Controle'!$D$28)*(1+$C$118)</f>
        <v>38.620340259009161</v>
      </c>
      <c r="AT119" s="296">
        <f>(AT117+'R&amp;C-Painel de Controle'!$D$28)*(1+$C$118)</f>
        <v>38.620340259009161</v>
      </c>
      <c r="AU119" s="296">
        <f>(AU117+'R&amp;C-Painel de Controle'!$D$28)*(1+$C$118)</f>
        <v>38.620340259009161</v>
      </c>
      <c r="AV119" s="296">
        <f>(AV117+'R&amp;C-Painel de Controle'!$D$28)*(1+$C$118)</f>
        <v>38.620340259009161</v>
      </c>
      <c r="AW119" s="296">
        <f>(AW117+'R&amp;C-Painel de Controle'!$D$28)*(1+$C$118)</f>
        <v>38.620340259009161</v>
      </c>
      <c r="AX119" s="296">
        <f>(AX117+'R&amp;C-Painel de Controle'!$D$28)*(1+$C$118)</f>
        <v>38.620340259009161</v>
      </c>
      <c r="AY119" s="296">
        <f>(AY117+'R&amp;C-Painel de Controle'!$D$28)*(1+$C$118)</f>
        <v>38.620340259009161</v>
      </c>
      <c r="AZ119" s="296">
        <f>(AZ117+'R&amp;C-Painel de Controle'!$D$28)*(1+$C$118)</f>
        <v>38.620340259009161</v>
      </c>
      <c r="BA119" s="296">
        <f>(BA117+'R&amp;C-Painel de Controle'!$D$28)*(1+$C$118)</f>
        <v>38.620340259009161</v>
      </c>
      <c r="BB119" s="296">
        <f>(BB117+'R&amp;C-Painel de Controle'!$D$28)*(1+$C$118)</f>
        <v>38.620340259009161</v>
      </c>
      <c r="BC119" s="296">
        <f>(BC117+'R&amp;C-Painel de Controle'!$D$28)*(1+$C$118)</f>
        <v>38.620340259009161</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9781.25</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Não</v>
      </c>
      <c r="D129" s="306">
        <f>D98</f>
        <v>0</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0</v>
      </c>
      <c r="G131" s="315">
        <f>IF(G45&gt;0,'R&amp;C-Painel de Controle'!$O$59*(1-0.0925)*G35/1000000,0)</f>
        <v>0</v>
      </c>
      <c r="H131" s="315">
        <f>IF(H45&gt;0,'R&amp;C-Painel de Controle'!$O$59*(1-0.0925)*H35/1000000,0)</f>
        <v>0</v>
      </c>
      <c r="I131" s="315">
        <f>IF(I45&gt;0,'R&amp;C-Painel de Controle'!$O$59*(1-0.0925)*I35/1000000,0)</f>
        <v>0</v>
      </c>
      <c r="J131" s="315">
        <f>IF(J45&gt;0,'R&amp;C-Painel de Controle'!$O$59*(1-0.0925)*J35/1000000,0)</f>
        <v>0</v>
      </c>
      <c r="K131" s="315">
        <f>IF(K45&gt;0,'R&amp;C-Painel de Controle'!$O$59*(1-0.0925)*K35/1000000,0)</f>
        <v>0</v>
      </c>
      <c r="L131" s="315">
        <f>IF(L45&gt;0,'R&amp;C-Painel de Controle'!$O$59*(1-0.0925)*L35/1000000,0)</f>
        <v>0</v>
      </c>
      <c r="M131" s="315">
        <f>IF(M45&gt;0,'R&amp;C-Painel de Controle'!$O$59*(1-0.0925)*M35/1000000,0)</f>
        <v>0</v>
      </c>
      <c r="N131" s="315">
        <f>IF(N45&gt;0,'R&amp;C-Painel de Controle'!$O$59*(1-0.0925)*N35/1000000,0)</f>
        <v>0</v>
      </c>
      <c r="O131" s="315">
        <f>IF(O45&gt;0,'R&amp;C-Painel de Controle'!$O$59*(1-0.0925)*O35/1000000,0)</f>
        <v>0</v>
      </c>
      <c r="P131" s="315">
        <f>IF(P45&gt;0,'R&amp;C-Painel de Controle'!$O$59*(1-0.0925)*P35/1000000,0)</f>
        <v>0</v>
      </c>
      <c r="Q131" s="315">
        <f>IF(Q45&gt;0,'R&amp;C-Painel de Controle'!$O$59*(1-0.0925)*Q35/1000000,0)</f>
        <v>0</v>
      </c>
      <c r="R131" s="315">
        <f>IF(R45&gt;0,'R&amp;C-Painel de Controle'!$O$59*(1-0.0925)*R35/1000000,0)</f>
        <v>0</v>
      </c>
      <c r="S131" s="315">
        <f>IF(S45&gt;0,'R&amp;C-Painel de Controle'!$O$59*(1-0.0925)*S35/1000000,0)</f>
        <v>0</v>
      </c>
      <c r="T131" s="315">
        <f>IF(T45&gt;0,'R&amp;C-Painel de Controle'!$O$59*(1-0.0925)*T35/1000000,0)</f>
        <v>0</v>
      </c>
      <c r="U131" s="315">
        <f>IF(U45&gt;0,'R&amp;C-Painel de Controle'!$O$59*(1-0.0925)*U35/1000000,0)</f>
        <v>0</v>
      </c>
      <c r="V131" s="315">
        <f>IF(V45&gt;0,'R&amp;C-Painel de Controle'!$O$59*(1-0.0925)*V35/1000000,0)</f>
        <v>0</v>
      </c>
      <c r="W131" s="315">
        <f>IF(W45&gt;0,'R&amp;C-Painel de Controle'!$O$59*(1-0.0925)*W35/1000000,0)</f>
        <v>0</v>
      </c>
      <c r="X131" s="315">
        <f>IF(X45&gt;0,'R&amp;C-Painel de Controle'!$O$59*(1-0.0925)*X35/1000000,0)</f>
        <v>0</v>
      </c>
      <c r="Y131" s="315">
        <f>IF(Y45&gt;0,'R&amp;C-Painel de Controle'!$O$59*(1-0.0925)*Y35/1000000,0)</f>
        <v>0</v>
      </c>
      <c r="Z131" s="315">
        <f>IF(Z45&gt;0,'R&amp;C-Painel de Controle'!$O$59*(1-0.0925)*Z35/1000000,0)</f>
        <v>0</v>
      </c>
      <c r="AA131" s="315">
        <f>IF(AA45&gt;0,'R&amp;C-Painel de Controle'!$O$59*(1-0.0925)*AA35/1000000,0)</f>
        <v>0</v>
      </c>
      <c r="AB131" s="315">
        <f>IF(AB45&gt;0,'R&amp;C-Painel de Controle'!$O$59*(1-0.0925)*AB35/1000000,0)</f>
        <v>0</v>
      </c>
      <c r="AC131" s="315">
        <f>IF(AC45&gt;0,'R&amp;C-Painel de Controle'!$O$59*(1-0.0925)*AC35/1000000,0)</f>
        <v>0</v>
      </c>
      <c r="AD131" s="315">
        <f>IF(AD45&gt;0,'R&amp;C-Painel de Controle'!$O$59*(1-0.0925)*AD35/1000000,0)</f>
        <v>0</v>
      </c>
      <c r="AE131" s="315">
        <f>IF(AE45&gt;0,'R&amp;C-Painel de Controle'!$O$59*(1-0.0925)*AE35/1000000,0)</f>
        <v>0</v>
      </c>
      <c r="AF131" s="315">
        <f>IF(AF45&gt;0,'R&amp;C-Painel de Controle'!$O$59*(1-0.0925)*AF35/1000000,0)</f>
        <v>0</v>
      </c>
      <c r="AG131" s="315">
        <f>IF(AG45&gt;0,'R&amp;C-Painel de Controle'!$O$59*(1-0.0925)*AG35/1000000,0)</f>
        <v>0</v>
      </c>
      <c r="AH131" s="315">
        <f>IF(AH45&gt;0,'R&amp;C-Painel de Controle'!$O$59*(1-0.0925)*AH35/1000000,0)</f>
        <v>0</v>
      </c>
      <c r="AI131" s="315">
        <f>IF(AI45&gt;0,'R&amp;C-Painel de Controle'!$O$59*(1-0.0925)*AI35/1000000,0)</f>
        <v>0</v>
      </c>
      <c r="AJ131" s="315">
        <f>IF(AJ45&gt;0,'R&amp;C-Painel de Controle'!$O$59*(1-0.0925)*AJ35/1000000,0)</f>
        <v>0</v>
      </c>
      <c r="AK131" s="315">
        <f>IF(AK45&gt;0,'R&amp;C-Painel de Controle'!$O$59*(1-0.0925)*AK35/1000000,0)</f>
        <v>0</v>
      </c>
      <c r="AL131" s="315">
        <f>IF(AL45&gt;0,'R&amp;C-Painel de Controle'!$O$59*(1-0.0925)*AL35/1000000,0)</f>
        <v>0</v>
      </c>
      <c r="AM131" s="315">
        <f>IF(AM45&gt;0,'R&amp;C-Painel de Controle'!$O$59*(1-0.0925)*AM35/1000000,0)</f>
        <v>0</v>
      </c>
      <c r="AN131" s="315">
        <f>IF(AN45&gt;0,'R&amp;C-Painel de Controle'!$O$59*(1-0.0925)*AN35/1000000,0)</f>
        <v>0</v>
      </c>
      <c r="AO131" s="315">
        <f>IF(AO45&gt;0,'R&amp;C-Painel de Controle'!$O$59*(1-0.0925)*AO35/1000000,0)</f>
        <v>0</v>
      </c>
      <c r="AP131" s="315">
        <f>IF(AP45&gt;0,'R&amp;C-Painel de Controle'!$O$59*(1-0.0925)*AP35/1000000,0)</f>
        <v>0</v>
      </c>
      <c r="AQ131" s="315">
        <f>IF(AQ45&gt;0,'R&amp;C-Painel de Controle'!$O$59*(1-0.0925)*AQ35/1000000,0)</f>
        <v>0</v>
      </c>
      <c r="AR131" s="315">
        <f>IF(AR45&gt;0,'R&amp;C-Painel de Controle'!$O$59*(1-0.0925)*AR35/1000000,0)</f>
        <v>0</v>
      </c>
      <c r="AS131" s="315">
        <f>IF(AS45&gt;0,'R&amp;C-Painel de Controle'!$O$59*(1-0.0925)*AS35/1000000,0)</f>
        <v>0</v>
      </c>
      <c r="AT131" s="315">
        <f>IF(AT45&gt;0,'R&amp;C-Painel de Controle'!$O$59*(1-0.0925)*AT35/1000000,0)</f>
        <v>0</v>
      </c>
      <c r="AU131" s="315">
        <f>IF(AU45&gt;0,'R&amp;C-Painel de Controle'!$O$59*(1-0.0925)*AU35/1000000,0)</f>
        <v>0</v>
      </c>
      <c r="AV131" s="315">
        <f>IF(AV45&gt;0,'R&amp;C-Painel de Controle'!$O$59*(1-0.0925)*AV35/1000000,0)</f>
        <v>0</v>
      </c>
      <c r="AW131" s="315">
        <f>IF(AW45&gt;0,'R&amp;C-Painel de Controle'!$O$59*(1-0.0925)*AW35/1000000,0)</f>
        <v>0</v>
      </c>
      <c r="AX131" s="315">
        <f>IF(AX45&gt;0,'R&amp;C-Painel de Controle'!$O$59*(1-0.0925)*AX35/1000000,0)</f>
        <v>0</v>
      </c>
      <c r="AY131" s="315">
        <f>IF(AY45&gt;0,'R&amp;C-Painel de Controle'!$O$59*(1-0.0925)*AY35/1000000,0)</f>
        <v>0</v>
      </c>
      <c r="AZ131" s="315">
        <f>IF(AZ45&gt;0,'R&amp;C-Painel de Controle'!$O$59*(1-0.0925)*AZ35/1000000,0)</f>
        <v>0</v>
      </c>
      <c r="BA131" s="315">
        <f>IF(BA45&gt;0,'R&amp;C-Painel de Controle'!$O$59*(1-0.0925)*BA35/1000000,0)</f>
        <v>0</v>
      </c>
      <c r="BB131" s="315">
        <f>IF(BB45&gt;0,'R&amp;C-Painel de Controle'!$O$59*(1-0.0925)*BB35/1000000,0)</f>
        <v>0</v>
      </c>
      <c r="BC131" s="315">
        <f>IF(BC45&gt;0,'R&amp;C-Painel de Controle'!$O$59*(1-0.0925)*BC35/1000000,0)</f>
        <v>0</v>
      </c>
      <c r="BD131" s="295"/>
      <c r="BE131" s="295"/>
      <c r="BF131" s="295"/>
    </row>
    <row r="132" spans="2:58" s="197" customFormat="1" ht="18" hidden="1" customHeight="1" outlineLevel="1" x14ac:dyDescent="0.25">
      <c r="B132" s="871" t="str">
        <f>B101</f>
        <v>Prod. CDR TMB — Trat. Mec./Biológ.</v>
      </c>
      <c r="C132" s="306" t="str">
        <f>C101</f>
        <v>Não</v>
      </c>
      <c r="D132" s="306">
        <f>D101</f>
        <v>0</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0</v>
      </c>
      <c r="G134" s="315">
        <f>IF(G48&gt;0,'R&amp;C-Painel de Controle'!$O$62*(1-0.0925)*G35/1000000,0)</f>
        <v>0</v>
      </c>
      <c r="H134" s="315">
        <f>IF(H48&gt;0,'R&amp;C-Painel de Controle'!$O$62*(1-0.0925)*H35/1000000,0)</f>
        <v>0</v>
      </c>
      <c r="I134" s="315">
        <f>IF(I48&gt;0,'R&amp;C-Painel de Controle'!$O$62*(1-0.0925)*I35/1000000,0)</f>
        <v>0</v>
      </c>
      <c r="J134" s="315">
        <f>IF(J48&gt;0,'R&amp;C-Painel de Controle'!$O$62*(1-0.0925)*J35/1000000,0)</f>
        <v>0</v>
      </c>
      <c r="K134" s="315">
        <f>IF(K48&gt;0,'R&amp;C-Painel de Controle'!$O$62*(1-0.0925)*K35/1000000,0)</f>
        <v>0</v>
      </c>
      <c r="L134" s="315">
        <f>IF(L48&gt;0,'R&amp;C-Painel de Controle'!$O$62*(1-0.0925)*L35/1000000,0)</f>
        <v>0</v>
      </c>
      <c r="M134" s="315">
        <f>IF(M48&gt;0,'R&amp;C-Painel de Controle'!$O$62*(1-0.0925)*M35/1000000,0)</f>
        <v>0</v>
      </c>
      <c r="N134" s="315">
        <f>IF(N48&gt;0,'R&amp;C-Painel de Controle'!$O$62*(1-0.0925)*N35/1000000,0)</f>
        <v>0</v>
      </c>
      <c r="O134" s="315">
        <f>IF(O48&gt;0,'R&amp;C-Painel de Controle'!$O$62*(1-0.0925)*O35/1000000,0)</f>
        <v>0</v>
      </c>
      <c r="P134" s="315">
        <f>IF(P48&gt;0,'R&amp;C-Painel de Controle'!$O$62*(1-0.0925)*P35/1000000,0)</f>
        <v>0</v>
      </c>
      <c r="Q134" s="315">
        <f>IF(Q48&gt;0,'R&amp;C-Painel de Controle'!$O$62*(1-0.0925)*Q35/1000000,0)</f>
        <v>0</v>
      </c>
      <c r="R134" s="315">
        <f>IF(R48&gt;0,'R&amp;C-Painel de Controle'!$O$62*(1-0.0925)*R35/1000000,0)</f>
        <v>0</v>
      </c>
      <c r="S134" s="315">
        <f>IF(S48&gt;0,'R&amp;C-Painel de Controle'!$O$62*(1-0.0925)*S35/1000000,0)</f>
        <v>0</v>
      </c>
      <c r="T134" s="315">
        <f>IF(T48&gt;0,'R&amp;C-Painel de Controle'!$O$62*(1-0.0925)*T35/1000000,0)</f>
        <v>0</v>
      </c>
      <c r="U134" s="315">
        <f>IF(U48&gt;0,'R&amp;C-Painel de Controle'!$O$62*(1-0.0925)*U35/1000000,0)</f>
        <v>0</v>
      </c>
      <c r="V134" s="315">
        <f>IF(V48&gt;0,'R&amp;C-Painel de Controle'!$O$62*(1-0.0925)*V35/1000000,0)</f>
        <v>0</v>
      </c>
      <c r="W134" s="315">
        <f>IF(W48&gt;0,'R&amp;C-Painel de Controle'!$O$62*(1-0.0925)*W35/1000000,0)</f>
        <v>0</v>
      </c>
      <c r="X134" s="315">
        <f>IF(X48&gt;0,'R&amp;C-Painel de Controle'!$O$62*(1-0.0925)*X35/1000000,0)</f>
        <v>0</v>
      </c>
      <c r="Y134" s="315">
        <f>IF(Y48&gt;0,'R&amp;C-Painel de Controle'!$O$62*(1-0.0925)*Y35/1000000,0)</f>
        <v>0</v>
      </c>
      <c r="Z134" s="315">
        <f>IF(Z48&gt;0,'R&amp;C-Painel de Controle'!$O$62*(1-0.0925)*Z35/1000000,0)</f>
        <v>0</v>
      </c>
      <c r="AA134" s="315">
        <f>IF(AA48&gt;0,'R&amp;C-Painel de Controle'!$O$62*(1-0.0925)*AA35/1000000,0)</f>
        <v>0</v>
      </c>
      <c r="AB134" s="315">
        <f>IF(AB48&gt;0,'R&amp;C-Painel de Controle'!$O$62*(1-0.0925)*AB35/1000000,0)</f>
        <v>0</v>
      </c>
      <c r="AC134" s="315">
        <f>IF(AC48&gt;0,'R&amp;C-Painel de Controle'!$O$62*(1-0.0925)*AC35/1000000,0)</f>
        <v>0</v>
      </c>
      <c r="AD134" s="315">
        <f>IF(AD48&gt;0,'R&amp;C-Painel de Controle'!$O$62*(1-0.0925)*AD35/1000000,0)</f>
        <v>0</v>
      </c>
      <c r="AE134" s="315">
        <f>IF(AE48&gt;0,'R&amp;C-Painel de Controle'!$O$62*(1-0.0925)*AE35/1000000,0)</f>
        <v>0</v>
      </c>
      <c r="AF134" s="315">
        <f>IF(AF48&gt;0,'R&amp;C-Painel de Controle'!$O$62*(1-0.0925)*AF35/1000000,0)</f>
        <v>0</v>
      </c>
      <c r="AG134" s="315">
        <f>IF(AG48&gt;0,'R&amp;C-Painel de Controle'!$O$62*(1-0.0925)*AG35/1000000,0)</f>
        <v>0</v>
      </c>
      <c r="AH134" s="315">
        <f>IF(AH48&gt;0,'R&amp;C-Painel de Controle'!$O$62*(1-0.0925)*AH35/1000000,0)</f>
        <v>0</v>
      </c>
      <c r="AI134" s="315">
        <f>IF(AI48&gt;0,'R&amp;C-Painel de Controle'!$O$62*(1-0.0925)*AI35/1000000,0)</f>
        <v>0</v>
      </c>
      <c r="AJ134" s="315">
        <f>IF(AJ48&gt;0,'R&amp;C-Painel de Controle'!$O$62*(1-0.0925)*AJ35/1000000,0)</f>
        <v>0</v>
      </c>
      <c r="AK134" s="315">
        <f>IF(AK48&gt;0,'R&amp;C-Painel de Controle'!$O$62*(1-0.0925)*AK35/1000000,0)</f>
        <v>0</v>
      </c>
      <c r="AL134" s="315">
        <f>IF(AL48&gt;0,'R&amp;C-Painel de Controle'!$O$62*(1-0.0925)*AL35/1000000,0)</f>
        <v>0</v>
      </c>
      <c r="AM134" s="315">
        <f>IF(AM48&gt;0,'R&amp;C-Painel de Controle'!$O$62*(1-0.0925)*AM35/1000000,0)</f>
        <v>0</v>
      </c>
      <c r="AN134" s="315">
        <f>IF(AN48&gt;0,'R&amp;C-Painel de Controle'!$O$62*(1-0.0925)*AN35/1000000,0)</f>
        <v>0</v>
      </c>
      <c r="AO134" s="315">
        <f>IF(AO48&gt;0,'R&amp;C-Painel de Controle'!$O$62*(1-0.0925)*AO35/1000000,0)</f>
        <v>0</v>
      </c>
      <c r="AP134" s="315">
        <f>IF(AP48&gt;0,'R&amp;C-Painel de Controle'!$O$62*(1-0.0925)*AP35/1000000,0)</f>
        <v>0</v>
      </c>
      <c r="AQ134" s="315">
        <f>IF(AQ48&gt;0,'R&amp;C-Painel de Controle'!$O$62*(1-0.0925)*AQ35/1000000,0)</f>
        <v>0</v>
      </c>
      <c r="AR134" s="315">
        <f>IF(AR48&gt;0,'R&amp;C-Painel de Controle'!$O$62*(1-0.0925)*AR35/1000000,0)</f>
        <v>0</v>
      </c>
      <c r="AS134" s="315">
        <f>IF(AS48&gt;0,'R&amp;C-Painel de Controle'!$O$62*(1-0.0925)*AS35/1000000,0)</f>
        <v>0</v>
      </c>
      <c r="AT134" s="315">
        <f>IF(AT48&gt;0,'R&amp;C-Painel de Controle'!$O$62*(1-0.0925)*AT35/1000000,0)</f>
        <v>0</v>
      </c>
      <c r="AU134" s="315">
        <f>IF(AU48&gt;0,'R&amp;C-Painel de Controle'!$O$62*(1-0.0925)*AU35/1000000,0)</f>
        <v>0</v>
      </c>
      <c r="AV134" s="315">
        <f>IF(AV48&gt;0,'R&amp;C-Painel de Controle'!$O$62*(1-0.0925)*AV35/1000000,0)</f>
        <v>0</v>
      </c>
      <c r="AW134" s="315">
        <f>IF(AW48&gt;0,'R&amp;C-Painel de Controle'!$O$62*(1-0.0925)*AW35/1000000,0)</f>
        <v>0</v>
      </c>
      <c r="AX134" s="315">
        <f>IF(AX48&gt;0,'R&amp;C-Painel de Controle'!$O$62*(1-0.0925)*AX35/1000000,0)</f>
        <v>0</v>
      </c>
      <c r="AY134" s="315">
        <f>IF(AY48&gt;0,'R&amp;C-Painel de Controle'!$O$62*(1-0.0925)*AY35/1000000,0)</f>
        <v>0</v>
      </c>
      <c r="AZ134" s="315">
        <f>IF(AZ48&gt;0,'R&amp;C-Painel de Controle'!$O$62*(1-0.0925)*AZ35/1000000,0)</f>
        <v>0</v>
      </c>
      <c r="BA134" s="315">
        <f>IF(BA48&gt;0,'R&amp;C-Painel de Controle'!$O$62*(1-0.0925)*BA35/1000000,0)</f>
        <v>0</v>
      </c>
      <c r="BB134" s="315">
        <f>IF(BB48&gt;0,'R&amp;C-Painel de Controle'!$O$62*(1-0.0925)*BB35/1000000,0)</f>
        <v>0</v>
      </c>
      <c r="BC134" s="315">
        <f>IF(BC48&gt;0,'R&amp;C-Painel de Controle'!$O$62*(1-0.0925)*BC35/1000000,0)</f>
        <v>0</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Não</v>
      </c>
      <c r="D138" s="306">
        <f>D107</f>
        <v>0</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Sim</v>
      </c>
      <c r="D141" s="306">
        <f>D110</f>
        <v>77469.9453125</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26.120132354983713</v>
      </c>
      <c r="G143" s="315">
        <f>IF(G57&gt;0,'R&amp;C-Painel de Controle'!$O$71*(1-0.0925)*G35/1000000,0)</f>
        <v>26.242896977052137</v>
      </c>
      <c r="H143" s="315">
        <f>IF(H57&gt;0,'R&amp;C-Painel de Controle'!$O$71*(1-0.0925)*H35/1000000,0)</f>
        <v>26.366238592844283</v>
      </c>
      <c r="I143" s="315">
        <f>IF(I57&gt;0,'R&amp;C-Painel de Controle'!$O$71*(1-0.0925)*I35/1000000,0)</f>
        <v>26.490159914230649</v>
      </c>
      <c r="J143" s="315">
        <f>IF(J57&gt;0,'R&amp;C-Painel de Controle'!$O$71*(1-0.0925)*J35/1000000,0)</f>
        <v>26.614663665827532</v>
      </c>
      <c r="K143" s="315">
        <f>IF(K57&gt;0,'R&amp;C-Painel de Controle'!$O$71*(1-0.0925)*K35/1000000,0)</f>
        <v>26.73975258505692</v>
      </c>
      <c r="L143" s="315">
        <f>IF(L57&gt;0,'R&amp;C-Painel de Controle'!$O$71*(1-0.0925)*L35/1000000,0)</f>
        <v>26.865429422206685</v>
      </c>
      <c r="M143" s="315">
        <f>IF(M57&gt;0,'R&amp;C-Painel de Controle'!$O$71*(1-0.0925)*M35/1000000,0)</f>
        <v>26.99169694049105</v>
      </c>
      <c r="N143" s="315">
        <f>IF(N57&gt;0,'R&amp;C-Painel de Controle'!$O$71*(1-0.0925)*N35/1000000,0)</f>
        <v>27.118557916111357</v>
      </c>
      <c r="O143" s="315">
        <f>IF(O57&gt;0,'R&amp;C-Painel de Controle'!$O$71*(1-0.0925)*O35/1000000,0)</f>
        <v>27.246015138317073</v>
      </c>
      <c r="P143" s="315">
        <f>IF(P57&gt;0,'R&amp;C-Painel de Controle'!$O$71*(1-0.0925)*P35/1000000,0)</f>
        <v>27.374071409467163</v>
      </c>
      <c r="Q143" s="315">
        <f>IF(Q57&gt;0,'R&amp;C-Painel de Controle'!$O$71*(1-0.0925)*Q35/1000000,0)</f>
        <v>27.502729545091658</v>
      </c>
      <c r="R143" s="315">
        <f>IF(R57&gt;0,'R&amp;C-Painel de Controle'!$O$71*(1-0.0925)*R35/1000000,0)</f>
        <v>27.631992373953583</v>
      </c>
      <c r="S143" s="315">
        <f>IF(S57&gt;0,'R&amp;C-Painel de Controle'!$O$71*(1-0.0925)*S35/1000000,0)</f>
        <v>27.761862738111169</v>
      </c>
      <c r="T143" s="315">
        <f>IF(T57&gt;0,'R&amp;C-Painel de Controle'!$O$71*(1-0.0925)*T35/1000000,0)</f>
        <v>27.892343492980292</v>
      </c>
      <c r="U143" s="315">
        <f>IF(U57&gt;0,'R&amp;C-Painel de Controle'!$O$71*(1-0.0925)*U35/1000000,0)</f>
        <v>28.023437507397293</v>
      </c>
      <c r="V143" s="315">
        <f>IF(V57&gt;0,'R&amp;C-Painel de Controle'!$O$71*(1-0.0925)*V35/1000000,0)</f>
        <v>28.155147663682058</v>
      </c>
      <c r="W143" s="315">
        <f>IF(W57&gt;0,'R&amp;C-Painel de Controle'!$O$71*(1-0.0925)*W35/1000000,0)</f>
        <v>28.28747685770136</v>
      </c>
      <c r="X143" s="315">
        <f>IF(X57&gt;0,'R&amp;C-Painel de Controle'!$O$71*(1-0.0925)*X35/1000000,0)</f>
        <v>28.420427998932556</v>
      </c>
      <c r="Y143" s="315">
        <f>IF(Y57&gt;0,'R&amp;C-Painel de Controle'!$O$71*(1-0.0925)*Y35/1000000,0)</f>
        <v>28.554004010527535</v>
      </c>
      <c r="Z143" s="315">
        <f>IF(Z57&gt;0,'R&amp;C-Painel de Controle'!$O$71*(1-0.0925)*Z35/1000000,0)</f>
        <v>28.688207829377014</v>
      </c>
      <c r="AA143" s="315">
        <f>IF(AA57&gt;0,'R&amp;C-Painel de Controle'!$O$71*(1-0.0925)*AA35/1000000,0)</f>
        <v>28.823042406175084</v>
      </c>
      <c r="AB143" s="315">
        <f>IF(AB57&gt;0,'R&amp;C-Painel de Controle'!$O$71*(1-0.0925)*AB35/1000000,0)</f>
        <v>28.958510705484109</v>
      </c>
      <c r="AC143" s="315">
        <f>IF(AC57&gt;0,'R&amp;C-Painel de Controle'!$O$71*(1-0.0925)*AC35/1000000,0)</f>
        <v>29.094615705799882</v>
      </c>
      <c r="AD143" s="315">
        <f>IF(AD57&gt;0,'R&amp;C-Painel de Controle'!$O$71*(1-0.0925)*AD35/1000000,0)</f>
        <v>29.231360399617138</v>
      </c>
      <c r="AE143" s="315">
        <f>IF(AE57&gt;0,'R&amp;C-Painel de Controle'!$O$71*(1-0.0925)*AE35/1000000,0)</f>
        <v>29.368747793495334</v>
      </c>
      <c r="AF143" s="315">
        <f>IF(AF57&gt;0,'R&amp;C-Painel de Controle'!$O$71*(1-0.0925)*AF35/1000000,0)</f>
        <v>29.506780908124764</v>
      </c>
      <c r="AG143" s="315">
        <f>IF(AG57&gt;0,'R&amp;C-Painel de Controle'!$O$71*(1-0.0925)*AG35/1000000,0)</f>
        <v>29.645462778392947</v>
      </c>
      <c r="AH143" s="315">
        <f>IF(AH57&gt;0,'R&amp;C-Painel de Controle'!$O$71*(1-0.0925)*AH35/1000000,0)</f>
        <v>29.784796453451392</v>
      </c>
      <c r="AI143" s="315">
        <f>IF(AI57&gt;0,'R&amp;C-Painel de Controle'!$O$71*(1-0.0925)*AI35/1000000,0)</f>
        <v>29.924784996782613</v>
      </c>
      <c r="AJ143" s="315">
        <f>IF(AJ57&gt;0,'R&amp;C-Painel de Controle'!$O$71*(1-0.0925)*AJ35/1000000,0)</f>
        <v>30.065431486267485</v>
      </c>
      <c r="AK143" s="315">
        <f>IF(AK57&gt;0,'R&amp;C-Painel de Controle'!$O$71*(1-0.0925)*AK35/1000000,0)</f>
        <v>30.206739014252939</v>
      </c>
      <c r="AL143" s="315">
        <f>IF(AL57&gt;0,'R&amp;C-Painel de Controle'!$O$71*(1-0.0925)*AL35/1000000,0)</f>
        <v>30.348710687619928</v>
      </c>
      <c r="AM143" s="315">
        <f>IF(AM57&gt;0,'R&amp;C-Painel de Controle'!$O$71*(1-0.0925)*AM35/1000000,0)</f>
        <v>30.49134962785174</v>
      </c>
      <c r="AN143" s="315">
        <f>IF(AN57&gt;0,'R&amp;C-Painel de Controle'!$O$71*(1-0.0925)*AN35/1000000,0)</f>
        <v>30.634658971102642</v>
      </c>
      <c r="AO143" s="315">
        <f>IF(AO57&gt;0,'R&amp;C-Painel de Controle'!$O$71*(1-0.0925)*AO35/1000000,0)</f>
        <v>30.778641868266824</v>
      </c>
      <c r="AP143" s="315">
        <f>IF(AP57&gt;0,'R&amp;C-Painel de Controle'!$O$71*(1-0.0925)*AP35/1000000,0)</f>
        <v>30.923301485047677</v>
      </c>
      <c r="AQ143" s="315">
        <f>IF(AQ57&gt;0,'R&amp;C-Painel de Controle'!$O$71*(1-0.0925)*AQ35/1000000,0)</f>
        <v>31.068641002027395</v>
      </c>
      <c r="AR143" s="315">
        <f>IF(AR57&gt;0,'R&amp;C-Painel de Controle'!$O$71*(1-0.0925)*AR35/1000000,0)</f>
        <v>31.214663614736921</v>
      </c>
      <c r="AS143" s="315">
        <f>IF(AS57&gt;0,'R&amp;C-Painel de Controle'!$O$71*(1-0.0925)*AS35/1000000,0)</f>
        <v>31.361372533726183</v>
      </c>
      <c r="AT143" s="315">
        <f>IF(AT57&gt;0,'R&amp;C-Painel de Controle'!$O$71*(1-0.0925)*AT35/1000000,0)</f>
        <v>31.508770984634694</v>
      </c>
      <c r="AU143" s="315">
        <f>IF(AU57&gt;0,'R&amp;C-Painel de Controle'!$O$71*(1-0.0925)*AU35/1000000,0)</f>
        <v>31.656862208262474</v>
      </c>
      <c r="AV143" s="315">
        <f>IF(AV57&gt;0,'R&amp;C-Painel de Controle'!$O$71*(1-0.0925)*AV35/1000000,0)</f>
        <v>31.805649460641302</v>
      </c>
      <c r="AW143" s="315">
        <f>IF(AW57&gt;0,'R&amp;C-Painel de Controle'!$O$71*(1-0.0925)*AW35/1000000,0)</f>
        <v>31.955136013106316</v>
      </c>
      <c r="AX143" s="315">
        <f>IF(AX57&gt;0,'R&amp;C-Painel de Controle'!$O$71*(1-0.0925)*AX35/1000000,0)</f>
        <v>32.105325152367911</v>
      </c>
      <c r="AY143" s="315">
        <f>IF(AY57&gt;0,'R&amp;C-Painel de Controle'!$O$71*(1-0.0925)*AY35/1000000,0)</f>
        <v>32.256220180584037</v>
      </c>
      <c r="AZ143" s="315">
        <f>IF(AZ57&gt;0,'R&amp;C-Painel de Controle'!$O$71*(1-0.0925)*AZ35/1000000,0)</f>
        <v>32.407824415432778</v>
      </c>
      <c r="BA143" s="315">
        <f>IF(BA57&gt;0,'R&amp;C-Painel de Controle'!$O$71*(1-0.0925)*BA35/1000000,0)</f>
        <v>32.560141190185313</v>
      </c>
      <c r="BB143" s="315">
        <f>IF(BB57&gt;0,'R&amp;C-Painel de Controle'!$O$71*(1-0.0925)*BB35/1000000,0)</f>
        <v>32.713173853779175</v>
      </c>
      <c r="BC143" s="315">
        <f>IF(BC57&gt;0,'R&amp;C-Painel de Controle'!$O$71*(1-0.0925)*BC35/1000000,0)</f>
        <v>32.866925770891932</v>
      </c>
      <c r="BD143" s="295"/>
      <c r="BE143" s="295"/>
      <c r="BF143" s="295"/>
    </row>
    <row r="144" spans="2:58" s="197" customFormat="1" ht="18" hidden="1" customHeight="1" outlineLevel="1" x14ac:dyDescent="0.25">
      <c r="B144" s="871" t="str">
        <f>B113</f>
        <v>Aterro Sanitário</v>
      </c>
      <c r="C144" s="306" t="str">
        <f>C113</f>
        <v>Sim</v>
      </c>
      <c r="D144" s="306">
        <f>D113</f>
        <v>34273.989062500004</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38.697170954704973</v>
      </c>
      <c r="D148" s="296">
        <f t="shared" si="51"/>
        <v>38.879047658192086</v>
      </c>
      <c r="E148" s="296">
        <f t="shared" si="51"/>
        <v>39.061779182185589</v>
      </c>
      <c r="F148" s="296">
        <f t="shared" si="51"/>
        <v>39.245369544341848</v>
      </c>
      <c r="G148" s="296">
        <f t="shared" si="51"/>
        <v>39.429822781200258</v>
      </c>
      <c r="H148" s="296">
        <f t="shared" si="51"/>
        <v>39.615142948271895</v>
      </c>
      <c r="I148" s="296">
        <f t="shared" si="51"/>
        <v>39.801334120128779</v>
      </c>
      <c r="J148" s="296">
        <f t="shared" si="51"/>
        <v>39.988400390493375</v>
      </c>
      <c r="K148" s="296">
        <f t="shared" si="51"/>
        <v>40.176345872328696</v>
      </c>
      <c r="L148" s="296">
        <f t="shared" si="51"/>
        <v>40.36517469792863</v>
      </c>
      <c r="M148" s="296">
        <f t="shared" si="51"/>
        <v>40.554891019008892</v>
      </c>
      <c r="N148" s="296">
        <f t="shared" si="51"/>
        <v>40.745499006798234</v>
      </c>
      <c r="O148" s="296">
        <f t="shared" si="51"/>
        <v>40.937002852130171</v>
      </c>
      <c r="P148" s="296">
        <f t="shared" si="51"/>
        <v>41.129406765535187</v>
      </c>
      <c r="Q148" s="296">
        <f t="shared" si="51"/>
        <v>41.322714977333199</v>
      </c>
      <c r="R148" s="296">
        <f t="shared" si="51"/>
        <v>41.516931737726658</v>
      </c>
      <c r="S148" s="296">
        <f t="shared" si="51"/>
        <v>41.712061316893973</v>
      </c>
      <c r="T148" s="296">
        <f t="shared" si="51"/>
        <v>41.908108005083371</v>
      </c>
      <c r="U148" s="296">
        <f t="shared" si="51"/>
        <v>42.105076112707266</v>
      </c>
      <c r="V148" s="296">
        <f t="shared" si="51"/>
        <v>42.302969970436983</v>
      </c>
      <c r="W148" s="296">
        <f t="shared" si="51"/>
        <v>42.501793929298039</v>
      </c>
      <c r="X148" s="296">
        <f t="shared" si="51"/>
        <v>42.701552360765724</v>
      </c>
      <c r="Y148" s="296">
        <f t="shared" si="51"/>
        <v>42.902249656861329</v>
      </c>
      <c r="Z148" s="296">
        <f t="shared" si="51"/>
        <v>43.103890230248574</v>
      </c>
      <c r="AA148" s="296">
        <f t="shared" si="51"/>
        <v>43.306478514330735</v>
      </c>
      <c r="AB148" s="296">
        <f t="shared" si="51"/>
        <v>43.510018963348088</v>
      </c>
      <c r="AC148" s="296">
        <f t="shared" si="51"/>
        <v>43.71451605247583</v>
      </c>
      <c r="AD148" s="296">
        <f t="shared" si="51"/>
        <v>43.919974277922456</v>
      </c>
      <c r="AE148" s="296">
        <f t="shared" si="51"/>
        <v>44.126398157028689</v>
      </c>
      <c r="AF148" s="296">
        <f t="shared" si="51"/>
        <v>44.333792228366718</v>
      </c>
      <c r="AG148" s="296">
        <f t="shared" si="51"/>
        <v>44.542161051840047</v>
      </c>
      <c r="AH148" s="296">
        <f t="shared" si="51"/>
        <v>44.751509208783695</v>
      </c>
      <c r="AI148" s="296">
        <f t="shared" ref="AI148:BC148" si="52">AI35*$H$26*(1-0.0925-$C$10)/1000000+AI149</f>
        <v>44.961841302064968</v>
      </c>
      <c r="AJ148" s="296">
        <f t="shared" si="52"/>
        <v>45.173161956184671</v>
      </c>
      <c r="AK148" s="296">
        <f t="shared" si="52"/>
        <v>45.385475817378733</v>
      </c>
      <c r="AL148" s="296">
        <f t="shared" si="52"/>
        <v>45.598787553720413</v>
      </c>
      <c r="AM148" s="296">
        <f t="shared" si="52"/>
        <v>45.813101855222897</v>
      </c>
      <c r="AN148" s="296">
        <f t="shared" si="52"/>
        <v>46.028423433942443</v>
      </c>
      <c r="AO148" s="296">
        <f t="shared" si="52"/>
        <v>46.244757024081977</v>
      </c>
      <c r="AP148" s="296">
        <f t="shared" si="52"/>
        <v>46.462107382095148</v>
      </c>
      <c r="AQ148" s="296">
        <f t="shared" si="52"/>
        <v>46.680479286790998</v>
      </c>
      <c r="AR148" s="296">
        <f t="shared" si="52"/>
        <v>46.899877539438904</v>
      </c>
      <c r="AS148" s="296">
        <f t="shared" si="52"/>
        <v>47.120306963874263</v>
      </c>
      <c r="AT148" s="296">
        <f t="shared" si="52"/>
        <v>47.341772406604477</v>
      </c>
      <c r="AU148" s="296">
        <f t="shared" si="52"/>
        <v>47.564278736915504</v>
      </c>
      <c r="AV148" s="296">
        <f t="shared" si="52"/>
        <v>47.787830846978999</v>
      </c>
      <c r="AW148" s="296">
        <f t="shared" si="52"/>
        <v>48.012433651959796</v>
      </c>
      <c r="AX148" s="296">
        <f t="shared" si="52"/>
        <v>48.238092090124006</v>
      </c>
      <c r="AY148" s="296">
        <f t="shared" si="52"/>
        <v>48.464811122947587</v>
      </c>
      <c r="AZ148" s="296">
        <f t="shared" si="52"/>
        <v>48.692595735225431</v>
      </c>
      <c r="BA148" s="296">
        <f t="shared" si="52"/>
        <v>48.921450935180985</v>
      </c>
      <c r="BB148" s="296">
        <f t="shared" si="52"/>
        <v>49.151381754576335</v>
      </c>
      <c r="BC148" s="296">
        <f t="shared" si="52"/>
        <v>49.382393248822837</v>
      </c>
    </row>
    <row r="149" spans="2:58" s="197" customFormat="1" ht="16.899999999999999" customHeight="1" x14ac:dyDescent="0.25">
      <c r="B149" s="197" t="s">
        <v>991</v>
      </c>
      <c r="C149" s="296">
        <f>'R&amp;C-Painel de Controle'!D31*312*'R&amp;C-Painel de Controle'!H31*(1-0.0925-$C$10)/1000000</f>
        <v>2.2147733628168482</v>
      </c>
      <c r="D149" s="296">
        <f>C149*(1+'R&amp;C-Painel de Controle'!$D$27)</f>
        <v>2.2251827976220873</v>
      </c>
      <c r="E149" s="296">
        <f>D149*(1+'R&amp;C-Painel de Controle'!$D$27)</f>
        <v>2.2356411567709107</v>
      </c>
      <c r="F149" s="296">
        <f>E149*(1+'R&amp;C-Painel de Controle'!$D$27)</f>
        <v>2.246148670207734</v>
      </c>
      <c r="G149" s="296">
        <f>F149*(1+'R&amp;C-Painel de Controle'!$D$27)</f>
        <v>2.25670556895771</v>
      </c>
      <c r="H149" s="296">
        <f>G149*(1+'R&amp;C-Painel de Controle'!$D$27)</f>
        <v>2.2673120851318109</v>
      </c>
      <c r="I149" s="296">
        <f>H149*(1+'R&amp;C-Painel de Controle'!$D$27)</f>
        <v>2.2779684519319301</v>
      </c>
      <c r="J149" s="296">
        <f>I149*(1+'R&amp;C-Painel de Controle'!$D$27)</f>
        <v>2.2886749036560099</v>
      </c>
      <c r="K149" s="296">
        <f>J149*(1+'R&amp;C-Painel de Controle'!$D$27)</f>
        <v>2.2994316757031932</v>
      </c>
      <c r="L149" s="296">
        <f>K149*(1+'R&amp;C-Painel de Controle'!$D$27)</f>
        <v>2.3102390045789982</v>
      </c>
      <c r="M149" s="296">
        <f>L149*(1+'R&amp;C-Painel de Controle'!$D$27)</f>
        <v>2.3210971279005195</v>
      </c>
      <c r="N149" s="296">
        <f>M149*(1+'R&amp;C-Painel de Controle'!$D$27)</f>
        <v>2.3320062844016518</v>
      </c>
      <c r="O149" s="296">
        <f>N149*(1+'R&amp;C-Painel de Controle'!$D$27)</f>
        <v>2.3429667139383392</v>
      </c>
      <c r="P149" s="296">
        <f>O149*(1+'R&amp;C-Painel de Controle'!$D$27)</f>
        <v>2.3539786574938493</v>
      </c>
      <c r="Q149" s="296">
        <f>P149*(1+'R&amp;C-Painel de Controle'!$D$27)</f>
        <v>2.3650423571840702</v>
      </c>
      <c r="R149" s="296">
        <f>Q149*(1+'R&amp;C-Painel de Controle'!$D$27)</f>
        <v>2.376158056262835</v>
      </c>
      <c r="S149" s="296">
        <f>R149*(1+'R&amp;C-Painel de Controle'!$D$27)</f>
        <v>2.3873259991272704</v>
      </c>
      <c r="T149" s="296">
        <f>S149*(1+'R&amp;C-Painel de Controle'!$D$27)</f>
        <v>2.3985464313231684</v>
      </c>
      <c r="U149" s="296">
        <f>T149*(1+'R&amp;C-Painel de Controle'!$D$27)</f>
        <v>2.4098195995503873</v>
      </c>
      <c r="V149" s="296">
        <f>U149*(1+'R&amp;C-Painel de Controle'!$D$27)</f>
        <v>2.4211457516682739</v>
      </c>
      <c r="W149" s="296">
        <f>V149*(1+'R&amp;C-Painel de Controle'!$D$27)</f>
        <v>2.4325251367011145</v>
      </c>
      <c r="X149" s="296">
        <f>W149*(1+'R&amp;C-Painel de Controle'!$D$27)</f>
        <v>2.4439580048436094</v>
      </c>
      <c r="Y149" s="296">
        <f>X149*(1+'R&amp;C-Painel de Controle'!$D$27)</f>
        <v>2.4554446074663741</v>
      </c>
      <c r="Z149" s="296">
        <f>Y149*(1+'R&amp;C-Painel de Controle'!$D$27)</f>
        <v>2.466985197121466</v>
      </c>
      <c r="AA149" s="296">
        <f>Z149*(1+'R&amp;C-Painel de Controle'!$D$27)</f>
        <v>2.4785800275479368</v>
      </c>
      <c r="AB149" s="296">
        <f>AA149*(1+'R&amp;C-Painel de Controle'!$D$27)</f>
        <v>2.490229353677412</v>
      </c>
      <c r="AC149" s="296">
        <f>AB149*(1+'R&amp;C-Painel de Controle'!$D$27)</f>
        <v>2.5019334316396957</v>
      </c>
      <c r="AD149" s="296">
        <f>AC149*(1+'R&amp;C-Painel de Controle'!$D$27)</f>
        <v>2.5136925187684023</v>
      </c>
      <c r="AE149" s="296">
        <f>AD149*(1+'R&amp;C-Painel de Controle'!$D$27)</f>
        <v>2.5255068736066137</v>
      </c>
      <c r="AF149" s="296">
        <f>AE149*(1+'R&amp;C-Painel de Controle'!$D$27)</f>
        <v>2.5373767559125646</v>
      </c>
      <c r="AG149" s="296">
        <f>AF149*(1+'R&amp;C-Painel de Controle'!$D$27)</f>
        <v>2.5493024266653537</v>
      </c>
      <c r="AH149" s="296">
        <f>AG149*(1+'R&amp;C-Painel de Controle'!$D$27)</f>
        <v>2.5612841480706807</v>
      </c>
      <c r="AI149" s="296">
        <f>AH149*(1+'R&amp;C-Painel de Controle'!$D$27)</f>
        <v>2.5733221835666127</v>
      </c>
      <c r="AJ149" s="296">
        <f>AI149*(1+'R&amp;C-Painel de Controle'!$D$27)</f>
        <v>2.5854167978293754</v>
      </c>
      <c r="AK149" s="296">
        <f>AJ149*(1+'R&amp;C-Painel de Controle'!$D$27)</f>
        <v>2.5975682567791734</v>
      </c>
      <c r="AL149" s="296">
        <f>AK149*(1+'R&amp;C-Painel de Controle'!$D$27)</f>
        <v>2.6097768275860354</v>
      </c>
      <c r="AM149" s="296">
        <f>AL149*(1+'R&amp;C-Painel de Controle'!$D$27)</f>
        <v>2.6220427786756897</v>
      </c>
      <c r="AN149" s="296">
        <f>AM149*(1+'R&amp;C-Painel de Controle'!$D$27)</f>
        <v>2.6343663797354653</v>
      </c>
      <c r="AO149" s="296">
        <f>AN149*(1+'R&amp;C-Painel de Controle'!$D$27)</f>
        <v>2.6467479017202216</v>
      </c>
      <c r="AP149" s="296">
        <f>AO149*(1+'R&amp;C-Painel de Controle'!$D$27)</f>
        <v>2.6591876168583064</v>
      </c>
      <c r="AQ149" s="296">
        <f>AP149*(1+'R&amp;C-Painel de Controle'!$D$27)</f>
        <v>2.6716857986575402</v>
      </c>
      <c r="AR149" s="296">
        <f>AQ149*(1+'R&amp;C-Painel de Controle'!$D$27)</f>
        <v>2.6842427219112306</v>
      </c>
      <c r="AS149" s="296">
        <f>AR149*(1+'R&amp;C-Painel de Controle'!$D$27)</f>
        <v>2.696858662704213</v>
      </c>
      <c r="AT149" s="296">
        <f>AS149*(1+'R&amp;C-Painel de Controle'!$D$27)</f>
        <v>2.7095338984189228</v>
      </c>
      <c r="AU149" s="296">
        <f>AT149*(1+'R&amp;C-Painel de Controle'!$D$27)</f>
        <v>2.7222687077414913</v>
      </c>
      <c r="AV149" s="296">
        <f>AU149*(1+'R&amp;C-Painel de Controle'!$D$27)</f>
        <v>2.7350633706678762</v>
      </c>
      <c r="AW149" s="296">
        <f>AV149*(1+'R&amp;C-Painel de Controle'!$D$27)</f>
        <v>2.7479181685100151</v>
      </c>
      <c r="AX149" s="296">
        <f>AW149*(1+'R&amp;C-Painel de Controle'!$D$27)</f>
        <v>2.7608333839020118</v>
      </c>
      <c r="AY149" s="296">
        <f>AX149*(1+'R&amp;C-Painel de Controle'!$D$27)</f>
        <v>2.7738093008063509</v>
      </c>
      <c r="AZ149" s="296">
        <f>AY149*(1+'R&amp;C-Painel de Controle'!$D$27)</f>
        <v>2.7868462045201405</v>
      </c>
      <c r="BA149" s="296">
        <f>AZ149*(1+'R&amp;C-Painel de Controle'!$D$27)</f>
        <v>2.7999443816813852</v>
      </c>
      <c r="BB149" s="296">
        <f>BA149*(1+'R&amp;C-Painel de Controle'!$D$27)</f>
        <v>2.8131041202752876</v>
      </c>
      <c r="BC149" s="296">
        <f>BB149*(1+'R&amp;C-Painel de Controle'!$D$27)</f>
        <v>2.8263257096405812</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36.924946579704972</v>
      </c>
      <c r="D151" s="297">
        <f t="shared" si="53"/>
        <v>37.106823283192085</v>
      </c>
      <c r="E151" s="297">
        <f t="shared" si="53"/>
        <v>37.289554807185588</v>
      </c>
      <c r="F151" s="297">
        <f t="shared" si="53"/>
        <v>0.62502928533268687</v>
      </c>
      <c r="G151" s="297">
        <f t="shared" si="53"/>
        <v>0.80948252219109662</v>
      </c>
      <c r="H151" s="297">
        <f t="shared" si="53"/>
        <v>0.99480268926273396</v>
      </c>
      <c r="I151" s="297">
        <f t="shared" si="53"/>
        <v>1.1809938611196173</v>
      </c>
      <c r="J151" s="297">
        <f t="shared" si="53"/>
        <v>1.3680601314842136</v>
      </c>
      <c r="K151" s="297">
        <f t="shared" si="53"/>
        <v>1.5560056133195346</v>
      </c>
      <c r="L151" s="297">
        <f t="shared" si="53"/>
        <v>1.7448344389194688</v>
      </c>
      <c r="M151" s="297">
        <f t="shared" si="53"/>
        <v>1.9345507599997305</v>
      </c>
      <c r="N151" s="297">
        <f t="shared" si="53"/>
        <v>2.1251587477890723</v>
      </c>
      <c r="O151" s="297">
        <f t="shared" si="53"/>
        <v>2.3166625931210092</v>
      </c>
      <c r="P151" s="297">
        <f t="shared" si="53"/>
        <v>2.5090665065260254</v>
      </c>
      <c r="Q151" s="297">
        <f t="shared" si="53"/>
        <v>2.7023747183240374</v>
      </c>
      <c r="R151" s="297">
        <f t="shared" si="53"/>
        <v>2.8965914787174967</v>
      </c>
      <c r="S151" s="297">
        <f t="shared" si="53"/>
        <v>3.0917210578848113</v>
      </c>
      <c r="T151" s="297">
        <f t="shared" si="53"/>
        <v>3.2877677460742092</v>
      </c>
      <c r="U151" s="297">
        <f t="shared" si="53"/>
        <v>3.4847358536981048</v>
      </c>
      <c r="V151" s="297">
        <f t="shared" si="53"/>
        <v>3.6826297114278219</v>
      </c>
      <c r="W151" s="297">
        <f t="shared" si="53"/>
        <v>3.8814536702888773</v>
      </c>
      <c r="X151" s="297">
        <f t="shared" si="53"/>
        <v>4.081212101756563</v>
      </c>
      <c r="Y151" s="297">
        <f t="shared" si="53"/>
        <v>4.2819093978521678</v>
      </c>
      <c r="Z151" s="297">
        <f t="shared" si="53"/>
        <v>4.4835499712394125</v>
      </c>
      <c r="AA151" s="297">
        <f t="shared" si="53"/>
        <v>4.6861382553215734</v>
      </c>
      <c r="AB151" s="297">
        <f t="shared" si="53"/>
        <v>4.8896787043389267</v>
      </c>
      <c r="AC151" s="297">
        <f t="shared" si="53"/>
        <v>5.0941757934666683</v>
      </c>
      <c r="AD151" s="297">
        <f t="shared" si="53"/>
        <v>5.2996340189132951</v>
      </c>
      <c r="AE151" s="297">
        <f t="shared" si="53"/>
        <v>5.5060578980195274</v>
      </c>
      <c r="AF151" s="297">
        <f t="shared" si="53"/>
        <v>5.7134519693575569</v>
      </c>
      <c r="AG151" s="297">
        <f t="shared" si="53"/>
        <v>5.9218207928308857</v>
      </c>
      <c r="AH151" s="297">
        <f t="shared" si="53"/>
        <v>6.1311689497745334</v>
      </c>
      <c r="AI151" s="297">
        <f t="shared" si="53"/>
        <v>6.341501043055807</v>
      </c>
      <c r="AJ151" s="297">
        <f t="shared" si="53"/>
        <v>6.55282169717551</v>
      </c>
      <c r="AK151" s="297">
        <f t="shared" si="53"/>
        <v>6.7651355583695718</v>
      </c>
      <c r="AL151" s="297">
        <f t="shared" si="53"/>
        <v>6.9784472947112519</v>
      </c>
      <c r="AM151" s="297">
        <f t="shared" si="53"/>
        <v>7.1927615962137352</v>
      </c>
      <c r="AN151" s="297">
        <f t="shared" si="53"/>
        <v>7.4080831749332816</v>
      </c>
      <c r="AO151" s="297">
        <f t="shared" si="53"/>
        <v>7.6244167650728158</v>
      </c>
      <c r="AP151" s="297">
        <f t="shared" si="53"/>
        <v>7.8417671230859867</v>
      </c>
      <c r="AQ151" s="297">
        <f t="shared" si="53"/>
        <v>8.0601390277818368</v>
      </c>
      <c r="AR151" s="297">
        <f t="shared" si="53"/>
        <v>8.2795372804297429</v>
      </c>
      <c r="AS151" s="297">
        <f t="shared" si="53"/>
        <v>8.499966704865102</v>
      </c>
      <c r="AT151" s="297">
        <f t="shared" si="53"/>
        <v>8.7214321475953156</v>
      </c>
      <c r="AU151" s="297">
        <f t="shared" si="53"/>
        <v>8.9439384779063431</v>
      </c>
      <c r="AV151" s="297">
        <f t="shared" si="53"/>
        <v>9.1674905879698372</v>
      </c>
      <c r="AW151" s="297">
        <f t="shared" si="53"/>
        <v>9.3920933929506347</v>
      </c>
      <c r="AX151" s="297">
        <f t="shared" si="53"/>
        <v>9.6177518311148447</v>
      </c>
      <c r="AY151" s="297">
        <f t="shared" si="53"/>
        <v>9.844470863938426</v>
      </c>
      <c r="AZ151" s="297">
        <f t="shared" si="53"/>
        <v>10.07225547621627</v>
      </c>
      <c r="BA151" s="297">
        <f t="shared" si="53"/>
        <v>10.301110676171824</v>
      </c>
      <c r="BB151" s="297">
        <f t="shared" si="53"/>
        <v>10.531041495567173</v>
      </c>
      <c r="BC151" s="297">
        <f t="shared" si="53"/>
        <v>10.762052989813675</v>
      </c>
    </row>
    <row r="152" spans="2:58" s="197" customFormat="1" ht="16.899999999999999" customHeight="1" outlineLevel="1" x14ac:dyDescent="0.25">
      <c r="B152" s="197" t="s">
        <v>413</v>
      </c>
      <c r="C152" s="297">
        <f>C63</f>
        <v>100.9879346547112</v>
      </c>
      <c r="D152" s="297">
        <f>IF(SUM($C$152:C152)&lt;'R&amp;C-Painel de Controle'!$H$24,D63,0)</f>
        <v>184.09418035559332</v>
      </c>
      <c r="E152" s="297">
        <f>IF(SUM($C$152:D152)&lt;'R&amp;C-Painel de Controle'!$H$24,E63,0)</f>
        <v>137.3889408699585</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-64.062988075006217</v>
      </c>
      <c r="D153" s="297">
        <f t="shared" si="54"/>
        <v>-146.98735707240124</v>
      </c>
      <c r="E153" s="297">
        <f t="shared" si="54"/>
        <v>-100.09938606277291</v>
      </c>
      <c r="F153" s="297">
        <f t="shared" si="54"/>
        <v>0.62502928533268687</v>
      </c>
      <c r="G153" s="297">
        <f t="shared" si="54"/>
        <v>0.80948252219109662</v>
      </c>
      <c r="H153" s="297">
        <f t="shared" si="54"/>
        <v>0.99480268926273396</v>
      </c>
      <c r="I153" s="297">
        <f t="shared" si="54"/>
        <v>1.1809938611196173</v>
      </c>
      <c r="J153" s="297">
        <f t="shared" si="54"/>
        <v>1.3680601314842136</v>
      </c>
      <c r="K153" s="297">
        <f t="shared" si="54"/>
        <v>1.5560056133195346</v>
      </c>
      <c r="L153" s="297">
        <f t="shared" si="54"/>
        <v>1.7448344389194688</v>
      </c>
      <c r="M153" s="297">
        <f t="shared" si="54"/>
        <v>1.9345507599997305</v>
      </c>
      <c r="N153" s="297">
        <f t="shared" si="54"/>
        <v>2.1251587477890723</v>
      </c>
      <c r="O153" s="297">
        <f t="shared" si="54"/>
        <v>2.3166625931210092</v>
      </c>
      <c r="P153" s="297">
        <f t="shared" si="54"/>
        <v>2.5090665065260254</v>
      </c>
      <c r="Q153" s="297">
        <f t="shared" si="54"/>
        <v>2.7023747183240374</v>
      </c>
      <c r="R153" s="297">
        <f t="shared" si="54"/>
        <v>2.8965914787174967</v>
      </c>
      <c r="S153" s="297">
        <f t="shared" si="54"/>
        <v>3.0917210578848113</v>
      </c>
      <c r="T153" s="297">
        <f t="shared" si="54"/>
        <v>3.2877677460742092</v>
      </c>
      <c r="U153" s="297">
        <f t="shared" si="54"/>
        <v>3.4847358536981048</v>
      </c>
      <c r="V153" s="297">
        <f t="shared" si="54"/>
        <v>3.6826297114278219</v>
      </c>
      <c r="W153" s="297">
        <f t="shared" si="54"/>
        <v>3.8814536702888773</v>
      </c>
      <c r="X153" s="297">
        <f t="shared" si="54"/>
        <v>4.081212101756563</v>
      </c>
      <c r="Y153" s="297">
        <f t="shared" si="54"/>
        <v>4.2819093978521678</v>
      </c>
      <c r="Z153" s="297">
        <f t="shared" si="54"/>
        <v>4.4835499712394125</v>
      </c>
      <c r="AA153" s="297">
        <f t="shared" si="54"/>
        <v>4.6861382553215734</v>
      </c>
      <c r="AB153" s="297">
        <f t="shared" si="54"/>
        <v>4.8896787043389267</v>
      </c>
      <c r="AC153" s="297">
        <f t="shared" si="54"/>
        <v>5.0941757934666683</v>
      </c>
      <c r="AD153" s="297">
        <f t="shared" si="54"/>
        <v>5.2996340189132951</v>
      </c>
      <c r="AE153" s="297">
        <f t="shared" si="54"/>
        <v>5.5060578980195274</v>
      </c>
      <c r="AF153" s="297">
        <f t="shared" si="54"/>
        <v>5.7134519693575569</v>
      </c>
      <c r="AG153" s="297">
        <f t="shared" si="54"/>
        <v>5.9218207928308857</v>
      </c>
      <c r="AH153" s="297">
        <f t="shared" si="54"/>
        <v>6.1311689497745334</v>
      </c>
      <c r="AI153" s="297">
        <f t="shared" si="54"/>
        <v>6.341501043055807</v>
      </c>
      <c r="AJ153" s="297">
        <f t="shared" si="54"/>
        <v>6.55282169717551</v>
      </c>
      <c r="AK153" s="297">
        <f t="shared" si="54"/>
        <v>6.7651355583695718</v>
      </c>
      <c r="AL153" s="297">
        <f t="shared" si="54"/>
        <v>6.9784472947112519</v>
      </c>
      <c r="AM153" s="297">
        <f t="shared" si="54"/>
        <v>7.1927615962137352</v>
      </c>
      <c r="AN153" s="297">
        <f t="shared" si="54"/>
        <v>7.4080831749332816</v>
      </c>
      <c r="AO153" s="297">
        <f t="shared" si="54"/>
        <v>7.6244167650728158</v>
      </c>
      <c r="AP153" s="297">
        <f t="shared" si="54"/>
        <v>7.8417671230859867</v>
      </c>
      <c r="AQ153" s="297">
        <f t="shared" si="54"/>
        <v>8.0601390277818368</v>
      </c>
      <c r="AR153" s="297">
        <f t="shared" si="54"/>
        <v>8.2795372804297429</v>
      </c>
      <c r="AS153" s="297">
        <f t="shared" si="54"/>
        <v>8.499966704865102</v>
      </c>
      <c r="AT153" s="297">
        <f t="shared" si="54"/>
        <v>8.7214321475953156</v>
      </c>
      <c r="AU153" s="297">
        <f t="shared" si="54"/>
        <v>8.9439384779063431</v>
      </c>
      <c r="AV153" s="297">
        <f t="shared" si="54"/>
        <v>9.1674905879698372</v>
      </c>
      <c r="AW153" s="297">
        <f t="shared" si="54"/>
        <v>9.3920933929506347</v>
      </c>
      <c r="AX153" s="297">
        <f t="shared" si="54"/>
        <v>9.6177518311148447</v>
      </c>
      <c r="AY153" s="297">
        <f t="shared" si="54"/>
        <v>9.844470863938426</v>
      </c>
      <c r="AZ153" s="297">
        <f t="shared" si="54"/>
        <v>10.07225547621627</v>
      </c>
      <c r="BA153" s="297">
        <f t="shared" si="54"/>
        <v>10.301110676171824</v>
      </c>
      <c r="BB153" s="297">
        <f t="shared" si="54"/>
        <v>10.531041495567173</v>
      </c>
      <c r="BC153" s="297">
        <f t="shared" si="54"/>
        <v>10.762052989813675</v>
      </c>
    </row>
    <row r="154" spans="2:58" s="197" customFormat="1" ht="16.899999999999999" customHeight="1" outlineLevel="1" x14ac:dyDescent="0.25">
      <c r="B154" s="291" t="s">
        <v>415</v>
      </c>
      <c r="C154" s="297">
        <f>IF((C153&gt;0),C153*(1-($C$26+$C$25)),C153)</f>
        <v>-64.062988075006217</v>
      </c>
      <c r="D154" s="297">
        <f t="shared" ref="D154:BC154" si="55">IF((D153&gt;0),D153*(1-($C$26+$C$25)),D153)</f>
        <v>-146.98735707240124</v>
      </c>
      <c r="E154" s="297">
        <f t="shared" si="55"/>
        <v>-100.09938606277291</v>
      </c>
      <c r="F154" s="297">
        <f t="shared" si="55"/>
        <v>0.41251932831957333</v>
      </c>
      <c r="G154" s="297">
        <f t="shared" si="55"/>
        <v>0.53425846464612381</v>
      </c>
      <c r="H154" s="297">
        <f t="shared" si="55"/>
        <v>0.6565697749134044</v>
      </c>
      <c r="I154" s="297">
        <f t="shared" si="55"/>
        <v>0.77945594833894749</v>
      </c>
      <c r="J154" s="297">
        <f t="shared" si="55"/>
        <v>0.90291968677958101</v>
      </c>
      <c r="K154" s="297">
        <f t="shared" si="55"/>
        <v>1.0269637047908928</v>
      </c>
      <c r="L154" s="297">
        <f t="shared" si="55"/>
        <v>1.1515907296868495</v>
      </c>
      <c r="M154" s="297">
        <f t="shared" si="55"/>
        <v>1.2768035015998223</v>
      </c>
      <c r="N154" s="297">
        <f t="shared" si="55"/>
        <v>1.4026047735407878</v>
      </c>
      <c r="O154" s="297">
        <f t="shared" si="55"/>
        <v>1.5289973114598661</v>
      </c>
      <c r="P154" s="297">
        <f t="shared" si="55"/>
        <v>1.6559838943071767</v>
      </c>
      <c r="Q154" s="297">
        <f t="shared" si="55"/>
        <v>1.7835673140938648</v>
      </c>
      <c r="R154" s="297">
        <f t="shared" si="55"/>
        <v>1.9117503759535479</v>
      </c>
      <c r="S154" s="297">
        <f t="shared" si="55"/>
        <v>2.0405358982039754</v>
      </c>
      <c r="T154" s="297">
        <f t="shared" si="55"/>
        <v>2.1699267124089783</v>
      </c>
      <c r="U154" s="297">
        <f t="shared" si="55"/>
        <v>2.2999256634407494</v>
      </c>
      <c r="V154" s="297">
        <f t="shared" si="55"/>
        <v>2.4305356095423627</v>
      </c>
      <c r="W154" s="297">
        <f t="shared" si="55"/>
        <v>2.5617594223906592</v>
      </c>
      <c r="X154" s="297">
        <f t="shared" si="55"/>
        <v>2.6935999871593319</v>
      </c>
      <c r="Y154" s="297">
        <f t="shared" si="55"/>
        <v>2.8260602025824308</v>
      </c>
      <c r="Z154" s="297">
        <f t="shared" si="55"/>
        <v>2.9591429810180125</v>
      </c>
      <c r="AA154" s="297">
        <f t="shared" si="55"/>
        <v>3.0928512485122384</v>
      </c>
      <c r="AB154" s="297">
        <f t="shared" si="55"/>
        <v>3.227187944863692</v>
      </c>
      <c r="AC154" s="297">
        <f t="shared" si="55"/>
        <v>3.362156023688001</v>
      </c>
      <c r="AD154" s="297">
        <f t="shared" si="55"/>
        <v>3.4977584524827749</v>
      </c>
      <c r="AE154" s="297">
        <f t="shared" si="55"/>
        <v>3.6339982126928883</v>
      </c>
      <c r="AF154" s="297">
        <f t="shared" si="55"/>
        <v>3.7708782997759878</v>
      </c>
      <c r="AG154" s="297">
        <f t="shared" si="55"/>
        <v>3.9084017232683848</v>
      </c>
      <c r="AH154" s="297">
        <f t="shared" si="55"/>
        <v>4.0465715068511923</v>
      </c>
      <c r="AI154" s="297">
        <f t="shared" si="55"/>
        <v>4.1853906884168328</v>
      </c>
      <c r="AJ154" s="297">
        <f t="shared" si="55"/>
        <v>4.3248623201358365</v>
      </c>
      <c r="AK154" s="297">
        <f t="shared" si="55"/>
        <v>4.4649894685239175</v>
      </c>
      <c r="AL154" s="297">
        <f t="shared" si="55"/>
        <v>4.6057752145094266</v>
      </c>
      <c r="AM154" s="297">
        <f t="shared" si="55"/>
        <v>4.7472226535010655</v>
      </c>
      <c r="AN154" s="297">
        <f t="shared" si="55"/>
        <v>4.8893348954559661</v>
      </c>
      <c r="AO154" s="297">
        <f t="shared" si="55"/>
        <v>5.0321150649480586</v>
      </c>
      <c r="AP154" s="297">
        <f t="shared" si="55"/>
        <v>5.1755663012367519</v>
      </c>
      <c r="AQ154" s="297">
        <f t="shared" si="55"/>
        <v>5.3196917583360124</v>
      </c>
      <c r="AR154" s="297">
        <f t="shared" si="55"/>
        <v>5.4644946050836305</v>
      </c>
      <c r="AS154" s="297">
        <f t="shared" si="55"/>
        <v>5.6099780252109674</v>
      </c>
      <c r="AT154" s="297">
        <f t="shared" si="55"/>
        <v>5.7561452174129082</v>
      </c>
      <c r="AU154" s="297">
        <f t="shared" si="55"/>
        <v>5.9029993954181865</v>
      </c>
      <c r="AV154" s="297">
        <f t="shared" si="55"/>
        <v>6.050543788060093</v>
      </c>
      <c r="AW154" s="297">
        <f t="shared" si="55"/>
        <v>6.1987816393474189</v>
      </c>
      <c r="AX154" s="297">
        <f t="shared" si="55"/>
        <v>6.3477162085357977</v>
      </c>
      <c r="AY154" s="297">
        <f t="shared" si="55"/>
        <v>6.4973507701993611</v>
      </c>
      <c r="AZ154" s="297">
        <f t="shared" si="55"/>
        <v>6.6476886143027389</v>
      </c>
      <c r="BA154" s="297">
        <f t="shared" si="55"/>
        <v>6.7987330462734041</v>
      </c>
      <c r="BB154" s="297">
        <f t="shared" si="55"/>
        <v>6.9504873870743342</v>
      </c>
      <c r="BC154" s="297">
        <f t="shared" si="55"/>
        <v>7.1029549732770256</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-64.062988075006217</v>
      </c>
      <c r="D156" s="297">
        <f t="shared" ref="D156:BC156" si="56">D154</f>
        <v>-146.98735707240124</v>
      </c>
      <c r="E156" s="297">
        <f t="shared" si="56"/>
        <v>-100.09938606277291</v>
      </c>
      <c r="F156" s="297">
        <f t="shared" si="56"/>
        <v>0.41251932831957333</v>
      </c>
      <c r="G156" s="297">
        <f t="shared" si="56"/>
        <v>0.53425846464612381</v>
      </c>
      <c r="H156" s="297">
        <f t="shared" si="56"/>
        <v>0.6565697749134044</v>
      </c>
      <c r="I156" s="297">
        <f t="shared" si="56"/>
        <v>0.77945594833894749</v>
      </c>
      <c r="J156" s="297">
        <f t="shared" si="56"/>
        <v>0.90291968677958101</v>
      </c>
      <c r="K156" s="297">
        <f t="shared" si="56"/>
        <v>1.0269637047908928</v>
      </c>
      <c r="L156" s="297">
        <f t="shared" si="56"/>
        <v>1.1515907296868495</v>
      </c>
      <c r="M156" s="297">
        <f t="shared" si="56"/>
        <v>1.2768035015998223</v>
      </c>
      <c r="N156" s="297">
        <f t="shared" si="56"/>
        <v>1.4026047735407878</v>
      </c>
      <c r="O156" s="297">
        <f t="shared" si="56"/>
        <v>1.5289973114598661</v>
      </c>
      <c r="P156" s="297">
        <f t="shared" si="56"/>
        <v>1.6559838943071767</v>
      </c>
      <c r="Q156" s="297">
        <f t="shared" si="56"/>
        <v>1.7835673140938648</v>
      </c>
      <c r="R156" s="297">
        <f t="shared" si="56"/>
        <v>1.9117503759535479</v>
      </c>
      <c r="S156" s="297">
        <f t="shared" si="56"/>
        <v>2.0405358982039754</v>
      </c>
      <c r="T156" s="297">
        <f t="shared" si="56"/>
        <v>2.1699267124089783</v>
      </c>
      <c r="U156" s="297">
        <f t="shared" si="56"/>
        <v>2.2999256634407494</v>
      </c>
      <c r="V156" s="297">
        <f t="shared" si="56"/>
        <v>2.4305356095423627</v>
      </c>
      <c r="W156" s="297">
        <f t="shared" si="56"/>
        <v>2.5617594223906592</v>
      </c>
      <c r="X156" s="297">
        <f t="shared" si="56"/>
        <v>2.6935999871593319</v>
      </c>
      <c r="Y156" s="297">
        <f t="shared" si="56"/>
        <v>2.8260602025824308</v>
      </c>
      <c r="Z156" s="297">
        <f t="shared" si="56"/>
        <v>2.9591429810180125</v>
      </c>
      <c r="AA156" s="297">
        <f t="shared" si="56"/>
        <v>3.0928512485122384</v>
      </c>
      <c r="AB156" s="297">
        <f t="shared" si="56"/>
        <v>3.227187944863692</v>
      </c>
      <c r="AC156" s="297">
        <f t="shared" si="56"/>
        <v>3.362156023688001</v>
      </c>
      <c r="AD156" s="297">
        <f t="shared" si="56"/>
        <v>3.4977584524827749</v>
      </c>
      <c r="AE156" s="297">
        <f t="shared" si="56"/>
        <v>3.6339982126928883</v>
      </c>
      <c r="AF156" s="297">
        <f t="shared" si="56"/>
        <v>3.7708782997759878</v>
      </c>
      <c r="AG156" s="297">
        <f t="shared" si="56"/>
        <v>3.9084017232683848</v>
      </c>
      <c r="AH156" s="297">
        <f t="shared" si="56"/>
        <v>4.0465715068511923</v>
      </c>
      <c r="AI156" s="297">
        <f t="shared" si="56"/>
        <v>4.1853906884168328</v>
      </c>
      <c r="AJ156" s="297">
        <f t="shared" si="56"/>
        <v>4.3248623201358365</v>
      </c>
      <c r="AK156" s="297">
        <f t="shared" si="56"/>
        <v>4.4649894685239175</v>
      </c>
      <c r="AL156" s="297">
        <f t="shared" si="56"/>
        <v>4.6057752145094266</v>
      </c>
      <c r="AM156" s="297">
        <f t="shared" si="56"/>
        <v>4.7472226535010655</v>
      </c>
      <c r="AN156" s="297">
        <f t="shared" si="56"/>
        <v>4.8893348954559661</v>
      </c>
      <c r="AO156" s="297">
        <f t="shared" si="56"/>
        <v>5.0321150649480586</v>
      </c>
      <c r="AP156" s="297">
        <f t="shared" si="56"/>
        <v>5.1755663012367519</v>
      </c>
      <c r="AQ156" s="297">
        <f t="shared" si="56"/>
        <v>5.3196917583360124</v>
      </c>
      <c r="AR156" s="297">
        <f t="shared" si="56"/>
        <v>5.4644946050836305</v>
      </c>
      <c r="AS156" s="297">
        <f t="shared" si="56"/>
        <v>5.6099780252109674</v>
      </c>
      <c r="AT156" s="297">
        <f t="shared" si="56"/>
        <v>5.7561452174129082</v>
      </c>
      <c r="AU156" s="297">
        <f t="shared" si="56"/>
        <v>5.9029993954181865</v>
      </c>
      <c r="AV156" s="297">
        <f t="shared" si="56"/>
        <v>6.050543788060093</v>
      </c>
      <c r="AW156" s="297">
        <f t="shared" si="56"/>
        <v>6.1987816393474189</v>
      </c>
      <c r="AX156" s="297">
        <f t="shared" si="56"/>
        <v>6.3477162085357977</v>
      </c>
      <c r="AY156" s="297">
        <f t="shared" si="56"/>
        <v>6.4973507701993611</v>
      </c>
      <c r="AZ156" s="297">
        <f t="shared" si="56"/>
        <v>6.6476886143027389</v>
      </c>
      <c r="BA156" s="297">
        <f t="shared" si="56"/>
        <v>6.7987330462734041</v>
      </c>
      <c r="BB156" s="297">
        <f t="shared" si="56"/>
        <v>6.9504873870743342</v>
      </c>
      <c r="BC156" s="297">
        <f t="shared" si="56"/>
        <v>7.1029549732770256</v>
      </c>
    </row>
    <row r="157" spans="2:58" s="197" customFormat="1" ht="16.899999999999999" customHeight="1" outlineLevel="1" x14ac:dyDescent="0.25">
      <c r="B157" s="197" t="s">
        <v>465</v>
      </c>
      <c r="C157" s="297">
        <f>C156</f>
        <v>-64.062988075006217</v>
      </c>
      <c r="D157" s="297">
        <f t="shared" ref="D157:BC157" si="57">C157+D156</f>
        <v>-211.05034514740746</v>
      </c>
      <c r="E157" s="297">
        <f t="shared" si="57"/>
        <v>-311.14973121018033</v>
      </c>
      <c r="F157" s="297">
        <f t="shared" si="57"/>
        <v>-310.73721188186079</v>
      </c>
      <c r="G157" s="297">
        <f t="shared" si="57"/>
        <v>-310.20295341721464</v>
      </c>
      <c r="H157" s="297">
        <f t="shared" si="57"/>
        <v>-309.54638364230124</v>
      </c>
      <c r="I157" s="297">
        <f t="shared" si="57"/>
        <v>-308.76692769396232</v>
      </c>
      <c r="J157" s="297">
        <f t="shared" si="57"/>
        <v>-307.86400800718275</v>
      </c>
      <c r="K157" s="297">
        <f t="shared" si="57"/>
        <v>-306.83704430239186</v>
      </c>
      <c r="L157" s="297">
        <f t="shared" si="57"/>
        <v>-305.685453572705</v>
      </c>
      <c r="M157" s="297">
        <f t="shared" si="57"/>
        <v>-304.40865007110517</v>
      </c>
      <c r="N157" s="297">
        <f t="shared" si="57"/>
        <v>-303.00604529756436</v>
      </c>
      <c r="O157" s="297">
        <f t="shared" si="57"/>
        <v>-301.47704798610448</v>
      </c>
      <c r="P157" s="297">
        <f t="shared" si="57"/>
        <v>-299.82106409179733</v>
      </c>
      <c r="Q157" s="297">
        <f t="shared" si="57"/>
        <v>-298.03749677770344</v>
      </c>
      <c r="R157" s="297">
        <f t="shared" si="57"/>
        <v>-296.12574640174989</v>
      </c>
      <c r="S157" s="297">
        <f t="shared" si="57"/>
        <v>-294.08521050354591</v>
      </c>
      <c r="T157" s="297">
        <f t="shared" si="57"/>
        <v>-291.91528379113691</v>
      </c>
      <c r="U157" s="297">
        <f t="shared" si="57"/>
        <v>-289.61535812769614</v>
      </c>
      <c r="V157" s="297">
        <f t="shared" si="57"/>
        <v>-287.18482251815379</v>
      </c>
      <c r="W157" s="297">
        <f t="shared" si="57"/>
        <v>-284.62306309576314</v>
      </c>
      <c r="X157" s="297">
        <f t="shared" si="57"/>
        <v>-281.92946310860378</v>
      </c>
      <c r="Y157" s="297">
        <f t="shared" si="57"/>
        <v>-279.10340290602136</v>
      </c>
      <c r="Z157" s="297">
        <f t="shared" si="57"/>
        <v>-276.14425992500333</v>
      </c>
      <c r="AA157" s="297">
        <f t="shared" si="57"/>
        <v>-273.05140867649106</v>
      </c>
      <c r="AB157" s="297">
        <f t="shared" si="57"/>
        <v>-269.82422073162735</v>
      </c>
      <c r="AC157" s="297">
        <f t="shared" si="57"/>
        <v>-266.46206470793936</v>
      </c>
      <c r="AD157" s="297">
        <f t="shared" si="57"/>
        <v>-262.96430625545656</v>
      </c>
      <c r="AE157" s="297">
        <f t="shared" si="57"/>
        <v>-259.33030804276365</v>
      </c>
      <c r="AF157" s="297">
        <f t="shared" si="57"/>
        <v>-255.55942974298765</v>
      </c>
      <c r="AG157" s="297">
        <f t="shared" si="57"/>
        <v>-251.65102801971926</v>
      </c>
      <c r="AH157" s="297">
        <f t="shared" si="57"/>
        <v>-247.60445651286807</v>
      </c>
      <c r="AI157" s="297">
        <f t="shared" si="57"/>
        <v>-243.41906582445122</v>
      </c>
      <c r="AJ157" s="297">
        <f t="shared" si="57"/>
        <v>-239.09420350431537</v>
      </c>
      <c r="AK157" s="297">
        <f t="shared" si="57"/>
        <v>-234.62921403579145</v>
      </c>
      <c r="AL157" s="297">
        <f t="shared" si="57"/>
        <v>-230.02343882128201</v>
      </c>
      <c r="AM157" s="297">
        <f t="shared" si="57"/>
        <v>-225.27621616778094</v>
      </c>
      <c r="AN157" s="297">
        <f t="shared" si="57"/>
        <v>-220.38688127232498</v>
      </c>
      <c r="AO157" s="297">
        <f t="shared" si="57"/>
        <v>-215.35476620737694</v>
      </c>
      <c r="AP157" s="297">
        <f t="shared" si="57"/>
        <v>-210.17919990614018</v>
      </c>
      <c r="AQ157" s="297">
        <f t="shared" si="57"/>
        <v>-204.85950814780418</v>
      </c>
      <c r="AR157" s="297">
        <f t="shared" si="57"/>
        <v>-199.39501354272053</v>
      </c>
      <c r="AS157" s="297">
        <f t="shared" si="57"/>
        <v>-193.78503551750956</v>
      </c>
      <c r="AT157" s="297">
        <f t="shared" si="57"/>
        <v>-188.02889030009663</v>
      </c>
      <c r="AU157" s="297">
        <f t="shared" si="57"/>
        <v>-182.12589090467844</v>
      </c>
      <c r="AV157" s="297">
        <f t="shared" si="57"/>
        <v>-176.07534711661836</v>
      </c>
      <c r="AW157" s="297">
        <f t="shared" si="57"/>
        <v>-169.87656547727093</v>
      </c>
      <c r="AX157" s="297">
        <f t="shared" si="57"/>
        <v>-163.52884926873514</v>
      </c>
      <c r="AY157" s="297">
        <f t="shared" si="57"/>
        <v>-157.03149849853577</v>
      </c>
      <c r="AZ157" s="297">
        <f t="shared" si="57"/>
        <v>-150.38380988423302</v>
      </c>
      <c r="BA157" s="297">
        <f t="shared" si="57"/>
        <v>-143.5850768379596</v>
      </c>
      <c r="BB157" s="297">
        <f t="shared" si="57"/>
        <v>-136.63458945088527</v>
      </c>
      <c r="BC157" s="297">
        <f t="shared" si="57"/>
        <v>-129.53163447760824</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-58.377062215241679</v>
      </c>
      <c r="D159" s="300">
        <f t="shared" ref="D159:BC159" si="58">NPV($C$28,D156)</f>
        <v>-133.94145896883657</v>
      </c>
      <c r="E159" s="300">
        <f t="shared" si="58"/>
        <v>-91.215041063215708</v>
      </c>
      <c r="F159" s="300">
        <f t="shared" si="58"/>
        <v>0.3759060764712715</v>
      </c>
      <c r="G159" s="300">
        <f t="shared" si="58"/>
        <v>0.48684022657747755</v>
      </c>
      <c r="H159" s="300">
        <f t="shared" si="58"/>
        <v>0.59829576718917843</v>
      </c>
      <c r="I159" s="300">
        <f t="shared" si="58"/>
        <v>0.71027514884176013</v>
      </c>
      <c r="J159" s="300">
        <f t="shared" si="58"/>
        <v>0.82278083358810017</v>
      </c>
      <c r="K159" s="300">
        <f t="shared" si="58"/>
        <v>0.93581529505275463</v>
      </c>
      <c r="L159" s="300">
        <f t="shared" si="58"/>
        <v>1.0493810184862853</v>
      </c>
      <c r="M159" s="300">
        <f t="shared" si="58"/>
        <v>1.1634805008199585</v>
      </c>
      <c r="N159" s="300">
        <f t="shared" si="58"/>
        <v>1.2781162507206014</v>
      </c>
      <c r="O159" s="300">
        <f t="shared" si="58"/>
        <v>1.3932907886457684</v>
      </c>
      <c r="P159" s="300">
        <f t="shared" si="58"/>
        <v>1.5090066468991952</v>
      </c>
      <c r="Q159" s="300">
        <f t="shared" si="58"/>
        <v>1.6252663696864087</v>
      </c>
      <c r="R159" s="300">
        <f t="shared" si="58"/>
        <v>1.74207251317072</v>
      </c>
      <c r="S159" s="300">
        <f t="shared" si="58"/>
        <v>1.859427645529411</v>
      </c>
      <c r="T159" s="300">
        <f t="shared" si="58"/>
        <v>1.9773343470101863</v>
      </c>
      <c r="U159" s="300">
        <f t="shared" si="58"/>
        <v>2.0957952099879256</v>
      </c>
      <c r="V159" s="300">
        <f t="shared" si="58"/>
        <v>2.2148128390216537</v>
      </c>
      <c r="W159" s="300">
        <f t="shared" si="58"/>
        <v>2.3343898509118457</v>
      </c>
      <c r="X159" s="300">
        <f t="shared" si="58"/>
        <v>2.4545288747579117</v>
      </c>
      <c r="Y159" s="300">
        <f t="shared" si="58"/>
        <v>2.5752325520160664</v>
      </c>
      <c r="Z159" s="300">
        <f t="shared" si="58"/>
        <v>2.6965035365573291</v>
      </c>
      <c r="AA159" s="300">
        <f t="shared" si="58"/>
        <v>2.8183444947259328</v>
      </c>
      <c r="AB159" s="300">
        <f t="shared" si="58"/>
        <v>2.9407581053979333</v>
      </c>
      <c r="AC159" s="300">
        <f t="shared" si="58"/>
        <v>3.0637470600400958</v>
      </c>
      <c r="AD159" s="300">
        <f t="shared" si="58"/>
        <v>3.1873140627690679</v>
      </c>
      <c r="AE159" s="300">
        <f t="shared" si="58"/>
        <v>3.3114618304108698</v>
      </c>
      <c r="AF159" s="300">
        <f t="shared" si="58"/>
        <v>3.436193092560587</v>
      </c>
      <c r="AG159" s="300">
        <f t="shared" si="58"/>
        <v>3.5615105916424139</v>
      </c>
      <c r="AH159" s="300">
        <f t="shared" si="58"/>
        <v>3.687417082969922</v>
      </c>
      <c r="AI159" s="300">
        <f t="shared" si="58"/>
        <v>3.8139153348066639</v>
      </c>
      <c r="AJ159" s="300">
        <f t="shared" si="58"/>
        <v>3.9410081284270428</v>
      </c>
      <c r="AK159" s="300">
        <f t="shared" si="58"/>
        <v>4.0686982581774354</v>
      </c>
      <c r="AL159" s="300">
        <f t="shared" si="58"/>
        <v>4.1969885315376585</v>
      </c>
      <c r="AM159" s="300">
        <f t="shared" si="58"/>
        <v>4.3258817691826739</v>
      </c>
      <c r="AN159" s="300">
        <f t="shared" si="58"/>
        <v>4.4553808050446202</v>
      </c>
      <c r="AO159" s="300">
        <f t="shared" si="58"/>
        <v>4.5854884863751222</v>
      </c>
      <c r="AP159" s="300">
        <f t="shared" si="58"/>
        <v>4.7162076738078662</v>
      </c>
      <c r="AQ159" s="300">
        <f t="shared" si="58"/>
        <v>4.8475412414215535</v>
      </c>
      <c r="AR159" s="300">
        <f t="shared" si="58"/>
        <v>4.9794920768030169</v>
      </c>
      <c r="AS159" s="300">
        <f t="shared" si="58"/>
        <v>5.1120630811107777</v>
      </c>
      <c r="AT159" s="300">
        <f t="shared" si="58"/>
        <v>5.2452571691387906</v>
      </c>
      <c r="AU159" s="300">
        <f t="shared" si="58"/>
        <v>5.3790772693805238</v>
      </c>
      <c r="AV159" s="300">
        <f t="shared" si="58"/>
        <v>5.5135263240933963</v>
      </c>
      <c r="AW159" s="300">
        <f t="shared" si="58"/>
        <v>5.6486072893634223</v>
      </c>
      <c r="AX159" s="300">
        <f t="shared" si="58"/>
        <v>5.7843231351702187</v>
      </c>
      <c r="AY159" s="300">
        <f t="shared" si="58"/>
        <v>5.9206768454523067</v>
      </c>
      <c r="AZ159" s="300">
        <f t="shared" si="58"/>
        <v>6.0576714181727169</v>
      </c>
      <c r="BA159" s="300">
        <f t="shared" si="58"/>
        <v>6.1953098653849139</v>
      </c>
      <c r="BB159" s="300">
        <f t="shared" si="58"/>
        <v>6.3335952132990112</v>
      </c>
      <c r="BC159" s="300">
        <f t="shared" si="58"/>
        <v>6.4725305023483015</v>
      </c>
    </row>
    <row r="160" spans="2:58" s="197" customFormat="1" ht="16.899999999999999" customHeight="1" outlineLevel="1" x14ac:dyDescent="0.25">
      <c r="B160" s="301" t="s">
        <v>467</v>
      </c>
      <c r="C160" s="300">
        <f>C159</f>
        <v>-58.377062215241679</v>
      </c>
      <c r="D160" s="300">
        <f t="shared" ref="D160:BC160" si="59">C160+D159</f>
        <v>-192.31852118407824</v>
      </c>
      <c r="E160" s="300">
        <f t="shared" si="59"/>
        <v>-283.53356224729396</v>
      </c>
      <c r="F160" s="300">
        <f t="shared" si="59"/>
        <v>-283.15765617082269</v>
      </c>
      <c r="G160" s="300">
        <f t="shared" si="59"/>
        <v>-282.67081594424519</v>
      </c>
      <c r="H160" s="300">
        <f t="shared" si="59"/>
        <v>-282.07252017705599</v>
      </c>
      <c r="I160" s="300">
        <f t="shared" si="59"/>
        <v>-281.3622450282142</v>
      </c>
      <c r="J160" s="300">
        <f t="shared" si="59"/>
        <v>-280.53946419462608</v>
      </c>
      <c r="K160" s="300">
        <f t="shared" si="59"/>
        <v>-279.60364889957333</v>
      </c>
      <c r="L160" s="300">
        <f t="shared" si="59"/>
        <v>-278.55426788108707</v>
      </c>
      <c r="M160" s="300">
        <f t="shared" si="59"/>
        <v>-277.39078738026711</v>
      </c>
      <c r="N160" s="300">
        <f t="shared" si="59"/>
        <v>-276.11267112954653</v>
      </c>
      <c r="O160" s="300">
        <f t="shared" si="59"/>
        <v>-274.71938034090078</v>
      </c>
      <c r="P160" s="300">
        <f t="shared" si="59"/>
        <v>-273.21037369400159</v>
      </c>
      <c r="Q160" s="300">
        <f t="shared" si="59"/>
        <v>-271.58510732431517</v>
      </c>
      <c r="R160" s="300">
        <f t="shared" si="59"/>
        <v>-269.84303481114443</v>
      </c>
      <c r="S160" s="300">
        <f t="shared" si="59"/>
        <v>-267.98360716561501</v>
      </c>
      <c r="T160" s="300">
        <f t="shared" si="59"/>
        <v>-266.00627281860483</v>
      </c>
      <c r="U160" s="300">
        <f t="shared" si="59"/>
        <v>-263.91047760861693</v>
      </c>
      <c r="V160" s="300">
        <f t="shared" si="59"/>
        <v>-261.69566476959528</v>
      </c>
      <c r="W160" s="300">
        <f t="shared" si="59"/>
        <v>-259.36127491868342</v>
      </c>
      <c r="X160" s="300">
        <f t="shared" si="59"/>
        <v>-256.90674604392552</v>
      </c>
      <c r="Y160" s="300">
        <f t="shared" si="59"/>
        <v>-254.33151349190945</v>
      </c>
      <c r="Z160" s="300">
        <f t="shared" si="59"/>
        <v>-251.63500995535213</v>
      </c>
      <c r="AA160" s="300">
        <f t="shared" si="59"/>
        <v>-248.81666546062621</v>
      </c>
      <c r="AB160" s="300">
        <f t="shared" si="59"/>
        <v>-245.87590735522826</v>
      </c>
      <c r="AC160" s="300">
        <f t="shared" si="59"/>
        <v>-242.81216029518816</v>
      </c>
      <c r="AD160" s="300">
        <f t="shared" si="59"/>
        <v>-239.62484623241909</v>
      </c>
      <c r="AE160" s="300">
        <f t="shared" si="59"/>
        <v>-236.31338440200821</v>
      </c>
      <c r="AF160" s="300">
        <f t="shared" si="59"/>
        <v>-232.87719130944762</v>
      </c>
      <c r="AG160" s="300">
        <f t="shared" si="59"/>
        <v>-229.31568071780521</v>
      </c>
      <c r="AH160" s="300">
        <f t="shared" si="59"/>
        <v>-225.62826363483529</v>
      </c>
      <c r="AI160" s="300">
        <f t="shared" si="59"/>
        <v>-221.81434830002863</v>
      </c>
      <c r="AJ160" s="300">
        <f t="shared" si="59"/>
        <v>-217.8733401716016</v>
      </c>
      <c r="AK160" s="300">
        <f t="shared" si="59"/>
        <v>-213.80464191342415</v>
      </c>
      <c r="AL160" s="300">
        <f t="shared" si="59"/>
        <v>-209.60765338188648</v>
      </c>
      <c r="AM160" s="300">
        <f t="shared" si="59"/>
        <v>-205.28177161270381</v>
      </c>
      <c r="AN160" s="300">
        <f t="shared" si="59"/>
        <v>-200.82639080765918</v>
      </c>
      <c r="AO160" s="300">
        <f t="shared" si="59"/>
        <v>-196.24090232128407</v>
      </c>
      <c r="AP160" s="300">
        <f t="shared" si="59"/>
        <v>-191.5246946474762</v>
      </c>
      <c r="AQ160" s="300">
        <f t="shared" si="59"/>
        <v>-186.67715340605463</v>
      </c>
      <c r="AR160" s="300">
        <f t="shared" si="59"/>
        <v>-181.69766132925162</v>
      </c>
      <c r="AS160" s="300">
        <f t="shared" si="59"/>
        <v>-176.58559824814083</v>
      </c>
      <c r="AT160" s="300">
        <f t="shared" si="59"/>
        <v>-171.34034107900203</v>
      </c>
      <c r="AU160" s="300">
        <f t="shared" si="59"/>
        <v>-165.9612638096215</v>
      </c>
      <c r="AV160" s="300">
        <f t="shared" si="59"/>
        <v>-160.44773748552811</v>
      </c>
      <c r="AW160" s="300">
        <f t="shared" si="59"/>
        <v>-154.7991301961647</v>
      </c>
      <c r="AX160" s="300">
        <f t="shared" si="59"/>
        <v>-149.01480706099449</v>
      </c>
      <c r="AY160" s="300">
        <f t="shared" si="59"/>
        <v>-143.09413021554218</v>
      </c>
      <c r="AZ160" s="300">
        <f t="shared" si="59"/>
        <v>-137.03645879736945</v>
      </c>
      <c r="BA160" s="300">
        <f t="shared" si="59"/>
        <v>-130.84114893198455</v>
      </c>
      <c r="BB160" s="300">
        <f t="shared" si="59"/>
        <v>-124.50755371868554</v>
      </c>
      <c r="BC160" s="300">
        <f t="shared" si="59"/>
        <v>-118.03502321633724</v>
      </c>
    </row>
    <row r="161" spans="1:58" s="197" customFormat="1" ht="16.899999999999999" customHeight="1" outlineLevel="1" x14ac:dyDescent="0.25">
      <c r="B161" s="197" t="s">
        <v>416</v>
      </c>
      <c r="C161" s="297">
        <f t="shared" ref="C161:AH161" si="60">C156/(1+$C$28)^C32</f>
        <v>-64.062988075006217</v>
      </c>
      <c r="D161" s="297">
        <f t="shared" si="60"/>
        <v>-133.94145896883657</v>
      </c>
      <c r="E161" s="297">
        <f t="shared" si="60"/>
        <v>-83.119228233292972</v>
      </c>
      <c r="F161" s="297">
        <f t="shared" si="60"/>
        <v>0.31214000598268771</v>
      </c>
      <c r="G161" s="297">
        <f t="shared" si="60"/>
        <v>0.36837622095317596</v>
      </c>
      <c r="H161" s="297">
        <f t="shared" si="60"/>
        <v>0.41253054151498647</v>
      </c>
      <c r="I161" s="297">
        <f t="shared" si="60"/>
        <v>0.44627426203859955</v>
      </c>
      <c r="J161" s="297">
        <f t="shared" si="60"/>
        <v>0.47107974493173266</v>
      </c>
      <c r="K161" s="297">
        <f t="shared" si="60"/>
        <v>0.48824235084408313</v>
      </c>
      <c r="L161" s="297">
        <f t="shared" si="60"/>
        <v>0.49890006142059889</v>
      </c>
      <c r="M161" s="297">
        <f t="shared" si="60"/>
        <v>0.50405102989895578</v>
      </c>
      <c r="N161" s="297">
        <f t="shared" si="60"/>
        <v>0.50456927138677954</v>
      </c>
      <c r="O161" s="297">
        <f t="shared" si="60"/>
        <v>0.50121868349428023</v>
      </c>
      <c r="P161" s="297">
        <f t="shared" si="60"/>
        <v>0.49466556891508684</v>
      </c>
      <c r="Q161" s="297">
        <f t="shared" si="60"/>
        <v>0.48548981434136712</v>
      </c>
      <c r="R161" s="297">
        <f t="shared" si="60"/>
        <v>0.4741948645869507</v>
      </c>
      <c r="S161" s="297">
        <f t="shared" si="60"/>
        <v>0.46121661680922099</v>
      </c>
      <c r="T161" s="297">
        <f t="shared" si="60"/>
        <v>0.44693134711886617</v>
      </c>
      <c r="U161" s="297">
        <f t="shared" si="60"/>
        <v>0.43166277051140794</v>
      </c>
      <c r="V161" s="297">
        <f t="shared" si="60"/>
        <v>0.4156883248243966</v>
      </c>
      <c r="W161" s="297">
        <f t="shared" si="60"/>
        <v>0.39924476020959321</v>
      </c>
      <c r="X161" s="297">
        <f t="shared" si="60"/>
        <v>0.38253310731096624</v>
      </c>
      <c r="Y161" s="297">
        <f t="shared" si="60"/>
        <v>0.36572308986753205</v>
      </c>
      <c r="Z161" s="297">
        <f t="shared" si="60"/>
        <v>0.34895704073370992</v>
      </c>
      <c r="AA161" s="297">
        <f t="shared" si="60"/>
        <v>0.33235337425613848</v>
      </c>
      <c r="AB161" s="297">
        <f t="shared" si="60"/>
        <v>0.31600966249839496</v>
      </c>
      <c r="AC161" s="297">
        <f t="shared" si="60"/>
        <v>0.30000535790443827</v>
      </c>
      <c r="AD161" s="297">
        <f t="shared" si="60"/>
        <v>0.28440420058376731</v>
      </c>
      <c r="AE161" s="297">
        <f t="shared" si="60"/>
        <v>0.26925634443772389</v>
      </c>
      <c r="AF161" s="297">
        <f t="shared" si="60"/>
        <v>0.25460023278311167</v>
      </c>
      <c r="AG161" s="297">
        <f t="shared" si="60"/>
        <v>0.24046425092677834</v>
      </c>
      <c r="AH161" s="297">
        <f t="shared" si="60"/>
        <v>0.22686818026716965</v>
      </c>
      <c r="AI161" s="297">
        <f t="shared" ref="AI161:BC161" si="61">AI156/(1+$C$28)^AI32</f>
        <v>0.21382447591391587</v>
      </c>
      <c r="AJ161" s="297">
        <f t="shared" si="61"/>
        <v>0.2013393874950653</v>
      </c>
      <c r="AK161" s="297">
        <f t="shared" si="61"/>
        <v>0.18941394073741397</v>
      </c>
      <c r="AL161" s="297">
        <f t="shared" si="61"/>
        <v>0.1780447955347785</v>
      </c>
      <c r="AM161" s="297">
        <f t="shared" si="61"/>
        <v>0.16722499454064024</v>
      </c>
      <c r="AN161" s="297">
        <f t="shared" si="61"/>
        <v>0.15694461481611499</v>
      </c>
      <c r="AO161" s="297">
        <f t="shared" si="61"/>
        <v>0.14719133371426779</v>
      </c>
      <c r="AP161" s="297">
        <f t="shared" si="61"/>
        <v>0.13795091897176434</v>
      </c>
      <c r="AQ161" s="297">
        <f t="shared" si="61"/>
        <v>0.12920765189460193</v>
      </c>
      <c r="AR161" s="297">
        <f t="shared" si="61"/>
        <v>0.12094469155347133</v>
      </c>
      <c r="AS161" s="297">
        <f t="shared" si="61"/>
        <v>0.11314438703474006</v>
      </c>
      <c r="AT161" s="297">
        <f t="shared" si="61"/>
        <v>0.10578854401474533</v>
      </c>
      <c r="AU161" s="297">
        <f t="shared" si="61"/>
        <v>9.8858651228805175E-2</v>
      </c>
      <c r="AV161" s="297">
        <f t="shared" si="61"/>
        <v>9.2336071783685414E-2</v>
      </c>
      <c r="AW161" s="297">
        <f t="shared" si="61"/>
        <v>8.6202203705682781E-2</v>
      </c>
      <c r="AX161" s="297">
        <f t="shared" si="61"/>
        <v>8.0438613619228827E-2</v>
      </c>
      <c r="AY161" s="297">
        <f t="shared" si="61"/>
        <v>7.50271470068615E-2</v>
      </c>
      <c r="AZ161" s="297">
        <f t="shared" si="61"/>
        <v>6.9950018105081044E-2</v>
      </c>
      <c r="BA161" s="297">
        <f t="shared" si="61"/>
        <v>6.5189882137058605E-2</v>
      </c>
      <c r="BB161" s="297">
        <f t="shared" si="61"/>
        <v>6.0729892267959669E-2</v>
      </c>
      <c r="BC161" s="297">
        <f t="shared" si="61"/>
        <v>5.6553743387793211E-2</v>
      </c>
    </row>
    <row r="162" spans="1:58" s="197" customFormat="1" ht="16.899999999999999" customHeight="1" outlineLevel="1" x14ac:dyDescent="0.25">
      <c r="B162" s="290" t="s">
        <v>417</v>
      </c>
      <c r="C162" s="297">
        <f>C161</f>
        <v>-64.062988075006217</v>
      </c>
      <c r="D162" s="297">
        <f t="shared" ref="D162:BC162" si="62">C162+D161</f>
        <v>-198.00444704384279</v>
      </c>
      <c r="E162" s="297">
        <f t="shared" si="62"/>
        <v>-281.12367527713576</v>
      </c>
      <c r="F162" s="297">
        <f t="shared" si="62"/>
        <v>-280.81153527115305</v>
      </c>
      <c r="G162" s="297">
        <f t="shared" si="62"/>
        <v>-280.44315905019988</v>
      </c>
      <c r="H162" s="297">
        <f t="shared" si="62"/>
        <v>-280.03062850868491</v>
      </c>
      <c r="I162" s="297">
        <f t="shared" si="62"/>
        <v>-279.58435424664628</v>
      </c>
      <c r="J162" s="297">
        <f t="shared" si="62"/>
        <v>-279.11327450171456</v>
      </c>
      <c r="K162" s="297">
        <f t="shared" si="62"/>
        <v>-278.62503215087048</v>
      </c>
      <c r="L162" s="297">
        <f t="shared" si="62"/>
        <v>-278.12613208944987</v>
      </c>
      <c r="M162" s="297">
        <f t="shared" si="62"/>
        <v>-277.62208105955091</v>
      </c>
      <c r="N162" s="297">
        <f t="shared" si="62"/>
        <v>-277.11751178816411</v>
      </c>
      <c r="O162" s="297">
        <f t="shared" si="62"/>
        <v>-276.61629310466981</v>
      </c>
      <c r="P162" s="297">
        <f t="shared" si="62"/>
        <v>-276.12162753575473</v>
      </c>
      <c r="Q162" s="297">
        <f t="shared" si="62"/>
        <v>-275.63613772141338</v>
      </c>
      <c r="R162" s="297">
        <f t="shared" si="62"/>
        <v>-275.16194285682644</v>
      </c>
      <c r="S162" s="297">
        <f t="shared" si="62"/>
        <v>-274.70072624001722</v>
      </c>
      <c r="T162" s="297">
        <f t="shared" si="62"/>
        <v>-274.25379489289833</v>
      </c>
      <c r="U162" s="297">
        <f t="shared" si="62"/>
        <v>-273.8221321223869</v>
      </c>
      <c r="V162" s="297">
        <f t="shared" si="62"/>
        <v>-273.40644379756253</v>
      </c>
      <c r="W162" s="297">
        <f t="shared" si="62"/>
        <v>-273.00719903735296</v>
      </c>
      <c r="X162" s="297">
        <f t="shared" si="62"/>
        <v>-272.624665930042</v>
      </c>
      <c r="Y162" s="297">
        <f t="shared" si="62"/>
        <v>-272.25894284017448</v>
      </c>
      <c r="Z162" s="297">
        <f t="shared" si="62"/>
        <v>-271.90998579944079</v>
      </c>
      <c r="AA162" s="297">
        <f t="shared" si="62"/>
        <v>-271.57763242518467</v>
      </c>
      <c r="AB162" s="297">
        <f t="shared" si="62"/>
        <v>-271.26162276268627</v>
      </c>
      <c r="AC162" s="297">
        <f t="shared" si="62"/>
        <v>-270.96161740478186</v>
      </c>
      <c r="AD162" s="297">
        <f t="shared" si="62"/>
        <v>-270.6772132041981</v>
      </c>
      <c r="AE162" s="297">
        <f t="shared" si="62"/>
        <v>-270.40795685976036</v>
      </c>
      <c r="AF162" s="297">
        <f t="shared" si="62"/>
        <v>-270.15335662697726</v>
      </c>
      <c r="AG162" s="297">
        <f t="shared" si="62"/>
        <v>-269.91289237605048</v>
      </c>
      <c r="AH162" s="297">
        <f t="shared" si="62"/>
        <v>-269.68602419578332</v>
      </c>
      <c r="AI162" s="297">
        <f t="shared" si="62"/>
        <v>-269.47219971986942</v>
      </c>
      <c r="AJ162" s="297">
        <f t="shared" si="62"/>
        <v>-269.27086033237435</v>
      </c>
      <c r="AK162" s="297">
        <f t="shared" si="62"/>
        <v>-269.08144639163692</v>
      </c>
      <c r="AL162" s="297">
        <f t="shared" si="62"/>
        <v>-268.90340159610213</v>
      </c>
      <c r="AM162" s="297">
        <f t="shared" si="62"/>
        <v>-268.73617660156151</v>
      </c>
      <c r="AN162" s="297">
        <f t="shared" si="62"/>
        <v>-268.57923198674541</v>
      </c>
      <c r="AO162" s="297">
        <f t="shared" si="62"/>
        <v>-268.43204065303115</v>
      </c>
      <c r="AP162" s="297">
        <f t="shared" si="62"/>
        <v>-268.29408973405941</v>
      </c>
      <c r="AQ162" s="297">
        <f t="shared" si="62"/>
        <v>-268.16488208216481</v>
      </c>
      <c r="AR162" s="297">
        <f t="shared" si="62"/>
        <v>-268.04393739061135</v>
      </c>
      <c r="AS162" s="297">
        <f t="shared" si="62"/>
        <v>-267.93079300357658</v>
      </c>
      <c r="AT162" s="297">
        <f t="shared" si="62"/>
        <v>-267.82500445956185</v>
      </c>
      <c r="AU162" s="297">
        <f t="shared" si="62"/>
        <v>-267.72614580833306</v>
      </c>
      <c r="AV162" s="297">
        <f t="shared" si="62"/>
        <v>-267.63380973654938</v>
      </c>
      <c r="AW162" s="297">
        <f t="shared" si="62"/>
        <v>-267.5476075328437</v>
      </c>
      <c r="AX162" s="297">
        <f t="shared" si="62"/>
        <v>-267.46716891922449</v>
      </c>
      <c r="AY162" s="297">
        <f t="shared" si="62"/>
        <v>-267.39214177221766</v>
      </c>
      <c r="AZ162" s="297">
        <f t="shared" si="62"/>
        <v>-267.32219175411257</v>
      </c>
      <c r="BA162" s="297">
        <f t="shared" si="62"/>
        <v>-267.25700187197549</v>
      </c>
      <c r="BB162" s="297">
        <f t="shared" si="62"/>
        <v>-267.19627197970755</v>
      </c>
      <c r="BC162" s="297">
        <f t="shared" si="62"/>
        <v>-267.13971823631977</v>
      </c>
    </row>
    <row r="163" spans="1:58" s="197" customFormat="1" ht="16.899999999999999" customHeight="1" outlineLevel="1" x14ac:dyDescent="0.25">
      <c r="B163" s="290" t="s">
        <v>418</v>
      </c>
      <c r="C163" s="297">
        <f t="shared" ref="C163:AH163" si="63">C63/(1+$C$28)^C32</f>
        <v>100.9879346547112</v>
      </c>
      <c r="D163" s="297">
        <f t="shared" si="63"/>
        <v>167.7548572586052</v>
      </c>
      <c r="E163" s="297">
        <f t="shared" si="63"/>
        <v>114.08324448402848</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1</v>
      </c>
      <c r="Z164" s="302">
        <f t="shared" si="65"/>
        <v>1</v>
      </c>
      <c r="AA164" s="302">
        <f t="shared" si="65"/>
        <v>1</v>
      </c>
      <c r="AB164" s="302">
        <f t="shared" si="65"/>
        <v>1</v>
      </c>
      <c r="AC164" s="302">
        <f t="shared" si="65"/>
        <v>1</v>
      </c>
      <c r="AD164" s="302">
        <f t="shared" si="65"/>
        <v>1</v>
      </c>
      <c r="AE164" s="302">
        <f t="shared" si="65"/>
        <v>1</v>
      </c>
      <c r="AF164" s="302">
        <f t="shared" si="65"/>
        <v>1</v>
      </c>
      <c r="AG164" s="302">
        <f t="shared" si="65"/>
        <v>1</v>
      </c>
      <c r="AH164" s="302">
        <f t="shared" si="65"/>
        <v>1</v>
      </c>
      <c r="AI164" s="302">
        <f t="shared" si="65"/>
        <v>1</v>
      </c>
      <c r="AJ164" s="302">
        <f t="shared" si="65"/>
        <v>1</v>
      </c>
      <c r="AK164" s="302">
        <f t="shared" si="65"/>
        <v>1</v>
      </c>
      <c r="AL164" s="302">
        <f t="shared" si="65"/>
        <v>1</v>
      </c>
      <c r="AM164" s="302">
        <f t="shared" si="65"/>
        <v>1</v>
      </c>
      <c r="AN164" s="302">
        <f t="shared" si="65"/>
        <v>1</v>
      </c>
      <c r="AO164" s="302">
        <f t="shared" si="65"/>
        <v>1</v>
      </c>
      <c r="AP164" s="302">
        <f t="shared" si="65"/>
        <v>1</v>
      </c>
      <c r="AQ164" s="302">
        <f t="shared" si="65"/>
        <v>1</v>
      </c>
      <c r="AR164" s="302">
        <f t="shared" si="65"/>
        <v>1</v>
      </c>
      <c r="AS164" s="302">
        <f t="shared" si="65"/>
        <v>1</v>
      </c>
      <c r="AT164" s="302">
        <f t="shared" si="65"/>
        <v>1</v>
      </c>
      <c r="AU164" s="302">
        <f t="shared" si="65"/>
        <v>1</v>
      </c>
      <c r="AV164" s="302">
        <f t="shared" si="65"/>
        <v>1</v>
      </c>
      <c r="AW164" s="302">
        <f t="shared" si="65"/>
        <v>1</v>
      </c>
      <c r="AX164" s="302">
        <f t="shared" si="65"/>
        <v>1</v>
      </c>
      <c r="AY164" s="302">
        <f t="shared" si="65"/>
        <v>1</v>
      </c>
      <c r="AZ164" s="302">
        <f t="shared" si="65"/>
        <v>1</v>
      </c>
      <c r="BA164" s="302">
        <f t="shared" si="65"/>
        <v>1</v>
      </c>
      <c r="BB164" s="302">
        <f t="shared" si="65"/>
        <v>1</v>
      </c>
      <c r="BC164" s="302">
        <f t="shared" si="65"/>
        <v>1</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f>IF(AK31=1,IRR($C156:AK156),"-")</f>
        <v>-5.7361801751661279E-2</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70.691554258297828</v>
      </c>
      <c r="D167" s="297">
        <f t="shared" ref="D167:BC167" si="66">D63*(1-$D$14)</f>
        <v>128.86592624891531</v>
      </c>
      <c r="E167" s="297">
        <f t="shared" si="66"/>
        <v>96.172258608970949</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70.691554258297828</v>
      </c>
      <c r="D168" s="297">
        <f t="shared" ref="D168:BC168" si="67">C173+D167</f>
        <v>199.55748050721314</v>
      </c>
      <c r="E168" s="297">
        <f t="shared" si="67"/>
        <v>295.72973911618408</v>
      </c>
      <c r="F168" s="297">
        <f t="shared" si="67"/>
        <v>295.72973911618408</v>
      </c>
      <c r="G168" s="297">
        <f t="shared" si="67"/>
        <v>280.94325216037487</v>
      </c>
      <c r="H168" s="297">
        <f t="shared" si="67"/>
        <v>266.15676520456566</v>
      </c>
      <c r="I168" s="297">
        <f t="shared" si="67"/>
        <v>251.37027824875645</v>
      </c>
      <c r="J168" s="297">
        <f t="shared" si="67"/>
        <v>236.58379129294724</v>
      </c>
      <c r="K168" s="297">
        <f t="shared" si="67"/>
        <v>221.79730433713803</v>
      </c>
      <c r="L168" s="297">
        <f t="shared" si="67"/>
        <v>207.01081738132882</v>
      </c>
      <c r="M168" s="297">
        <f t="shared" si="67"/>
        <v>192.22433042551961</v>
      </c>
      <c r="N168" s="297">
        <f t="shared" si="67"/>
        <v>177.4378434697104</v>
      </c>
      <c r="O168" s="297">
        <f t="shared" si="67"/>
        <v>162.65135651390119</v>
      </c>
      <c r="P168" s="297">
        <f t="shared" si="67"/>
        <v>147.86486955809198</v>
      </c>
      <c r="Q168" s="297">
        <f t="shared" si="67"/>
        <v>133.07838260228277</v>
      </c>
      <c r="R168" s="297">
        <f t="shared" si="67"/>
        <v>118.29189564647356</v>
      </c>
      <c r="S168" s="297">
        <f t="shared" si="67"/>
        <v>103.50540869066435</v>
      </c>
      <c r="T168" s="297">
        <f t="shared" si="67"/>
        <v>88.718921734855144</v>
      </c>
      <c r="U168" s="297">
        <f t="shared" si="67"/>
        <v>73.932434779045934</v>
      </c>
      <c r="V168" s="297">
        <f t="shared" si="67"/>
        <v>59.145947823236732</v>
      </c>
      <c r="W168" s="297">
        <f t="shared" si="67"/>
        <v>44.359460867427529</v>
      </c>
      <c r="X168" s="297">
        <f t="shared" si="67"/>
        <v>29.572973911618327</v>
      </c>
      <c r="Y168" s="297">
        <f t="shared" si="67"/>
        <v>14.786486955809123</v>
      </c>
      <c r="Z168" s="297">
        <f t="shared" si="67"/>
        <v>-8.1712414612411521E-14</v>
      </c>
      <c r="AA168" s="297">
        <f t="shared" si="67"/>
        <v>-8.1712414612411521E-14</v>
      </c>
      <c r="AB168" s="297">
        <f t="shared" si="67"/>
        <v>-8.1712414612411521E-14</v>
      </c>
      <c r="AC168" s="297">
        <f t="shared" si="67"/>
        <v>-8.1712414612411521E-14</v>
      </c>
      <c r="AD168" s="297">
        <f t="shared" si="67"/>
        <v>-8.1712414612411521E-14</v>
      </c>
      <c r="AE168" s="297">
        <f t="shared" si="67"/>
        <v>-8.1712414612411521E-14</v>
      </c>
      <c r="AF168" s="297">
        <f t="shared" si="67"/>
        <v>-8.1712414612411521E-14</v>
      </c>
      <c r="AG168" s="297">
        <f t="shared" si="67"/>
        <v>-8.1712414612411521E-14</v>
      </c>
      <c r="AH168" s="297">
        <f t="shared" si="67"/>
        <v>-8.1712414612411521E-14</v>
      </c>
      <c r="AI168" s="297">
        <f t="shared" si="67"/>
        <v>-8.1712414612411521E-14</v>
      </c>
      <c r="AJ168" s="297">
        <f t="shared" si="67"/>
        <v>-8.1712414612411521E-14</v>
      </c>
      <c r="AK168" s="297">
        <f t="shared" si="67"/>
        <v>-8.1712414612411521E-14</v>
      </c>
      <c r="AL168" s="297">
        <f t="shared" si="67"/>
        <v>-8.1712414612411521E-14</v>
      </c>
      <c r="AM168" s="297">
        <f t="shared" si="67"/>
        <v>-8.1712414612411521E-14</v>
      </c>
      <c r="AN168" s="297">
        <f t="shared" si="67"/>
        <v>-8.1712414612411521E-14</v>
      </c>
      <c r="AO168" s="297">
        <f t="shared" si="67"/>
        <v>-8.1712414612411521E-14</v>
      </c>
      <c r="AP168" s="297">
        <f t="shared" si="67"/>
        <v>-8.1712414612411521E-14</v>
      </c>
      <c r="AQ168" s="297">
        <f t="shared" si="67"/>
        <v>-8.1712414612411521E-14</v>
      </c>
      <c r="AR168" s="297">
        <f t="shared" si="67"/>
        <v>-8.1712414612411521E-14</v>
      </c>
      <c r="AS168" s="297">
        <f t="shared" si="67"/>
        <v>-8.1712414612411521E-14</v>
      </c>
      <c r="AT168" s="297">
        <f t="shared" si="67"/>
        <v>-8.1712414612411521E-14</v>
      </c>
      <c r="AU168" s="297">
        <f t="shared" si="67"/>
        <v>-8.1712414612411521E-14</v>
      </c>
      <c r="AV168" s="297">
        <f t="shared" si="67"/>
        <v>-8.1712414612411521E-14</v>
      </c>
      <c r="AW168" s="297">
        <f t="shared" si="67"/>
        <v>-8.1712414612411521E-14</v>
      </c>
      <c r="AX168" s="297">
        <f t="shared" si="67"/>
        <v>-8.1712414612411521E-14</v>
      </c>
      <c r="AY168" s="297">
        <f t="shared" si="67"/>
        <v>-8.1712414612411521E-14</v>
      </c>
      <c r="AZ168" s="297">
        <f t="shared" si="67"/>
        <v>-8.1712414612411521E-14</v>
      </c>
      <c r="BA168" s="297">
        <f t="shared" si="67"/>
        <v>-8.1712414612411521E-14</v>
      </c>
      <c r="BB168" s="297">
        <f t="shared" si="67"/>
        <v>-8.1712414612411521E-14</v>
      </c>
      <c r="BC168" s="297">
        <f t="shared" si="67"/>
        <v>-8.1712414612411521E-14</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-14.786486955809204</v>
      </c>
      <c r="G171" s="297">
        <f t="shared" si="70"/>
        <v>-14.786486955809204</v>
      </c>
      <c r="H171" s="297">
        <f t="shared" si="70"/>
        <v>-14.786486955809204</v>
      </c>
      <c r="I171" s="297">
        <f t="shared" si="70"/>
        <v>-14.786486955809204</v>
      </c>
      <c r="J171" s="297">
        <f t="shared" si="70"/>
        <v>-14.786486955809204</v>
      </c>
      <c r="K171" s="297">
        <f t="shared" si="70"/>
        <v>-14.786486955809204</v>
      </c>
      <c r="L171" s="297">
        <f t="shared" si="70"/>
        <v>-14.786486955809204</v>
      </c>
      <c r="M171" s="297">
        <f t="shared" si="70"/>
        <v>-14.786486955809204</v>
      </c>
      <c r="N171" s="297">
        <f t="shared" si="70"/>
        <v>-14.786486955809204</v>
      </c>
      <c r="O171" s="297">
        <f t="shared" si="70"/>
        <v>-14.786486955809204</v>
      </c>
      <c r="P171" s="297">
        <f t="shared" si="70"/>
        <v>-14.786486955809204</v>
      </c>
      <c r="Q171" s="297">
        <f t="shared" si="70"/>
        <v>-14.786486955809204</v>
      </c>
      <c r="R171" s="297">
        <f t="shared" si="70"/>
        <v>-14.786486955809204</v>
      </c>
      <c r="S171" s="297">
        <f t="shared" si="70"/>
        <v>-14.786486955809204</v>
      </c>
      <c r="T171" s="297">
        <f t="shared" si="70"/>
        <v>-14.786486955809204</v>
      </c>
      <c r="U171" s="297">
        <f t="shared" si="70"/>
        <v>-14.786486955809204</v>
      </c>
      <c r="V171" s="297">
        <f t="shared" si="70"/>
        <v>-14.786486955809204</v>
      </c>
      <c r="W171" s="297">
        <f t="shared" si="70"/>
        <v>-14.786486955809204</v>
      </c>
      <c r="X171" s="297">
        <f t="shared" si="70"/>
        <v>-14.786486955809204</v>
      </c>
      <c r="Y171" s="297">
        <f t="shared" si="70"/>
        <v>-14.786486955809204</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-3.0750826102359552</v>
      </c>
      <c r="E172" s="297">
        <f t="shared" si="72"/>
        <v>-8.6807504020637705</v>
      </c>
      <c r="F172" s="297">
        <f t="shared" si="72"/>
        <v>-14.786486955809204</v>
      </c>
      <c r="G172" s="297">
        <f t="shared" si="72"/>
        <v>-14.047162608018745</v>
      </c>
      <c r="H172" s="297">
        <f t="shared" si="72"/>
        <v>-13.307838260228284</v>
      </c>
      <c r="I172" s="297">
        <f t="shared" si="72"/>
        <v>-12.568513912437822</v>
      </c>
      <c r="J172" s="297">
        <f t="shared" si="72"/>
        <v>-11.829189564647363</v>
      </c>
      <c r="K172" s="297">
        <f t="shared" si="72"/>
        <v>-11.089865216856902</v>
      </c>
      <c r="L172" s="297">
        <f t="shared" si="72"/>
        <v>-10.350540869066442</v>
      </c>
      <c r="M172" s="297">
        <f t="shared" si="72"/>
        <v>-9.6112165212759813</v>
      </c>
      <c r="N172" s="297">
        <f t="shared" si="72"/>
        <v>-8.8718921734855201</v>
      </c>
      <c r="O172" s="297">
        <f t="shared" si="72"/>
        <v>-8.1325678256950606</v>
      </c>
      <c r="P172" s="297">
        <f t="shared" si="72"/>
        <v>-7.3932434779045995</v>
      </c>
      <c r="Q172" s="297">
        <f t="shared" si="72"/>
        <v>-6.6539191301141392</v>
      </c>
      <c r="R172" s="297">
        <f t="shared" si="72"/>
        <v>-5.9145947823236789</v>
      </c>
      <c r="S172" s="297">
        <f t="shared" si="72"/>
        <v>-5.1752704345332177</v>
      </c>
      <c r="T172" s="297">
        <f t="shared" si="72"/>
        <v>-4.4359460867427574</v>
      </c>
      <c r="U172" s="297">
        <f t="shared" si="72"/>
        <v>-3.6966217389522971</v>
      </c>
      <c r="V172" s="297">
        <f t="shared" si="72"/>
        <v>-2.9572973911618368</v>
      </c>
      <c r="W172" s="297">
        <f t="shared" si="72"/>
        <v>-2.2179730433713765</v>
      </c>
      <c r="X172" s="297">
        <f t="shared" si="72"/>
        <v>-1.4786486955809164</v>
      </c>
      <c r="Y172" s="297">
        <f t="shared" si="72"/>
        <v>-0.73932434779045619</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70.691554258297828</v>
      </c>
      <c r="D173" s="297">
        <f t="shared" ref="D173:BC173" si="74">D168+D171</f>
        <v>199.55748050721314</v>
      </c>
      <c r="E173" s="297">
        <f t="shared" si="74"/>
        <v>295.72973911618408</v>
      </c>
      <c r="F173" s="297">
        <f t="shared" si="74"/>
        <v>280.94325216037487</v>
      </c>
      <c r="G173" s="297">
        <f t="shared" si="74"/>
        <v>266.15676520456566</v>
      </c>
      <c r="H173" s="297">
        <f t="shared" si="74"/>
        <v>251.37027824875645</v>
      </c>
      <c r="I173" s="297">
        <f t="shared" si="74"/>
        <v>236.58379129294724</v>
      </c>
      <c r="J173" s="297">
        <f t="shared" si="74"/>
        <v>221.79730433713803</v>
      </c>
      <c r="K173" s="297">
        <f t="shared" si="74"/>
        <v>207.01081738132882</v>
      </c>
      <c r="L173" s="297">
        <f t="shared" si="74"/>
        <v>192.22433042551961</v>
      </c>
      <c r="M173" s="297">
        <f t="shared" si="74"/>
        <v>177.4378434697104</v>
      </c>
      <c r="N173" s="297">
        <f t="shared" si="74"/>
        <v>162.65135651390119</v>
      </c>
      <c r="O173" s="297">
        <f t="shared" si="74"/>
        <v>147.86486955809198</v>
      </c>
      <c r="P173" s="297">
        <f t="shared" si="74"/>
        <v>133.07838260228277</v>
      </c>
      <c r="Q173" s="297">
        <f t="shared" si="74"/>
        <v>118.29189564647356</v>
      </c>
      <c r="R173" s="297">
        <f t="shared" si="74"/>
        <v>103.50540869066435</v>
      </c>
      <c r="S173" s="297">
        <f t="shared" si="74"/>
        <v>88.718921734855144</v>
      </c>
      <c r="T173" s="297">
        <f t="shared" si="74"/>
        <v>73.932434779045934</v>
      </c>
      <c r="U173" s="297">
        <f t="shared" si="74"/>
        <v>59.145947823236732</v>
      </c>
      <c r="V173" s="297">
        <f t="shared" si="74"/>
        <v>44.359460867427529</v>
      </c>
      <c r="W173" s="297">
        <f t="shared" si="74"/>
        <v>29.572973911618327</v>
      </c>
      <c r="X173" s="297">
        <f t="shared" si="74"/>
        <v>14.786486955809123</v>
      </c>
      <c r="Y173" s="297">
        <f t="shared" si="74"/>
        <v>-8.1712414612411521E-14</v>
      </c>
      <c r="Z173" s="297">
        <f t="shared" si="74"/>
        <v>-8.1712414612411521E-14</v>
      </c>
      <c r="AA173" s="297">
        <f t="shared" si="74"/>
        <v>-8.1712414612411521E-14</v>
      </c>
      <c r="AB173" s="297">
        <f t="shared" si="74"/>
        <v>-8.1712414612411521E-14</v>
      </c>
      <c r="AC173" s="297">
        <f t="shared" si="74"/>
        <v>-8.1712414612411521E-14</v>
      </c>
      <c r="AD173" s="297">
        <f t="shared" si="74"/>
        <v>-8.1712414612411521E-14</v>
      </c>
      <c r="AE173" s="297">
        <f t="shared" si="74"/>
        <v>-8.1712414612411521E-14</v>
      </c>
      <c r="AF173" s="297">
        <f t="shared" si="74"/>
        <v>-8.1712414612411521E-14</v>
      </c>
      <c r="AG173" s="297">
        <f t="shared" si="74"/>
        <v>-8.1712414612411521E-14</v>
      </c>
      <c r="AH173" s="297">
        <f t="shared" si="74"/>
        <v>-8.1712414612411521E-14</v>
      </c>
      <c r="AI173" s="297">
        <f t="shared" si="74"/>
        <v>-8.1712414612411521E-14</v>
      </c>
      <c r="AJ173" s="297">
        <f t="shared" si="74"/>
        <v>-8.1712414612411521E-14</v>
      </c>
      <c r="AK173" s="297">
        <f t="shared" si="74"/>
        <v>-8.1712414612411521E-14</v>
      </c>
      <c r="AL173" s="297">
        <f t="shared" si="74"/>
        <v>-8.1712414612411521E-14</v>
      </c>
      <c r="AM173" s="297">
        <f t="shared" si="74"/>
        <v>-8.1712414612411521E-14</v>
      </c>
      <c r="AN173" s="297">
        <f t="shared" si="74"/>
        <v>-8.1712414612411521E-14</v>
      </c>
      <c r="AO173" s="297">
        <f t="shared" si="74"/>
        <v>-8.1712414612411521E-14</v>
      </c>
      <c r="AP173" s="297">
        <f t="shared" si="74"/>
        <v>-8.1712414612411521E-14</v>
      </c>
      <c r="AQ173" s="297">
        <f t="shared" si="74"/>
        <v>-8.1712414612411521E-14</v>
      </c>
      <c r="AR173" s="297">
        <f t="shared" si="74"/>
        <v>-8.1712414612411521E-14</v>
      </c>
      <c r="AS173" s="297">
        <f t="shared" si="74"/>
        <v>-8.1712414612411521E-14</v>
      </c>
      <c r="AT173" s="297">
        <f t="shared" si="74"/>
        <v>-8.1712414612411521E-14</v>
      </c>
      <c r="AU173" s="297">
        <f t="shared" si="74"/>
        <v>-8.1712414612411521E-14</v>
      </c>
      <c r="AV173" s="297">
        <f t="shared" si="74"/>
        <v>-8.1712414612411521E-14</v>
      </c>
      <c r="AW173" s="297">
        <f t="shared" si="74"/>
        <v>-8.1712414612411521E-14</v>
      </c>
      <c r="AX173" s="297">
        <f t="shared" si="74"/>
        <v>-8.1712414612411521E-14</v>
      </c>
      <c r="AY173" s="297">
        <f t="shared" si="74"/>
        <v>-8.1712414612411521E-14</v>
      </c>
      <c r="AZ173" s="297">
        <f t="shared" si="74"/>
        <v>-8.1712414612411521E-14</v>
      </c>
      <c r="BA173" s="297">
        <f t="shared" si="74"/>
        <v>-8.1712414612411521E-14</v>
      </c>
      <c r="BB173" s="297">
        <f t="shared" si="74"/>
        <v>-8.1712414612411521E-14</v>
      </c>
      <c r="BC173" s="297">
        <f t="shared" si="74"/>
        <v>-8.1712414612411521E-14</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10.762017874044941</v>
      </c>
      <c r="D175" s="297">
        <f t="shared" ref="D175:BC175" si="75">D156+D167+D171+D172-D148+D35*$H$29*(1-0.0925-$C$10)/1000000+D149</f>
        <v>-17.043634520022014</v>
      </c>
      <c r="E175" s="297">
        <f t="shared" si="75"/>
        <v>-8.4354804112714703</v>
      </c>
      <c r="F175" s="297">
        <f t="shared" si="75"/>
        <v>-24.968446870714974</v>
      </c>
      <c r="G175" s="297">
        <f t="shared" si="75"/>
        <v>-24.087680950348815</v>
      </c>
      <c r="H175" s="297">
        <f t="shared" si="75"/>
        <v>-23.206250254591563</v>
      </c>
      <c r="I175" s="297">
        <f t="shared" si="75"/>
        <v>-22.324151658998868</v>
      </c>
      <c r="J175" s="297">
        <f t="shared" si="75"/>
        <v>-21.441382024441488</v>
      </c>
      <c r="K175" s="297">
        <f t="shared" si="75"/>
        <v>-20.557938197036325</v>
      </c>
      <c r="L175" s="297">
        <f t="shared" si="75"/>
        <v>-19.673817008076949</v>
      </c>
      <c r="M175" s="297">
        <f t="shared" si="75"/>
        <v>-18.7890152739641</v>
      </c>
      <c r="N175" s="297">
        <f t="shared" si="75"/>
        <v>-17.903529796135523</v>
      </c>
      <c r="O175" s="297">
        <f t="shared" si="75"/>
        <v>-17.017357360995767</v>
      </c>
      <c r="P175" s="297">
        <f t="shared" si="75"/>
        <v>-16.130494739845474</v>
      </c>
      <c r="Q175" s="297">
        <f t="shared" si="75"/>
        <v>-15.242938688810394</v>
      </c>
      <c r="R175" s="297">
        <f t="shared" si="75"/>
        <v>-14.354685948770058</v>
      </c>
      <c r="S175" s="297">
        <f t="shared" si="75"/>
        <v>-13.465733245286152</v>
      </c>
      <c r="T175" s="297">
        <f t="shared" si="75"/>
        <v>-12.576077288530477</v>
      </c>
      <c r="U175" s="297">
        <f t="shared" si="75"/>
        <v>-11.685714773212675</v>
      </c>
      <c r="V175" s="297">
        <f t="shared" si="75"/>
        <v>-10.794642378507486</v>
      </c>
      <c r="W175" s="297">
        <f t="shared" si="75"/>
        <v>-9.9028567679818114</v>
      </c>
      <c r="X175" s="297">
        <f t="shared" si="75"/>
        <v>-9.0103545895212633</v>
      </c>
      <c r="Y175" s="297">
        <f t="shared" si="75"/>
        <v>-8.117132475256577</v>
      </c>
      <c r="Z175" s="297">
        <f t="shared" si="75"/>
        <v>7.5632999143197344</v>
      </c>
      <c r="AA175" s="297">
        <f t="shared" si="75"/>
        <v>7.7186477194004883</v>
      </c>
      <c r="AB175" s="297">
        <f t="shared" si="75"/>
        <v>7.8747256591651134</v>
      </c>
      <c r="AC175" s="297">
        <f t="shared" si="75"/>
        <v>8.031537165246629</v>
      </c>
      <c r="AD175" s="297">
        <f t="shared" si="75"/>
        <v>8.189085685406738</v>
      </c>
      <c r="AE175" s="297">
        <f t="shared" si="75"/>
        <v>8.3473746836115872</v>
      </c>
      <c r="AF175" s="297">
        <f t="shared" si="75"/>
        <v>8.5064076401080122</v>
      </c>
      <c r="AG175" s="297">
        <f t="shared" si="75"/>
        <v>8.6661880514999545</v>
      </c>
      <c r="AH175" s="297">
        <f t="shared" si="75"/>
        <v>8.8267194308254524</v>
      </c>
      <c r="AI175" s="297">
        <f t="shared" si="75"/>
        <v>8.9880053076337809</v>
      </c>
      <c r="AJ175" s="297">
        <f t="shared" si="75"/>
        <v>9.1500492280631036</v>
      </c>
      <c r="AK175" s="297">
        <f t="shared" si="75"/>
        <v>9.3128547549184368</v>
      </c>
      <c r="AL175" s="297">
        <f t="shared" si="75"/>
        <v>9.4764254677500013</v>
      </c>
      <c r="AM175" s="297">
        <f t="shared" si="75"/>
        <v>9.6407649629318737</v>
      </c>
      <c r="AN175" s="297">
        <f t="shared" si="75"/>
        <v>9.8058768537411005</v>
      </c>
      <c r="AO175" s="297">
        <f t="shared" si="75"/>
        <v>9.9717647704371224</v>
      </c>
      <c r="AP175" s="297">
        <f t="shared" si="75"/>
        <v>10.138432360341627</v>
      </c>
      <c r="AQ175" s="297">
        <f t="shared" si="75"/>
        <v>10.305883287918673</v>
      </c>
      <c r="AR175" s="297">
        <f t="shared" si="75"/>
        <v>10.47412123485533</v>
      </c>
      <c r="AS175" s="297">
        <f t="shared" si="75"/>
        <v>10.6431499001426</v>
      </c>
      <c r="AT175" s="297">
        <f t="shared" si="75"/>
        <v>10.812973000156706</v>
      </c>
      <c r="AU175" s="297">
        <f t="shared" si="75"/>
        <v>10.983594268740887</v>
      </c>
      <c r="AV175" s="297">
        <f t="shared" si="75"/>
        <v>11.155017457287418</v>
      </c>
      <c r="AW175" s="297">
        <f t="shared" si="75"/>
        <v>11.327246334820121</v>
      </c>
      <c r="AX175" s="297">
        <f t="shared" si="75"/>
        <v>11.50028468807721</v>
      </c>
      <c r="AY175" s="297">
        <f t="shared" si="75"/>
        <v>11.674136321594611</v>
      </c>
      <c r="AZ175" s="297">
        <f t="shared" si="75"/>
        <v>11.84880505778955</v>
      </c>
      <c r="BA175" s="297">
        <f t="shared" si="75"/>
        <v>12.024294737044606</v>
      </c>
      <c r="BB175" s="297">
        <f t="shared" si="75"/>
        <v>12.200609217792152</v>
      </c>
      <c r="BC175" s="297">
        <f t="shared" si="75"/>
        <v>12.377752376599215</v>
      </c>
    </row>
    <row r="176" spans="1:58" s="197" customFormat="1" ht="16.899999999999999" customHeight="1" outlineLevel="1" x14ac:dyDescent="0.25">
      <c r="B176" s="197" t="s">
        <v>471</v>
      </c>
      <c r="C176" s="297">
        <f>C175</f>
        <v>10.762017874044941</v>
      </c>
      <c r="D176" s="297">
        <f t="shared" ref="D176:BC176" si="76">C176+D175</f>
        <v>-6.2816166459770724</v>
      </c>
      <c r="E176" s="297">
        <f t="shared" si="76"/>
        <v>-14.717097057248543</v>
      </c>
      <c r="F176" s="297">
        <f t="shared" si="76"/>
        <v>-39.685543927963515</v>
      </c>
      <c r="G176" s="297">
        <f t="shared" si="76"/>
        <v>-63.773224878312334</v>
      </c>
      <c r="H176" s="297">
        <f t="shared" si="76"/>
        <v>-86.9794751329039</v>
      </c>
      <c r="I176" s="297">
        <f t="shared" si="76"/>
        <v>-109.30362679190277</v>
      </c>
      <c r="J176" s="297">
        <f t="shared" si="76"/>
        <v>-130.74500881634427</v>
      </c>
      <c r="K176" s="297">
        <f t="shared" si="76"/>
        <v>-151.30294701338059</v>
      </c>
      <c r="L176" s="297">
        <f t="shared" si="76"/>
        <v>-170.97676402145754</v>
      </c>
      <c r="M176" s="297">
        <f t="shared" si="76"/>
        <v>-189.76577929542165</v>
      </c>
      <c r="N176" s="297">
        <f t="shared" si="76"/>
        <v>-207.66930909155718</v>
      </c>
      <c r="O176" s="297">
        <f t="shared" si="76"/>
        <v>-224.68666645255294</v>
      </c>
      <c r="P176" s="297">
        <f t="shared" si="76"/>
        <v>-240.81716119239843</v>
      </c>
      <c r="Q176" s="297">
        <f t="shared" si="76"/>
        <v>-256.06009988120883</v>
      </c>
      <c r="R176" s="297">
        <f t="shared" si="76"/>
        <v>-270.41478582997888</v>
      </c>
      <c r="S176" s="297">
        <f t="shared" si="76"/>
        <v>-283.88051907526506</v>
      </c>
      <c r="T176" s="297">
        <f t="shared" si="76"/>
        <v>-296.45659636379554</v>
      </c>
      <c r="U176" s="297">
        <f t="shared" si="76"/>
        <v>-308.14231113700822</v>
      </c>
      <c r="V176" s="297">
        <f t="shared" si="76"/>
        <v>-318.93695351551571</v>
      </c>
      <c r="W176" s="297">
        <f t="shared" si="76"/>
        <v>-328.83981028349751</v>
      </c>
      <c r="X176" s="297">
        <f t="shared" si="76"/>
        <v>-337.8501648730188</v>
      </c>
      <c r="Y176" s="297">
        <f t="shared" si="76"/>
        <v>-345.96729734827539</v>
      </c>
      <c r="Z176" s="297">
        <f t="shared" si="76"/>
        <v>-338.40399743395568</v>
      </c>
      <c r="AA176" s="297">
        <f t="shared" si="76"/>
        <v>-330.68534971455517</v>
      </c>
      <c r="AB176" s="297">
        <f t="shared" si="76"/>
        <v>-322.81062405539006</v>
      </c>
      <c r="AC176" s="297">
        <f t="shared" si="76"/>
        <v>-314.77908689014345</v>
      </c>
      <c r="AD176" s="297">
        <f t="shared" si="76"/>
        <v>-306.59000120473672</v>
      </c>
      <c r="AE176" s="297">
        <f t="shared" si="76"/>
        <v>-298.24262652112515</v>
      </c>
      <c r="AF176" s="297">
        <f t="shared" si="76"/>
        <v>-289.73621888101712</v>
      </c>
      <c r="AG176" s="297">
        <f t="shared" si="76"/>
        <v>-281.07003082951718</v>
      </c>
      <c r="AH176" s="297">
        <f t="shared" si="76"/>
        <v>-272.24331139869173</v>
      </c>
      <c r="AI176" s="297">
        <f t="shared" si="76"/>
        <v>-263.25530609105795</v>
      </c>
      <c r="AJ176" s="297">
        <f t="shared" si="76"/>
        <v>-254.10525686299485</v>
      </c>
      <c r="AK176" s="297">
        <f t="shared" si="76"/>
        <v>-244.7924021080764</v>
      </c>
      <c r="AL176" s="297">
        <f t="shared" si="76"/>
        <v>-235.3159766403264</v>
      </c>
      <c r="AM176" s="297">
        <f t="shared" si="76"/>
        <v>-225.67521167739451</v>
      </c>
      <c r="AN176" s="297">
        <f t="shared" si="76"/>
        <v>-215.86933482365342</v>
      </c>
      <c r="AO176" s="297">
        <f t="shared" si="76"/>
        <v>-205.8975700532163</v>
      </c>
      <c r="AP176" s="297">
        <f t="shared" si="76"/>
        <v>-195.75913769287467</v>
      </c>
      <c r="AQ176" s="297">
        <f t="shared" si="76"/>
        <v>-185.453254404956</v>
      </c>
      <c r="AR176" s="297">
        <f t="shared" si="76"/>
        <v>-174.97913317010068</v>
      </c>
      <c r="AS176" s="297">
        <f t="shared" si="76"/>
        <v>-164.33598326995809</v>
      </c>
      <c r="AT176" s="297">
        <f t="shared" si="76"/>
        <v>-153.52301026980138</v>
      </c>
      <c r="AU176" s="297">
        <f t="shared" si="76"/>
        <v>-142.53941600106049</v>
      </c>
      <c r="AV176" s="297">
        <f t="shared" si="76"/>
        <v>-131.38439854377307</v>
      </c>
      <c r="AW176" s="297">
        <f t="shared" si="76"/>
        <v>-120.05715220895296</v>
      </c>
      <c r="AX176" s="297">
        <f t="shared" si="76"/>
        <v>-108.55686752087574</v>
      </c>
      <c r="AY176" s="297">
        <f t="shared" si="76"/>
        <v>-96.882731199281125</v>
      </c>
      <c r="AZ176" s="297">
        <f t="shared" si="76"/>
        <v>-85.033926141491577</v>
      </c>
      <c r="BA176" s="297">
        <f t="shared" si="76"/>
        <v>-73.009631404446964</v>
      </c>
      <c r="BB176" s="297">
        <f t="shared" si="76"/>
        <v>-60.809022186654815</v>
      </c>
      <c r="BC176" s="297">
        <f t="shared" si="76"/>
        <v>-48.431269810055596</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10.14710340754756</v>
      </c>
      <c r="D178" s="300">
        <f t="shared" ref="D178:BC178" si="77">NPV($D$28,D175)</f>
        <v>-16.069804374902898</v>
      </c>
      <c r="E178" s="300">
        <f t="shared" si="77"/>
        <v>-7.9534984077611446</v>
      </c>
      <c r="F178" s="300">
        <f t="shared" si="77"/>
        <v>-23.54181300274842</v>
      </c>
      <c r="G178" s="300">
        <f t="shared" si="77"/>
        <v>-22.711371818167844</v>
      </c>
      <c r="H178" s="300">
        <f t="shared" si="77"/>
        <v>-21.880303841779714</v>
      </c>
      <c r="I178" s="300">
        <f t="shared" si="77"/>
        <v>-21.04860612766252</v>
      </c>
      <c r="J178" s="300">
        <f t="shared" si="77"/>
        <v>-20.216275716048923</v>
      </c>
      <c r="K178" s="300">
        <f t="shared" si="77"/>
        <v>-19.383309633260726</v>
      </c>
      <c r="L178" s="300">
        <f t="shared" si="77"/>
        <v>-18.549704891643362</v>
      </c>
      <c r="M178" s="300">
        <f t="shared" si="77"/>
        <v>-17.715458489500378</v>
      </c>
      <c r="N178" s="300">
        <f t="shared" si="77"/>
        <v>-16.880567411027272</v>
      </c>
      <c r="O178" s="300">
        <f t="shared" si="77"/>
        <v>-16.045028626245301</v>
      </c>
      <c r="P178" s="300">
        <f t="shared" si="77"/>
        <v>-15.208839090934823</v>
      </c>
      <c r="Q178" s="300">
        <f t="shared" si="77"/>
        <v>-14.371995746568352</v>
      </c>
      <c r="R178" s="300">
        <f t="shared" si="77"/>
        <v>-13.534495520243313</v>
      </c>
      <c r="S178" s="300">
        <f t="shared" si="77"/>
        <v>-12.696335324614513</v>
      </c>
      <c r="T178" s="300">
        <f t="shared" si="77"/>
        <v>-11.857512057826209</v>
      </c>
      <c r="U178" s="300">
        <f t="shared" si="77"/>
        <v>-11.018022603443971</v>
      </c>
      <c r="V178" s="300">
        <f t="shared" si="77"/>
        <v>-10.177863830386089</v>
      </c>
      <c r="W178" s="300">
        <f t="shared" si="77"/>
        <v>-9.3370325928548095</v>
      </c>
      <c r="X178" s="300">
        <f t="shared" si="77"/>
        <v>-8.4955257302670777</v>
      </c>
      <c r="Y178" s="300">
        <f t="shared" si="77"/>
        <v>-7.653340067185157</v>
      </c>
      <c r="Z178" s="300">
        <f t="shared" si="77"/>
        <v>7.1311520972277336</v>
      </c>
      <c r="AA178" s="300">
        <f t="shared" si="77"/>
        <v>7.2776237218560142</v>
      </c>
      <c r="AB178" s="300">
        <f t="shared" si="77"/>
        <v>7.4247837631200388</v>
      </c>
      <c r="AC178" s="300">
        <f t="shared" si="77"/>
        <v>7.5726354565780021</v>
      </c>
      <c r="AD178" s="300">
        <f t="shared" si="77"/>
        <v>7.7211820529952275</v>
      </c>
      <c r="AE178" s="300">
        <f t="shared" si="77"/>
        <v>7.8704268184156021</v>
      </c>
      <c r="AF178" s="300">
        <f t="shared" si="77"/>
        <v>8.0203730342334651</v>
      </c>
      <c r="AG178" s="300">
        <f t="shared" si="77"/>
        <v>8.1710239972656566</v>
      </c>
      <c r="AH178" s="300">
        <f t="shared" si="77"/>
        <v>8.3223830198241107</v>
      </c>
      <c r="AI178" s="300">
        <f t="shared" si="77"/>
        <v>8.4744534297885927</v>
      </c>
      <c r="AJ178" s="300">
        <f t="shared" si="77"/>
        <v>8.6272385706799017</v>
      </c>
      <c r="AK178" s="300">
        <f t="shared" si="77"/>
        <v>8.7807418017333934</v>
      </c>
      <c r="AL178" s="300">
        <f t="shared" si="77"/>
        <v>8.9349664979728463</v>
      </c>
      <c r="AM178" s="300">
        <f t="shared" si="77"/>
        <v>9.089916050284625</v>
      </c>
      <c r="AN178" s="300">
        <f t="shared" si="77"/>
        <v>9.2455938654922694</v>
      </c>
      <c r="AO178" s="300">
        <f t="shared" si="77"/>
        <v>9.40200336643138</v>
      </c>
      <c r="AP178" s="300">
        <f t="shared" si="77"/>
        <v>9.5591479920249167</v>
      </c>
      <c r="AQ178" s="300">
        <f t="shared" si="77"/>
        <v>9.7170311973587342</v>
      </c>
      <c r="AR178" s="300">
        <f t="shared" si="77"/>
        <v>9.8756564537576192</v>
      </c>
      <c r="AS178" s="300">
        <f t="shared" si="77"/>
        <v>10.035027248861587</v>
      </c>
      <c r="AT178" s="300">
        <f t="shared" si="77"/>
        <v>10.195147086702534</v>
      </c>
      <c r="AU178" s="300">
        <f t="shared" si="77"/>
        <v>10.356019487781339</v>
      </c>
      <c r="AV178" s="300">
        <f t="shared" si="77"/>
        <v>10.517647989145217</v>
      </c>
      <c r="AW178" s="300">
        <f t="shared" si="77"/>
        <v>10.680036144465511</v>
      </c>
      <c r="AX178" s="300">
        <f t="shared" si="77"/>
        <v>10.843187524115793</v>
      </c>
      <c r="AY178" s="300">
        <f t="shared" si="77"/>
        <v>11.007105715250434</v>
      </c>
      <c r="AZ178" s="300">
        <f t="shared" si="77"/>
        <v>11.171794321883414</v>
      </c>
      <c r="BA178" s="300">
        <f t="shared" si="77"/>
        <v>11.337256964967571</v>
      </c>
      <c r="BB178" s="300">
        <f t="shared" si="77"/>
        <v>11.503497282474216</v>
      </c>
      <c r="BC178" s="300">
        <f t="shared" si="77"/>
        <v>11.670518929473143</v>
      </c>
    </row>
    <row r="179" spans="2:55" s="197" customFormat="1" ht="16.899999999999999" customHeight="1" outlineLevel="1" x14ac:dyDescent="0.25">
      <c r="B179" s="301" t="s">
        <v>469</v>
      </c>
      <c r="C179" s="300">
        <f>C178</f>
        <v>10.14710340754756</v>
      </c>
      <c r="D179" s="300">
        <f t="shared" ref="D179" si="78">C179+D178</f>
        <v>-5.9227009673553379</v>
      </c>
      <c r="E179" s="300">
        <f t="shared" ref="E179" si="79">D179+E178</f>
        <v>-13.876199375116482</v>
      </c>
      <c r="F179" s="300">
        <f t="shared" ref="F179" si="80">E179+F178</f>
        <v>-37.418012377864898</v>
      </c>
      <c r="G179" s="300">
        <f t="shared" ref="G179" si="81">F179+G178</f>
        <v>-60.129384196032746</v>
      </c>
      <c r="H179" s="300">
        <f t="shared" ref="H179" si="82">G179+H178</f>
        <v>-82.009688037812452</v>
      </c>
      <c r="I179" s="300">
        <f t="shared" ref="I179" si="83">H179+I178</f>
        <v>-103.05829416547498</v>
      </c>
      <c r="J179" s="300">
        <f t="shared" ref="J179" si="84">I179+J178</f>
        <v>-123.2745698815239</v>
      </c>
      <c r="K179" s="300">
        <f t="shared" ref="K179" si="85">J179+K178</f>
        <v>-142.65787951478464</v>
      </c>
      <c r="L179" s="300">
        <f t="shared" ref="L179" si="86">K179+L178</f>
        <v>-161.207584406428</v>
      </c>
      <c r="M179" s="300">
        <f t="shared" ref="M179" si="87">L179+M178</f>
        <v>-178.92304289592838</v>
      </c>
      <c r="N179" s="300">
        <f t="shared" ref="N179" si="88">M179+N178</f>
        <v>-195.80361030695565</v>
      </c>
      <c r="O179" s="300">
        <f t="shared" ref="O179" si="89">N179+O178</f>
        <v>-211.84863893320096</v>
      </c>
      <c r="P179" s="300">
        <f t="shared" ref="P179" si="90">O179+P178</f>
        <v>-227.05747802413578</v>
      </c>
      <c r="Q179" s="300">
        <f t="shared" ref="Q179" si="91">P179+Q178</f>
        <v>-241.42947377070413</v>
      </c>
      <c r="R179" s="300">
        <f t="shared" ref="R179" si="92">Q179+R178</f>
        <v>-254.96396929094746</v>
      </c>
      <c r="S179" s="300">
        <f t="shared" ref="S179" si="93">R179+S178</f>
        <v>-267.66030461556198</v>
      </c>
      <c r="T179" s="300">
        <f t="shared" ref="T179" si="94">S179+T178</f>
        <v>-279.51781667338821</v>
      </c>
      <c r="U179" s="300">
        <f t="shared" ref="U179" si="95">T179+U178</f>
        <v>-290.53583927683218</v>
      </c>
      <c r="V179" s="300">
        <f t="shared" ref="V179" si="96">U179+V178</f>
        <v>-300.71370310721829</v>
      </c>
      <c r="W179" s="300">
        <f t="shared" ref="W179" si="97">V179+W178</f>
        <v>-310.05073570007312</v>
      </c>
      <c r="X179" s="300">
        <f t="shared" ref="X179" si="98">W179+X178</f>
        <v>-318.54626143034022</v>
      </c>
      <c r="Y179" s="300">
        <f t="shared" ref="Y179" si="99">X179+Y178</f>
        <v>-326.19960149752541</v>
      </c>
      <c r="Z179" s="300">
        <f t="shared" ref="Z179" si="100">Y179+Z178</f>
        <v>-319.06844940029765</v>
      </c>
      <c r="AA179" s="300">
        <f t="shared" ref="AA179" si="101">Z179+AA178</f>
        <v>-311.79082567844165</v>
      </c>
      <c r="AB179" s="300">
        <f t="shared" ref="AB179" si="102">AA179+AB178</f>
        <v>-304.3660419153216</v>
      </c>
      <c r="AC179" s="300">
        <f t="shared" ref="AC179" si="103">AB179+AC178</f>
        <v>-296.79340645874362</v>
      </c>
      <c r="AD179" s="300">
        <f t="shared" ref="AD179" si="104">AC179+AD178</f>
        <v>-289.07222440574839</v>
      </c>
      <c r="AE179" s="300">
        <f t="shared" ref="AE179" si="105">AD179+AE178</f>
        <v>-281.20179758733281</v>
      </c>
      <c r="AF179" s="300">
        <f t="shared" ref="AF179" si="106">AE179+AF178</f>
        <v>-273.18142455309936</v>
      </c>
      <c r="AG179" s="300">
        <f t="shared" ref="AG179" si="107">AF179+AG178</f>
        <v>-265.01040055583371</v>
      </c>
      <c r="AH179" s="300">
        <f t="shared" ref="AH179" si="108">AG179+AH178</f>
        <v>-256.68801753600962</v>
      </c>
      <c r="AI179" s="300">
        <f t="shared" ref="AI179" si="109">AH179+AI178</f>
        <v>-248.21356410622104</v>
      </c>
      <c r="AJ179" s="300">
        <f t="shared" ref="AJ179" si="110">AI179+AJ178</f>
        <v>-239.58632553554114</v>
      </c>
      <c r="AK179" s="300">
        <f t="shared" ref="AK179" si="111">AJ179+AK178</f>
        <v>-230.80558373380774</v>
      </c>
      <c r="AL179" s="300">
        <f t="shared" ref="AL179" si="112">AK179+AL178</f>
        <v>-221.87061723583489</v>
      </c>
      <c r="AM179" s="300">
        <f t="shared" ref="AM179" si="113">AL179+AM178</f>
        <v>-212.78070118555027</v>
      </c>
      <c r="AN179" s="300">
        <f t="shared" ref="AN179" si="114">AM179+AN178</f>
        <v>-203.53510732005799</v>
      </c>
      <c r="AO179" s="300">
        <f t="shared" ref="AO179" si="115">AN179+AO178</f>
        <v>-194.1331039536266</v>
      </c>
      <c r="AP179" s="300">
        <f t="shared" ref="AP179" si="116">AO179+AP178</f>
        <v>-184.57395596160168</v>
      </c>
      <c r="AQ179" s="300">
        <f t="shared" ref="AQ179" si="117">AP179+AQ178</f>
        <v>-174.85692476424296</v>
      </c>
      <c r="AR179" s="300">
        <f t="shared" ref="AR179" si="118">AQ179+AR178</f>
        <v>-164.98126831048535</v>
      </c>
      <c r="AS179" s="300">
        <f t="shared" ref="AS179" si="119">AR179+AS178</f>
        <v>-154.94624106162377</v>
      </c>
      <c r="AT179" s="300">
        <f t="shared" ref="AT179" si="120">AS179+AT178</f>
        <v>-144.75109397492122</v>
      </c>
      <c r="AU179" s="300">
        <f t="shared" ref="AU179" si="121">AT179+AU178</f>
        <v>-134.39507448713988</v>
      </c>
      <c r="AV179" s="300">
        <f t="shared" ref="AV179" si="122">AU179+AV178</f>
        <v>-123.87742649799466</v>
      </c>
      <c r="AW179" s="300">
        <f t="shared" ref="AW179" si="123">AV179+AW178</f>
        <v>-113.19739035352916</v>
      </c>
      <c r="AX179" s="300">
        <f t="shared" ref="AX179" si="124">AW179+AX178</f>
        <v>-102.35420282941337</v>
      </c>
      <c r="AY179" s="300">
        <f t="shared" ref="AY179" si="125">AX179+AY178</f>
        <v>-91.347097114162935</v>
      </c>
      <c r="AZ179" s="300">
        <f t="shared" ref="AZ179" si="126">AY179+AZ178</f>
        <v>-80.175302792279524</v>
      </c>
      <c r="BA179" s="300">
        <f t="shared" ref="BA179" si="127">AZ179+BA178</f>
        <v>-68.838045827311959</v>
      </c>
      <c r="BB179" s="300">
        <f t="shared" ref="BB179" si="128">BA179+BB178</f>
        <v>-57.334548544837745</v>
      </c>
      <c r="BC179" s="300">
        <f t="shared" ref="BC179" si="129">BB179+BC178</f>
        <v>-45.664029615364598</v>
      </c>
    </row>
    <row r="180" spans="2:55" s="197" customFormat="1" ht="16.899999999999999" customHeight="1" outlineLevel="1" x14ac:dyDescent="0.25">
      <c r="B180" s="197" t="s">
        <v>416</v>
      </c>
      <c r="C180" s="297">
        <f>C175/(1+$D$28)^C32</f>
        <v>10.762017874044941</v>
      </c>
      <c r="D180" s="297">
        <f t="shared" ref="D180:BC180" si="130">D175/(1+$D$28)^D32</f>
        <v>-16.069804374902898</v>
      </c>
      <c r="E180" s="297">
        <f t="shared" si="130"/>
        <v>-7.4990556362070011</v>
      </c>
      <c r="F180" s="297">
        <f t="shared" si="130"/>
        <v>-20.928430495659459</v>
      </c>
      <c r="G180" s="297">
        <f t="shared" si="130"/>
        <v>-19.036561185353136</v>
      </c>
      <c r="H180" s="297">
        <f t="shared" si="130"/>
        <v>-17.292064923008915</v>
      </c>
      <c r="I180" s="297">
        <f t="shared" si="130"/>
        <v>-15.684303138391268</v>
      </c>
      <c r="J180" s="297">
        <f t="shared" si="130"/>
        <v>-14.203370479791335</v>
      </c>
      <c r="K180" s="297">
        <f t="shared" si="130"/>
        <v>-12.840045829689549</v>
      </c>
      <c r="L180" s="297">
        <f t="shared" si="130"/>
        <v>-11.585746520546188</v>
      </c>
      <c r="M180" s="297">
        <f t="shared" si="130"/>
        <v>-10.432485545145957</v>
      </c>
      <c r="N180" s="297">
        <f t="shared" si="130"/>
        <v>-9.3728315689558261</v>
      </c>
      <c r="O180" s="297">
        <f t="shared" si="130"/>
        <v>-8.3998715641723898</v>
      </c>
      <c r="P180" s="297">
        <f t="shared" si="130"/>
        <v>-7.5071758965835986</v>
      </c>
      <c r="Q180" s="297">
        <f t="shared" si="130"/>
        <v>-6.6887657071002842</v>
      </c>
      <c r="R180" s="297">
        <f t="shared" si="130"/>
        <v>-5.9390824398684936</v>
      </c>
      <c r="S180" s="297">
        <f t="shared" si="130"/>
        <v>-5.2529593782970192</v>
      </c>
      <c r="T180" s="297">
        <f t="shared" si="130"/>
        <v>-4.6255950591649002</v>
      </c>
      <c r="U180" s="297">
        <f t="shared" si="130"/>
        <v>-4.0525284432482129</v>
      </c>
      <c r="V180" s="297">
        <f t="shared" si="130"/>
        <v>-3.5296157286583623</v>
      </c>
      <c r="W180" s="297">
        <f t="shared" si="130"/>
        <v>-3.0530087003486961</v>
      </c>
      <c r="X180" s="297">
        <f t="shared" si="130"/>
        <v>-2.6191345160521302</v>
      </c>
      <c r="Y180" s="297">
        <f t="shared" si="130"/>
        <v>-2.2246768352891655</v>
      </c>
      <c r="Z180" s="297">
        <f t="shared" si="130"/>
        <v>1.9544474514843773</v>
      </c>
      <c r="AA180" s="297">
        <f t="shared" si="130"/>
        <v>1.8806252954631193</v>
      </c>
      <c r="AB180" s="297">
        <f t="shared" si="130"/>
        <v>1.8090262265981387</v>
      </c>
      <c r="AC180" s="297">
        <f t="shared" si="130"/>
        <v>1.7396283678114788</v>
      </c>
      <c r="AD180" s="297">
        <f t="shared" si="130"/>
        <v>1.6724055502786066</v>
      </c>
      <c r="AE180" s="297">
        <f t="shared" si="130"/>
        <v>1.6073278507313709</v>
      </c>
      <c r="AF180" s="297">
        <f t="shared" si="130"/>
        <v>1.5443620826662978</v>
      </c>
      <c r="AG180" s="297">
        <f t="shared" si="130"/>
        <v>1.4834722449032847</v>
      </c>
      <c r="AH180" s="297">
        <f t="shared" si="130"/>
        <v>1.4246199307002791</v>
      </c>
      <c r="AI180" s="297">
        <f t="shared" si="130"/>
        <v>1.3677647004057025</v>
      </c>
      <c r="AJ180" s="297">
        <f t="shared" si="130"/>
        <v>1.3128644204217812</v>
      </c>
      <c r="AK180" s="297">
        <f t="shared" si="130"/>
        <v>1.2598755710570386</v>
      </c>
      <c r="AL180" s="297">
        <f t="shared" si="130"/>
        <v>1.2087535256644986</v>
      </c>
      <c r="AM180" s="297">
        <f t="shared" si="130"/>
        <v>1.1594528032925713</v>
      </c>
      <c r="AN180" s="297">
        <f t="shared" si="130"/>
        <v>1.1119272969174825</v>
      </c>
      <c r="AO180" s="297">
        <f t="shared" si="130"/>
        <v>1.0661304791785768</v>
      </c>
      <c r="AP180" s="297">
        <f t="shared" si="130"/>
        <v>1.0220155874003545</v>
      </c>
      <c r="AQ180" s="297">
        <f t="shared" si="130"/>
        <v>0.97953578955686993</v>
      </c>
      <c r="AR180" s="297">
        <f t="shared" si="130"/>
        <v>0.93864433271468706</v>
      </c>
      <c r="AS180" s="297">
        <f t="shared" si="130"/>
        <v>0.89929467537917873</v>
      </c>
      <c r="AT180" s="297">
        <f t="shared" si="130"/>
        <v>0.86144060506526299</v>
      </c>
      <c r="AU180" s="297">
        <f t="shared" si="130"/>
        <v>0.8250363423170225</v>
      </c>
      <c r="AV180" s="297">
        <f t="shared" si="130"/>
        <v>0.79003663231062726</v>
      </c>
      <c r="AW180" s="297">
        <f t="shared" si="130"/>
        <v>0.75639682509121753</v>
      </c>
      <c r="AX180" s="297">
        <f t="shared" si="130"/>
        <v>0.72407294541636102</v>
      </c>
      <c r="AY180" s="297">
        <f t="shared" si="130"/>
        <v>0.69302175310611203</v>
      </c>
      <c r="AZ180" s="297">
        <f t="shared" si="130"/>
        <v>0.66320079473211124</v>
      </c>
      <c r="BA180" s="297">
        <f t="shared" si="130"/>
        <v>0.63456844741534968</v>
      </c>
      <c r="BB180" s="297">
        <f t="shared" si="130"/>
        <v>0.60708395544373783</v>
      </c>
      <c r="BC180" s="297">
        <f t="shared" si="130"/>
        <v>0.58070746036628518</v>
      </c>
    </row>
    <row r="181" spans="2:55" s="197" customFormat="1" ht="16.899999999999999" customHeight="1" outlineLevel="1" x14ac:dyDescent="0.25">
      <c r="B181" s="290" t="s">
        <v>417</v>
      </c>
      <c r="C181" s="297">
        <f>C180</f>
        <v>10.762017874044941</v>
      </c>
      <c r="D181" s="300">
        <f t="shared" ref="D181" si="131">C181+D180</f>
        <v>-5.3077865008579561</v>
      </c>
      <c r="E181" s="300">
        <f t="shared" ref="E181" si="132">D181+E180</f>
        <v>-12.806842137064958</v>
      </c>
      <c r="F181" s="300">
        <f t="shared" ref="F181" si="133">E181+F180</f>
        <v>-33.735272632724417</v>
      </c>
      <c r="G181" s="300">
        <f t="shared" ref="G181" si="134">F181+G180</f>
        <v>-52.771833818077553</v>
      </c>
      <c r="H181" s="300">
        <f t="shared" ref="H181" si="135">G181+H180</f>
        <v>-70.063898741086462</v>
      </c>
      <c r="I181" s="300">
        <f t="shared" ref="I181" si="136">H181+I180</f>
        <v>-85.748201879477733</v>
      </c>
      <c r="J181" s="300">
        <f t="shared" ref="J181" si="137">I181+J180</f>
        <v>-99.951572359269065</v>
      </c>
      <c r="K181" s="300">
        <f t="shared" ref="K181" si="138">J181+K180</f>
        <v>-112.79161818895861</v>
      </c>
      <c r="L181" s="300">
        <f t="shared" ref="L181" si="139">K181+L180</f>
        <v>-124.3773647095048</v>
      </c>
      <c r="M181" s="300">
        <f t="shared" ref="M181" si="140">L181+M180</f>
        <v>-134.80985025465077</v>
      </c>
      <c r="N181" s="300">
        <f t="shared" ref="N181" si="141">M181+N180</f>
        <v>-144.1826818236066</v>
      </c>
      <c r="O181" s="300">
        <f t="shared" ref="O181" si="142">N181+O180</f>
        <v>-152.582553387779</v>
      </c>
      <c r="P181" s="300">
        <f t="shared" ref="P181" si="143">O181+P180</f>
        <v>-160.08972928436259</v>
      </c>
      <c r="Q181" s="300">
        <f t="shared" ref="Q181" si="144">P181+Q180</f>
        <v>-166.77849499146288</v>
      </c>
      <c r="R181" s="300">
        <f t="shared" ref="R181" si="145">Q181+R180</f>
        <v>-172.71757743133136</v>
      </c>
      <c r="S181" s="300">
        <f t="shared" ref="S181" si="146">R181+S180</f>
        <v>-177.97053680962838</v>
      </c>
      <c r="T181" s="300">
        <f t="shared" ref="T181" si="147">S181+T180</f>
        <v>-182.59613186879329</v>
      </c>
      <c r="U181" s="300">
        <f t="shared" ref="U181" si="148">T181+U180</f>
        <v>-186.6486603120415</v>
      </c>
      <c r="V181" s="300">
        <f t="shared" ref="V181" si="149">U181+V180</f>
        <v>-190.17827604069987</v>
      </c>
      <c r="W181" s="300">
        <f t="shared" ref="W181" si="150">V181+W180</f>
        <v>-193.23128474104857</v>
      </c>
      <c r="X181" s="300">
        <f t="shared" ref="X181" si="151">W181+X180</f>
        <v>-195.8504192571007</v>
      </c>
      <c r="Y181" s="300">
        <f t="shared" ref="Y181" si="152">X181+Y180</f>
        <v>-198.07509609238986</v>
      </c>
      <c r="Z181" s="300">
        <f t="shared" ref="Z181" si="153">Y181+Z180</f>
        <v>-196.12064864090547</v>
      </c>
      <c r="AA181" s="300">
        <f t="shared" ref="AA181" si="154">Z181+AA180</f>
        <v>-194.24002334544235</v>
      </c>
      <c r="AB181" s="300">
        <f t="shared" ref="AB181" si="155">AA181+AB180</f>
        <v>-192.4309971188442</v>
      </c>
      <c r="AC181" s="300">
        <f t="shared" ref="AC181" si="156">AB181+AC180</f>
        <v>-190.69136875103271</v>
      </c>
      <c r="AD181" s="300">
        <f t="shared" ref="AD181" si="157">AC181+AD180</f>
        <v>-189.01896320075411</v>
      </c>
      <c r="AE181" s="300">
        <f t="shared" ref="AE181" si="158">AD181+AE180</f>
        <v>-187.41163535002275</v>
      </c>
      <c r="AF181" s="300">
        <f t="shared" ref="AF181" si="159">AE181+AF180</f>
        <v>-185.86727326735644</v>
      </c>
      <c r="AG181" s="300">
        <f t="shared" ref="AG181" si="160">AF181+AG180</f>
        <v>-184.38380102245316</v>
      </c>
      <c r="AH181" s="300">
        <f t="shared" ref="AH181" si="161">AG181+AH180</f>
        <v>-182.95918109175287</v>
      </c>
      <c r="AI181" s="300">
        <f t="shared" ref="AI181" si="162">AH181+AI180</f>
        <v>-181.59141639134717</v>
      </c>
      <c r="AJ181" s="300">
        <f t="shared" ref="AJ181" si="163">AI181+AJ180</f>
        <v>-180.27855197092538</v>
      </c>
      <c r="AK181" s="300">
        <f t="shared" ref="AK181" si="164">AJ181+AK180</f>
        <v>-179.01867639986833</v>
      </c>
      <c r="AL181" s="300">
        <f t="shared" ref="AL181" si="165">AK181+AL180</f>
        <v>-177.80992287420383</v>
      </c>
      <c r="AM181" s="300">
        <f t="shared" ref="AM181" si="166">AL181+AM180</f>
        <v>-176.65047007091127</v>
      </c>
      <c r="AN181" s="300">
        <f t="shared" ref="AN181" si="167">AM181+AN180</f>
        <v>-175.53854277399378</v>
      </c>
      <c r="AO181" s="300">
        <f t="shared" ref="AO181" si="168">AN181+AO180</f>
        <v>-174.4724122948152</v>
      </c>
      <c r="AP181" s="300">
        <f t="shared" ref="AP181" si="169">AO181+AP180</f>
        <v>-173.45039670741485</v>
      </c>
      <c r="AQ181" s="300">
        <f t="shared" ref="AQ181" si="170">AP181+AQ180</f>
        <v>-172.47086091785798</v>
      </c>
      <c r="AR181" s="300">
        <f t="shared" ref="AR181" si="171">AQ181+AR180</f>
        <v>-171.53221658514329</v>
      </c>
      <c r="AS181" s="300">
        <f t="shared" ref="AS181" si="172">AR181+AS180</f>
        <v>-170.63292190976412</v>
      </c>
      <c r="AT181" s="300">
        <f t="shared" ref="AT181" si="173">AS181+AT180</f>
        <v>-169.77148130469885</v>
      </c>
      <c r="AU181" s="300">
        <f t="shared" ref="AU181" si="174">AT181+AU180</f>
        <v>-168.94644496238183</v>
      </c>
      <c r="AV181" s="300">
        <f t="shared" ref="AV181" si="175">AU181+AV180</f>
        <v>-168.1564083300712</v>
      </c>
      <c r="AW181" s="300">
        <f t="shared" ref="AW181" si="176">AV181+AW180</f>
        <v>-167.40001150497997</v>
      </c>
      <c r="AX181" s="300">
        <f t="shared" ref="AX181" si="177">AW181+AX180</f>
        <v>-166.6759385595636</v>
      </c>
      <c r="AY181" s="300">
        <f t="shared" ref="AY181" si="178">AX181+AY180</f>
        <v>-165.9829168064575</v>
      </c>
      <c r="AZ181" s="300">
        <f t="shared" ref="AZ181" si="179">AY181+AZ180</f>
        <v>-165.31971601172538</v>
      </c>
      <c r="BA181" s="300">
        <f t="shared" ref="BA181" si="180">AZ181+BA180</f>
        <v>-164.68514756431003</v>
      </c>
      <c r="BB181" s="300">
        <f t="shared" ref="BB181" si="181">BA181+BB180</f>
        <v>-164.0780636088663</v>
      </c>
      <c r="BC181" s="300">
        <f t="shared" ref="BC181" si="182">BB181+BC180</f>
        <v>-163.49735614850002</v>
      </c>
    </row>
    <row r="182" spans="2:55" s="197" customFormat="1" ht="16.899999999999999" customHeight="1" outlineLevel="1" x14ac:dyDescent="0.25">
      <c r="B182" s="290" t="s">
        <v>418</v>
      </c>
      <c r="C182" s="297">
        <f t="shared" ref="C182:AH182" si="183">C167/(1+$C$28)^C32</f>
        <v>70.691554258297828</v>
      </c>
      <c r="D182" s="297">
        <f t="shared" si="183"/>
        <v>117.42840008102363</v>
      </c>
      <c r="E182" s="297">
        <f t="shared" si="183"/>
        <v>79.85827113881993</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1</v>
      </c>
      <c r="H183" s="1630">
        <f t="shared" si="185"/>
        <v>1</v>
      </c>
      <c r="I183" s="1630">
        <f t="shared" si="185"/>
        <v>1</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1</v>
      </c>
      <c r="AC183" s="302">
        <f t="shared" si="186"/>
        <v>1</v>
      </c>
      <c r="AD183" s="302">
        <f t="shared" si="186"/>
        <v>1</v>
      </c>
      <c r="AE183" s="302">
        <f t="shared" si="186"/>
        <v>1</v>
      </c>
      <c r="AF183" s="302">
        <f t="shared" si="186"/>
        <v>1</v>
      </c>
      <c r="AG183" s="302">
        <f t="shared" si="186"/>
        <v>1</v>
      </c>
      <c r="AH183" s="302">
        <f t="shared" si="186"/>
        <v>1</v>
      </c>
      <c r="AI183" s="302">
        <f t="shared" si="186"/>
        <v>1</v>
      </c>
      <c r="AJ183" s="302">
        <f t="shared" si="186"/>
        <v>1</v>
      </c>
      <c r="AK183" s="302">
        <f t="shared" si="186"/>
        <v>1</v>
      </c>
      <c r="AL183" s="302">
        <f t="shared" si="186"/>
        <v>1</v>
      </c>
      <c r="AM183" s="302">
        <f t="shared" si="186"/>
        <v>1</v>
      </c>
      <c r="AN183" s="302">
        <f t="shared" si="186"/>
        <v>1</v>
      </c>
      <c r="AO183" s="302">
        <f t="shared" si="186"/>
        <v>1</v>
      </c>
      <c r="AP183" s="302">
        <f t="shared" si="186"/>
        <v>1</v>
      </c>
      <c r="AQ183" s="302">
        <f t="shared" si="186"/>
        <v>1</v>
      </c>
      <c r="AR183" s="302">
        <f t="shared" si="186"/>
        <v>1</v>
      </c>
      <c r="AS183" s="302">
        <f t="shared" si="186"/>
        <v>1</v>
      </c>
      <c r="AT183" s="302">
        <f t="shared" si="186"/>
        <v>1</v>
      </c>
      <c r="AU183" s="302">
        <f t="shared" si="186"/>
        <v>1</v>
      </c>
      <c r="AV183" s="302">
        <f t="shared" si="186"/>
        <v>1</v>
      </c>
      <c r="AW183" s="302">
        <f t="shared" si="186"/>
        <v>1</v>
      </c>
      <c r="AX183" s="302">
        <f t="shared" si="186"/>
        <v>1</v>
      </c>
      <c r="AY183" s="302">
        <f t="shared" si="186"/>
        <v>1</v>
      </c>
      <c r="AZ183" s="302">
        <f t="shared" si="186"/>
        <v>1</v>
      </c>
      <c r="BA183" s="302">
        <f t="shared" si="186"/>
        <v>1</v>
      </c>
      <c r="BB183" s="302">
        <f t="shared" si="186"/>
        <v>1</v>
      </c>
      <c r="BC183" s="302">
        <f t="shared" si="186"/>
        <v>1</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f>IF(AK31=1,IRR($C175:AK175),"-")</f>
        <v>1.5007590593812479</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45" t="str">
        <f>'R&amp;C-Painel de Controle'!G2</f>
        <v>CIRSOP - Consórcio RSU Oeste Paulista</v>
      </c>
      <c r="D2" s="2246"/>
      <c r="E2" s="2246"/>
      <c r="F2" s="2246"/>
      <c r="G2" s="2246"/>
      <c r="H2" s="2247"/>
      <c r="I2" s="888"/>
    </row>
    <row r="3" spans="1:60" ht="4.9000000000000004" customHeight="1" thickTop="1" thickBot="1" x14ac:dyDescent="0.3"/>
    <row r="4" spans="1:60" ht="19.5" thickTop="1" x14ac:dyDescent="0.25">
      <c r="B4" s="1780" t="str">
        <f>B104</f>
        <v>Quant. RSU (Ano 1)</v>
      </c>
      <c r="C4" s="1781">
        <f>C104</f>
        <v>250</v>
      </c>
      <c r="D4" s="1782" t="str">
        <f>D104</f>
        <v>t/d</v>
      </c>
      <c r="E4" s="1783"/>
      <c r="F4" s="1783"/>
      <c r="G4" s="1783"/>
      <c r="H4" s="1784"/>
      <c r="I4" s="888"/>
    </row>
    <row r="5" spans="1:60" ht="19.899999999999999" customHeight="1" x14ac:dyDescent="0.25">
      <c r="B5" s="1785" t="s">
        <v>1118</v>
      </c>
      <c r="C5" s="1786">
        <f>'R&amp;C-Painel de Controle'!D33</f>
        <v>545.44961638466214</v>
      </c>
      <c r="D5" s="1787" t="s">
        <v>342</v>
      </c>
      <c r="E5" s="1788"/>
      <c r="F5" s="1788"/>
      <c r="G5" s="1788"/>
      <c r="H5" s="1789"/>
      <c r="I5" s="888"/>
    </row>
    <row r="6" spans="1:60" ht="19.899999999999999" customHeight="1" x14ac:dyDescent="0.25">
      <c r="B6" s="1785" t="s">
        <v>1119</v>
      </c>
      <c r="C6" s="1786">
        <f>'R&amp;C-Painel de Controle'!H33</f>
        <v>607.24899876865459</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48" t="s">
        <v>1092</v>
      </c>
      <c r="C10" s="2249"/>
      <c r="D10" s="2252" t="s">
        <v>1088</v>
      </c>
      <c r="E10" s="2253"/>
      <c r="F10" s="2253"/>
      <c r="G10" s="2253"/>
      <c r="H10" s="2254"/>
      <c r="J10" s="1733" t="s">
        <v>1089</v>
      </c>
      <c r="K10" s="1733" t="s">
        <v>1087</v>
      </c>
      <c r="L10" s="1733" t="s">
        <v>1090</v>
      </c>
      <c r="M10" s="1733" t="s">
        <v>1088</v>
      </c>
    </row>
    <row r="11" spans="1:60" s="1025" customFormat="1" ht="19.899999999999999" customHeight="1" thickBot="1" x14ac:dyDescent="0.3">
      <c r="B11" s="2250"/>
      <c r="C11" s="2251"/>
      <c r="D11" s="2255"/>
      <c r="E11" s="2256"/>
      <c r="F11" s="2256"/>
      <c r="G11" s="2256"/>
      <c r="H11" s="2257"/>
    </row>
    <row r="12" spans="1:60" ht="4.9000000000000004" customHeight="1" thickTop="1" thickBot="1" x14ac:dyDescent="0.3"/>
    <row r="13" spans="1:60" s="41" customFormat="1" ht="25.15" customHeight="1" collapsed="1" thickTop="1" thickBot="1" x14ac:dyDescent="0.3">
      <c r="B13" s="2262" t="s">
        <v>1084</v>
      </c>
      <c r="C13" s="2263"/>
      <c r="D13" s="2263"/>
      <c r="E13" s="2263"/>
      <c r="F13" s="2263"/>
      <c r="G13" s="2263"/>
      <c r="H13" s="2264"/>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44"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44"/>
      <c r="B16" s="1688" t="str">
        <f>'C-FCL Real'!B35</f>
        <v>Dados Quantitativos RSU</v>
      </c>
      <c r="C16" s="1702">
        <f>SUMIF($D$15:$BG$15,1,D16:BG16)</f>
        <v>2935388.259928742</v>
      </c>
      <c r="D16" s="1697">
        <f>'C-FCL Real'!C35</f>
        <v>78000</v>
      </c>
      <c r="E16" s="1684">
        <f>'C-FCL Real'!D35</f>
        <v>78366.599999999991</v>
      </c>
      <c r="F16" s="1684">
        <f>'C-FCL Real'!E35</f>
        <v>78734.923019999987</v>
      </c>
      <c r="G16" s="1684">
        <f>'C-FCL Real'!F35</f>
        <v>79104.977158193986</v>
      </c>
      <c r="H16" s="1684">
        <f>'C-FCL Real'!G35</f>
        <v>79476.770550837493</v>
      </c>
      <c r="I16" s="1684">
        <f>'C-FCL Real'!H35</f>
        <v>79850.311372426426</v>
      </c>
      <c r="J16" s="1684">
        <f>'C-FCL Real'!I35</f>
        <v>80225.607835876828</v>
      </c>
      <c r="K16" s="1684">
        <f>'C-FCL Real'!J35</f>
        <v>80602.668192705445</v>
      </c>
      <c r="L16" s="1684">
        <f>'C-FCL Real'!K35</f>
        <v>80981.500733211156</v>
      </c>
      <c r="M16" s="1684">
        <f>'C-FCL Real'!L35</f>
        <v>81362.113786657239</v>
      </c>
      <c r="N16" s="1684">
        <f>'C-FCL Real'!M35</f>
        <v>81744.515721454518</v>
      </c>
      <c r="O16" s="1684">
        <f>'C-FCL Real'!N35</f>
        <v>82128.714945345346</v>
      </c>
      <c r="P16" s="1684">
        <f>'C-FCL Real'!O35</f>
        <v>82514.719905588456</v>
      </c>
      <c r="Q16" s="1684">
        <f>'C-FCL Real'!P35</f>
        <v>82902.539089144717</v>
      </c>
      <c r="R16" s="1684">
        <f>'C-FCL Real'!Q35</f>
        <v>83292.18102286369</v>
      </c>
      <c r="S16" s="1684">
        <f>'C-FCL Real'!O35</f>
        <v>82514.719905588456</v>
      </c>
      <c r="T16" s="1684">
        <f>'C-FCL Real'!P35</f>
        <v>82902.539089144717</v>
      </c>
      <c r="U16" s="1684">
        <f>'C-FCL Real'!Q35</f>
        <v>83292.18102286369</v>
      </c>
      <c r="V16" s="1684">
        <f>'C-FCL Real'!R35</f>
        <v>83683.654273671142</v>
      </c>
      <c r="W16" s="1684">
        <f>'C-FCL Real'!S35</f>
        <v>84076.967448757394</v>
      </c>
      <c r="X16" s="1684">
        <f>'C-FCL Real'!T35</f>
        <v>84472.129195766553</v>
      </c>
      <c r="Y16" s="1684">
        <f>'C-FCL Real'!U35</f>
        <v>84869.148202986646</v>
      </c>
      <c r="Z16" s="1684">
        <f>'C-FCL Real'!V35</f>
        <v>85268.033199540674</v>
      </c>
      <c r="AA16" s="1684">
        <f>'C-FCL Real'!W35</f>
        <v>85668.792955578509</v>
      </c>
      <c r="AB16" s="1684">
        <f>'C-FCL Real'!X35</f>
        <v>86071.436282469716</v>
      </c>
      <c r="AC16" s="1684">
        <f>'C-FCL Real'!Y35</f>
        <v>86475.972032997321</v>
      </c>
      <c r="AD16" s="1684">
        <f>'C-FCL Real'!Z35</f>
        <v>86882.409101552403</v>
      </c>
      <c r="AE16" s="1684">
        <f>'C-FCL Real'!AA35</f>
        <v>87290.756424329695</v>
      </c>
      <c r="AF16" s="1684">
        <f>'C-FCL Real'!AB35</f>
        <v>87701.022979524045</v>
      </c>
      <c r="AG16" s="1684">
        <f>'C-FCL Real'!AC35</f>
        <v>88113.217787527799</v>
      </c>
      <c r="AH16" s="1684">
        <f>'C-FCL Real'!AD35</f>
        <v>88527.349911129175</v>
      </c>
      <c r="AI16" s="1684">
        <f>'C-FCL Real'!AE35</f>
        <v>88943.428455711473</v>
      </c>
      <c r="AJ16" s="1684">
        <f>'C-FCL Real'!AF35</f>
        <v>89361.462569453317</v>
      </c>
      <c r="AK16" s="1684">
        <f>'C-FCL Real'!AG35</f>
        <v>89781.461443529741</v>
      </c>
      <c r="AL16" s="1684">
        <f>'C-FCL Real'!AH35</f>
        <v>90203.434312314319</v>
      </c>
      <c r="AM16" s="1684">
        <f>'C-FCL Real'!AI35</f>
        <v>90627.390453582193</v>
      </c>
      <c r="AN16" s="1684">
        <f>'C-FCL Real'!AJ35</f>
        <v>91053.339188714017</v>
      </c>
      <c r="AO16" s="1684">
        <f>'C-FCL Real'!AK35</f>
        <v>91481.289882900965</v>
      </c>
      <c r="AP16" s="1684">
        <f>'C-FCL Real'!AL35</f>
        <v>91911.251945350596</v>
      </c>
      <c r="AQ16" s="1684">
        <f>'C-FCL Real'!AM35</f>
        <v>92343.23482949374</v>
      </c>
      <c r="AR16" s="1684">
        <f>'C-FCL Real'!AN35</f>
        <v>92777.248033192358</v>
      </c>
      <c r="AS16" s="1684">
        <f>'C-FCL Real'!AO35</f>
        <v>93213.301098948359</v>
      </c>
      <c r="AT16" s="1684">
        <f>'C-FCL Real'!AP35</f>
        <v>93651.403614113413</v>
      </c>
      <c r="AU16" s="1684">
        <f>'C-FCL Real'!AQ35</f>
        <v>94091.565211099733</v>
      </c>
      <c r="AV16" s="1684">
        <f>'C-FCL Real'!AR35</f>
        <v>94533.795567591893</v>
      </c>
      <c r="AW16" s="1684">
        <f>'C-FCL Real'!AS35</f>
        <v>94978.104406759565</v>
      </c>
      <c r="AX16" s="1684">
        <f>'C-FCL Real'!AT35</f>
        <v>95424.501497471327</v>
      </c>
      <c r="AY16" s="1684">
        <f>'C-FCL Real'!AU35</f>
        <v>95872.996654509436</v>
      </c>
      <c r="AZ16" s="1684">
        <f>'C-FCL Real'!AV35</f>
        <v>96323.599738785619</v>
      </c>
      <c r="BA16" s="1684">
        <f>'C-FCL Real'!AW35</f>
        <v>96776.32065755791</v>
      </c>
      <c r="BB16" s="1684">
        <f>'C-FCL Real'!AX35</f>
        <v>97231.16936464842</v>
      </c>
      <c r="BC16" s="1684">
        <f>'C-FCL Real'!AY35</f>
        <v>97688.155860662257</v>
      </c>
      <c r="BD16" s="1684">
        <f>'C-FCL Real'!AZ35</f>
        <v>98147.290193207358</v>
      </c>
      <c r="BE16" s="1684">
        <f>'C-FCL Real'!BA35</f>
        <v>98608.582457115423</v>
      </c>
      <c r="BF16" s="1684">
        <f>'C-FCL Real'!BB35</f>
        <v>99072.042794663852</v>
      </c>
      <c r="BG16" s="1684">
        <f>'C-FCL Real'!BC35</f>
        <v>99537.681395798762</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143.9233990431367</v>
      </c>
      <c r="B18" s="1689" t="str">
        <f>'C-FCL Real'!B63</f>
        <v>Dados de Capex</v>
      </c>
      <c r="C18" s="1704">
        <f>SUMIF($D$15:$BG$15,1,D18:BG18)</f>
        <v>422.47105588026301</v>
      </c>
      <c r="D18" s="1699">
        <f>'C-FCL Real'!C63</f>
        <v>100.9879346547112</v>
      </c>
      <c r="E18" s="50">
        <f>'C-FCL Real'!D63</f>
        <v>184.09418035559332</v>
      </c>
      <c r="F18" s="50">
        <f>'C-FCL Real'!E63</f>
        <v>137.3889408699585</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131.14944326875954</v>
      </c>
      <c r="B19" s="1738" t="s">
        <v>1008</v>
      </c>
      <c r="C19" s="1703">
        <f>SUMIF($D$15:$BG$15,1,D19:BG19)</f>
        <v>384.97453606730733</v>
      </c>
      <c r="D19" s="1699">
        <f t="shared" ref="D19:AJ19" si="0">NPV($C$8,D18:D18)</f>
        <v>92.024726311929285</v>
      </c>
      <c r="E19" s="50">
        <f t="shared" si="0"/>
        <v>167.7548572586052</v>
      </c>
      <c r="F19" s="50">
        <f t="shared" si="0"/>
        <v>125.19495249677284</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974">
        <f>C18*1000000/(C16/C43)</f>
        <v>5037.3189665097843</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422.82909499795545</v>
      </c>
      <c r="B21" s="1689" t="str">
        <f>'C-FCL Real'!B119</f>
        <v>Dados de Opex + Gestão do Contrato</v>
      </c>
      <c r="C21" s="1704">
        <f>SUMIF($D$15:$BG$15,1,D21:BG21)</f>
        <v>1241.1675614132932</v>
      </c>
      <c r="D21" s="1699">
        <f>'C-FCL Real'!C119</f>
        <v>1.772224375</v>
      </c>
      <c r="E21" s="50">
        <f>'C-FCL Real'!D119</f>
        <v>1.772224375</v>
      </c>
      <c r="F21" s="50">
        <f>'C-FCL Real'!E119</f>
        <v>1.772224375</v>
      </c>
      <c r="G21" s="50">
        <f>'C-FCL Real'!F119</f>
        <v>38.620340259009161</v>
      </c>
      <c r="H21" s="50">
        <f>'C-FCL Real'!G119</f>
        <v>38.620340259009161</v>
      </c>
      <c r="I21" s="50">
        <f>'C-FCL Real'!H119</f>
        <v>38.620340259009161</v>
      </c>
      <c r="J21" s="50">
        <f>'C-FCL Real'!I119</f>
        <v>38.620340259009161</v>
      </c>
      <c r="K21" s="50">
        <f>'C-FCL Real'!J119</f>
        <v>38.620340259009161</v>
      </c>
      <c r="L21" s="50">
        <f>'C-FCL Real'!K119</f>
        <v>38.620340259009161</v>
      </c>
      <c r="M21" s="50">
        <f>'C-FCL Real'!L119</f>
        <v>38.620340259009161</v>
      </c>
      <c r="N21" s="50">
        <f>'C-FCL Real'!M119</f>
        <v>38.620340259009161</v>
      </c>
      <c r="O21" s="50">
        <f>'C-FCL Real'!N119</f>
        <v>38.620340259009161</v>
      </c>
      <c r="P21" s="50">
        <f>'C-FCL Real'!O119</f>
        <v>38.620340259009161</v>
      </c>
      <c r="Q21" s="50">
        <f>'C-FCL Real'!P119</f>
        <v>38.620340259009161</v>
      </c>
      <c r="R21" s="50">
        <f>'C-FCL Real'!Q119</f>
        <v>38.620340259009161</v>
      </c>
      <c r="S21" s="50">
        <f>'C-FCL Real'!O119</f>
        <v>38.620340259009161</v>
      </c>
      <c r="T21" s="50">
        <f>'C-FCL Real'!P119</f>
        <v>38.620340259009161</v>
      </c>
      <c r="U21" s="50">
        <f>'C-FCL Real'!Q119</f>
        <v>38.620340259009161</v>
      </c>
      <c r="V21" s="50">
        <f>'C-FCL Real'!R119</f>
        <v>38.620340259009161</v>
      </c>
      <c r="W21" s="50">
        <f>'C-FCL Real'!S119</f>
        <v>38.620340259009161</v>
      </c>
      <c r="X21" s="50">
        <f>'C-FCL Real'!T119</f>
        <v>38.620340259009161</v>
      </c>
      <c r="Y21" s="50">
        <f>'C-FCL Real'!U119</f>
        <v>38.620340259009161</v>
      </c>
      <c r="Z21" s="50">
        <f>'C-FCL Real'!V119</f>
        <v>38.620340259009161</v>
      </c>
      <c r="AA21" s="50">
        <f>'C-FCL Real'!W119</f>
        <v>38.620340259009161</v>
      </c>
      <c r="AB21" s="50">
        <f>'C-FCL Real'!X119</f>
        <v>38.620340259009161</v>
      </c>
      <c r="AC21" s="50">
        <f>'C-FCL Real'!Y119</f>
        <v>38.620340259009161</v>
      </c>
      <c r="AD21" s="50">
        <f>'C-FCL Real'!Z119</f>
        <v>38.620340259009161</v>
      </c>
      <c r="AE21" s="50">
        <f>'C-FCL Real'!AA119</f>
        <v>38.620340259009161</v>
      </c>
      <c r="AF21" s="50">
        <f>'C-FCL Real'!AB119</f>
        <v>38.620340259009161</v>
      </c>
      <c r="AG21" s="50">
        <f>'C-FCL Real'!AC119</f>
        <v>38.620340259009161</v>
      </c>
      <c r="AH21" s="50">
        <f>'C-FCL Real'!AD119</f>
        <v>38.620340259009161</v>
      </c>
      <c r="AI21" s="50">
        <f>'C-FCL Real'!AE119</f>
        <v>38.620340259009161</v>
      </c>
      <c r="AJ21" s="50">
        <f>'C-FCL Real'!AF119</f>
        <v>38.620340259009161</v>
      </c>
      <c r="AK21" s="50">
        <f>'C-FCL Real'!AG119</f>
        <v>38.620340259009161</v>
      </c>
      <c r="AL21" s="50">
        <f>'C-FCL Real'!AH119</f>
        <v>38.620340259009161</v>
      </c>
      <c r="AM21" s="50">
        <f>'C-FCL Real'!AI119</f>
        <v>38.620340259009161</v>
      </c>
      <c r="AN21" s="50">
        <f>'C-FCL Real'!AJ119</f>
        <v>38.620340259009161</v>
      </c>
      <c r="AO21" s="50">
        <f>'C-FCL Real'!AK119</f>
        <v>38.620340259009161</v>
      </c>
      <c r="AP21" s="50">
        <f>'C-FCL Real'!AL119</f>
        <v>38.620340259009161</v>
      </c>
      <c r="AQ21" s="50">
        <f>'C-FCL Real'!AM119</f>
        <v>38.620340259009161</v>
      </c>
      <c r="AR21" s="50">
        <f>'C-FCL Real'!AN119</f>
        <v>38.620340259009161</v>
      </c>
      <c r="AS21" s="50">
        <f>'C-FCL Real'!AO119</f>
        <v>38.620340259009161</v>
      </c>
      <c r="AT21" s="50">
        <f>'C-FCL Real'!AP119</f>
        <v>38.620340259009161</v>
      </c>
      <c r="AU21" s="50">
        <f>'C-FCL Real'!AQ119</f>
        <v>38.620340259009161</v>
      </c>
      <c r="AV21" s="50">
        <f>'C-FCL Real'!AR119</f>
        <v>38.620340259009161</v>
      </c>
      <c r="AW21" s="50">
        <f>'C-FCL Real'!AS119</f>
        <v>38.620340259009161</v>
      </c>
      <c r="AX21" s="50">
        <f>'C-FCL Real'!AT119</f>
        <v>38.620340259009161</v>
      </c>
      <c r="AY21" s="50">
        <f>'C-FCL Real'!AU119</f>
        <v>38.620340259009161</v>
      </c>
      <c r="AZ21" s="50">
        <f>'C-FCL Real'!AV119</f>
        <v>38.620340259009161</v>
      </c>
      <c r="BA21" s="50">
        <f>'C-FCL Real'!AW119</f>
        <v>38.620340259009161</v>
      </c>
      <c r="BB21" s="50">
        <f>'C-FCL Real'!AX119</f>
        <v>38.620340259009161</v>
      </c>
      <c r="BC21" s="50">
        <f>'C-FCL Real'!AY119</f>
        <v>38.620340259009161</v>
      </c>
      <c r="BD21" s="50">
        <f>'C-FCL Real'!AZ119</f>
        <v>38.620340259009161</v>
      </c>
      <c r="BE21" s="50">
        <f>'C-FCL Real'!BA119</f>
        <v>38.620340259009161</v>
      </c>
      <c r="BF21" s="50">
        <f>'C-FCL Real'!BB119</f>
        <v>38.620340259009161</v>
      </c>
      <c r="BG21" s="50">
        <f>'C-FCL Real'!BC119</f>
        <v>38.620340259009161</v>
      </c>
      <c r="BH21" s="50">
        <f>'C-FCL Real'!BD119</f>
        <v>0</v>
      </c>
    </row>
    <row r="22" spans="1:60" ht="15" hidden="1" customHeight="1" outlineLevel="1" x14ac:dyDescent="0.25">
      <c r="A22" s="1716">
        <f>C22*1000000/$C$16</f>
        <v>361.32265231022774</v>
      </c>
      <c r="B22" s="1738" t="s">
        <v>1009</v>
      </c>
      <c r="C22" s="1703">
        <f>SUMIF($D$15:$BG$15,1,D22:BG22)</f>
        <v>1060.6222716377572</v>
      </c>
      <c r="D22" s="1699">
        <f t="shared" ref="D22:AJ22" si="1">NPV($C$8,D21:D21)</f>
        <v>1.6149301758702388</v>
      </c>
      <c r="E22" s="50">
        <f t="shared" si="1"/>
        <v>1.6149301758702388</v>
      </c>
      <c r="F22" s="50">
        <f t="shared" si="1"/>
        <v>1.6149301758702388</v>
      </c>
      <c r="G22" s="50">
        <f t="shared" si="1"/>
        <v>35.192582703671555</v>
      </c>
      <c r="H22" s="50">
        <f t="shared" si="1"/>
        <v>35.192582703671555</v>
      </c>
      <c r="I22" s="50">
        <f t="shared" si="1"/>
        <v>35.192582703671555</v>
      </c>
      <c r="J22" s="50">
        <f t="shared" si="1"/>
        <v>35.192582703671555</v>
      </c>
      <c r="K22" s="50">
        <f t="shared" si="1"/>
        <v>35.192582703671555</v>
      </c>
      <c r="L22" s="50">
        <f t="shared" si="1"/>
        <v>35.192582703671555</v>
      </c>
      <c r="M22" s="50">
        <f t="shared" si="1"/>
        <v>35.192582703671555</v>
      </c>
      <c r="N22" s="50">
        <f t="shared" si="1"/>
        <v>35.192582703671555</v>
      </c>
      <c r="O22" s="50">
        <f t="shared" si="1"/>
        <v>35.192582703671555</v>
      </c>
      <c r="P22" s="50">
        <f t="shared" si="1"/>
        <v>35.192582703671555</v>
      </c>
      <c r="Q22" s="50">
        <f t="shared" si="1"/>
        <v>35.192582703671555</v>
      </c>
      <c r="R22" s="50">
        <f t="shared" si="1"/>
        <v>35.192582703671555</v>
      </c>
      <c r="S22" s="50">
        <f t="shared" si="1"/>
        <v>35.192582703671555</v>
      </c>
      <c r="T22" s="50">
        <f t="shared" si="1"/>
        <v>35.192582703671555</v>
      </c>
      <c r="U22" s="50">
        <f t="shared" si="1"/>
        <v>35.192582703671555</v>
      </c>
      <c r="V22" s="50">
        <f t="shared" si="1"/>
        <v>35.192582703671555</v>
      </c>
      <c r="W22" s="50">
        <f t="shared" si="1"/>
        <v>35.192582703671555</v>
      </c>
      <c r="X22" s="50">
        <f t="shared" si="1"/>
        <v>35.192582703671555</v>
      </c>
      <c r="Y22" s="50">
        <f t="shared" si="1"/>
        <v>35.192582703671555</v>
      </c>
      <c r="Z22" s="50">
        <f t="shared" si="1"/>
        <v>35.192582703671555</v>
      </c>
      <c r="AA22" s="50">
        <f t="shared" si="1"/>
        <v>35.192582703671555</v>
      </c>
      <c r="AB22" s="50">
        <f t="shared" si="1"/>
        <v>35.192582703671555</v>
      </c>
      <c r="AC22" s="50">
        <f t="shared" si="1"/>
        <v>35.192582703671555</v>
      </c>
      <c r="AD22" s="50">
        <f t="shared" si="1"/>
        <v>35.192582703671555</v>
      </c>
      <c r="AE22" s="50">
        <f t="shared" si="1"/>
        <v>35.192582703671555</v>
      </c>
      <c r="AF22" s="50">
        <f t="shared" si="1"/>
        <v>35.192582703671555</v>
      </c>
      <c r="AG22" s="50">
        <f t="shared" si="1"/>
        <v>35.192582703671555</v>
      </c>
      <c r="AH22" s="50">
        <f t="shared" si="1"/>
        <v>35.192582703671555</v>
      </c>
      <c r="AI22" s="50">
        <f t="shared" si="1"/>
        <v>35.192582703671555</v>
      </c>
      <c r="AJ22" s="50">
        <f t="shared" si="1"/>
        <v>35.192582703671555</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975">
        <f>C21*1000000/C16</f>
        <v>422.82909499795545</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467.72304604984765</v>
      </c>
      <c r="B27" s="1689" t="str">
        <f>'C-FCL Real'!B148</f>
        <v>Dados de Receitas Diretas</v>
      </c>
      <c r="C27" s="1704">
        <f>SUMIF($D$15:$BG$15,1,D27:BG27)</f>
        <v>1372.948738272833</v>
      </c>
      <c r="D27" s="1699">
        <f>'C-FCL Real'!C148-D30</f>
        <v>36.482397591888123</v>
      </c>
      <c r="E27" s="50">
        <f>'C-FCL Real'!D148-E30</f>
        <v>36.653864860569996</v>
      </c>
      <c r="F27" s="50">
        <f>'C-FCL Real'!E148-F30</f>
        <v>36.826138025414679</v>
      </c>
      <c r="G27" s="50">
        <f>'C-FCL Real'!F148-G30</f>
        <v>36.999220874134117</v>
      </c>
      <c r="H27" s="50">
        <f>'C-FCL Real'!G148-H30</f>
        <v>37.173117212242545</v>
      </c>
      <c r="I27" s="50">
        <f>'C-FCL Real'!H148-I30</f>
        <v>37.347830863140082</v>
      </c>
      <c r="J27" s="50">
        <f>'C-FCL Real'!I148-J30</f>
        <v>37.523365668196845</v>
      </c>
      <c r="K27" s="50">
        <f>'C-FCL Real'!J148-K30</f>
        <v>37.699725486837366</v>
      </c>
      <c r="L27" s="50">
        <f>'C-FCL Real'!K148-L30</f>
        <v>37.876914196625506</v>
      </c>
      <c r="M27" s="50">
        <f>'C-FCL Real'!L148-M30</f>
        <v>38.054935693349634</v>
      </c>
      <c r="N27" s="50">
        <f>'C-FCL Real'!M148-N30</f>
        <v>38.23379389110837</v>
      </c>
      <c r="O27" s="50">
        <f>'C-FCL Real'!N148-O30</f>
        <v>38.413492722396583</v>
      </c>
      <c r="P27" s="50">
        <f>'C-FCL Real'!O148-P30</f>
        <v>38.594036138191832</v>
      </c>
      <c r="Q27" s="50">
        <f>'C-FCL Real'!P148-Q30</f>
        <v>38.775428108041339</v>
      </c>
      <c r="R27" s="50">
        <f>'C-FCL Real'!Q148-R30</f>
        <v>38.957672620149125</v>
      </c>
      <c r="S27" s="50">
        <f>'C-FCL Real'!O148-S30</f>
        <v>38.594036138191832</v>
      </c>
      <c r="T27" s="50">
        <f>'C-FCL Real'!P148-T30</f>
        <v>38.775428108041339</v>
      </c>
      <c r="U27" s="50">
        <f>'C-FCL Real'!Q148-U30</f>
        <v>38.957672620149125</v>
      </c>
      <c r="V27" s="50">
        <f>'C-FCL Real'!R148-V30</f>
        <v>39.14077368146382</v>
      </c>
      <c r="W27" s="50">
        <f>'C-FCL Real'!S148-W30</f>
        <v>39.324735317766702</v>
      </c>
      <c r="X27" s="50">
        <f>'C-FCL Real'!T148-X30</f>
        <v>39.509561573760202</v>
      </c>
      <c r="Y27" s="50">
        <f>'C-FCL Real'!U148-Y30</f>
        <v>39.695256513156878</v>
      </c>
      <c r="Z27" s="50">
        <f>'C-FCL Real'!V148-Z30</f>
        <v>39.881824218768706</v>
      </c>
      <c r="AA27" s="50">
        <f>'C-FCL Real'!W148-AA30</f>
        <v>40.069268792596922</v>
      </c>
      <c r="AB27" s="50">
        <f>'C-FCL Real'!X148-AB30</f>
        <v>40.257594355922116</v>
      </c>
      <c r="AC27" s="50">
        <f>'C-FCL Real'!Y148-AC30</f>
        <v>40.446805049394953</v>
      </c>
      <c r="AD27" s="50">
        <f>'C-FCL Real'!Z148-AD30</f>
        <v>40.636905033127107</v>
      </c>
      <c r="AE27" s="50">
        <f>'C-FCL Real'!AA148-AE30</f>
        <v>40.8278984867828</v>
      </c>
      <c r="AF27" s="50">
        <f>'C-FCL Real'!AB148-AF30</f>
        <v>41.019789609670674</v>
      </c>
      <c r="AG27" s="50">
        <f>'C-FCL Real'!AC148-AG30</f>
        <v>41.21258262083613</v>
      </c>
      <c r="AH27" s="50">
        <f>'C-FCL Real'!AD148-AH30</f>
        <v>41.406281759154055</v>
      </c>
      <c r="AI27" s="50">
        <f>'C-FCL Real'!AE148-AI30</f>
        <v>41.600891283422072</v>
      </c>
      <c r="AJ27" s="50">
        <f>'C-FCL Real'!AF148-AJ30</f>
        <v>41.796415472454157</v>
      </c>
      <c r="AK27" s="50">
        <f>'C-FCL Real'!AG148-AK30</f>
        <v>41.992858625174691</v>
      </c>
      <c r="AL27" s="50">
        <f>'C-FCL Real'!AH148-AL30</f>
        <v>42.190225060713011</v>
      </c>
      <c r="AM27" s="50">
        <f>'C-FCL Real'!AI148-AM30</f>
        <v>42.388519118498358</v>
      </c>
      <c r="AN27" s="50">
        <f>'C-FCL Real'!AJ148-AN30</f>
        <v>42.587745158355297</v>
      </c>
      <c r="AO27" s="50">
        <f>'C-FCL Real'!AK148-AO30</f>
        <v>42.787907560599557</v>
      </c>
      <c r="AP27" s="50">
        <f>'C-FCL Real'!AL148-AP30</f>
        <v>42.989010726134381</v>
      </c>
      <c r="AQ27" s="50">
        <f>'C-FCL Real'!AM148-AQ30</f>
        <v>43.191059076547205</v>
      </c>
      <c r="AR27" s="50">
        <f>'C-FCL Real'!AN148-AR30</f>
        <v>43.394057054206975</v>
      </c>
      <c r="AS27" s="50">
        <f>'C-FCL Real'!AO148-AS30</f>
        <v>43.598009122361759</v>
      </c>
      <c r="AT27" s="50">
        <f>'C-FCL Real'!AP148-AT30</f>
        <v>43.802919765236844</v>
      </c>
      <c r="AU27" s="50">
        <f>'C-FCL Real'!AQ148-AU30</f>
        <v>44.008793488133456</v>
      </c>
      <c r="AV27" s="50">
        <f>'C-FCL Real'!AR148-AV30</f>
        <v>44.215634817527672</v>
      </c>
      <c r="AW27" s="50">
        <f>'C-FCL Real'!AS148-AW30</f>
        <v>44.423448301170048</v>
      </c>
      <c r="AX27" s="50">
        <f>'C-FCL Real'!AT148-AX30</f>
        <v>44.632238508185551</v>
      </c>
      <c r="AY27" s="50">
        <f>'C-FCL Real'!AU148-AY30</f>
        <v>44.842010029174013</v>
      </c>
      <c r="AZ27" s="50">
        <f>'C-FCL Real'!AV148-AZ30</f>
        <v>45.052767476311125</v>
      </c>
      <c r="BA27" s="50">
        <f>'C-FCL Real'!AW148-BA30</f>
        <v>45.264515483449784</v>
      </c>
      <c r="BB27" s="50">
        <f>'C-FCL Real'!AX148-BB30</f>
        <v>45.477258706221996</v>
      </c>
      <c r="BC27" s="50">
        <f>'C-FCL Real'!AY148-BC30</f>
        <v>45.691001822141239</v>
      </c>
      <c r="BD27" s="50">
        <f>'C-FCL Real'!AZ148-BD30</f>
        <v>45.905749530705293</v>
      </c>
      <c r="BE27" s="50">
        <f>'C-FCL Real'!BA148-BE30</f>
        <v>46.1215065534996</v>
      </c>
      <c r="BF27" s="50">
        <f>'C-FCL Real'!BB148-BF30</f>
        <v>46.338277634301051</v>
      </c>
      <c r="BG27" s="50">
        <f>'C-FCL Real'!BC148-BG30</f>
        <v>46.556067539182258</v>
      </c>
      <c r="BH27" s="50">
        <f>'C-FCL Real'!BD148-BH30</f>
        <v>0</v>
      </c>
    </row>
    <row r="28" spans="1:60" ht="15" hidden="1" customHeight="1" outlineLevel="1" x14ac:dyDescent="0.25">
      <c r="A28" s="1716">
        <f>C28*1000000/$C$16</f>
        <v>400.07687094871727</v>
      </c>
      <c r="B28" s="1738" t="s">
        <v>1010</v>
      </c>
      <c r="C28" s="1703">
        <f>SUMIF($D$15:$BG$15,1,D28:BG28)</f>
        <v>1174.3809500518912</v>
      </c>
      <c r="D28" s="1699">
        <f t="shared" ref="D28:AJ28" si="3">NPV($C$8,D27:D27)</f>
        <v>33.244393650344563</v>
      </c>
      <c r="E28" s="50">
        <f t="shared" si="3"/>
        <v>33.400642300501183</v>
      </c>
      <c r="F28" s="50">
        <f t="shared" si="3"/>
        <v>33.557625319313544</v>
      </c>
      <c r="G28" s="50">
        <f t="shared" si="3"/>
        <v>33.715346158314304</v>
      </c>
      <c r="H28" s="50">
        <f t="shared" si="3"/>
        <v>33.873808285258384</v>
      </c>
      <c r="I28" s="50">
        <f t="shared" si="3"/>
        <v>34.033015184199094</v>
      </c>
      <c r="J28" s="50">
        <f t="shared" si="3"/>
        <v>34.192970355564832</v>
      </c>
      <c r="K28" s="50">
        <f t="shared" si="3"/>
        <v>34.353677316235981</v>
      </c>
      <c r="L28" s="50">
        <f t="shared" si="3"/>
        <v>34.515139599622294</v>
      </c>
      <c r="M28" s="50">
        <f t="shared" si="3"/>
        <v>34.677360755740509</v>
      </c>
      <c r="N28" s="50">
        <f t="shared" si="3"/>
        <v>34.840344351292487</v>
      </c>
      <c r="O28" s="50">
        <f t="shared" si="3"/>
        <v>35.004093969743565</v>
      </c>
      <c r="P28" s="50">
        <f t="shared" si="3"/>
        <v>35.168613211401343</v>
      </c>
      <c r="Q28" s="50">
        <f t="shared" si="3"/>
        <v>35.333905693494934</v>
      </c>
      <c r="R28" s="50">
        <f t="shared" si="3"/>
        <v>35.499975050254356</v>
      </c>
      <c r="S28" s="50">
        <f t="shared" si="3"/>
        <v>35.168613211401343</v>
      </c>
      <c r="T28" s="50">
        <f t="shared" si="3"/>
        <v>35.333905693494934</v>
      </c>
      <c r="U28" s="50">
        <f t="shared" si="3"/>
        <v>35.499975050254356</v>
      </c>
      <c r="V28" s="50">
        <f t="shared" si="3"/>
        <v>35.666824932990544</v>
      </c>
      <c r="W28" s="50">
        <f t="shared" si="3"/>
        <v>35.8344590101756</v>
      </c>
      <c r="X28" s="50">
        <f t="shared" si="3"/>
        <v>36.002880967523424</v>
      </c>
      <c r="Y28" s="50">
        <f t="shared" si="3"/>
        <v>36.172094508070785</v>
      </c>
      <c r="Z28" s="50">
        <f t="shared" si="3"/>
        <v>36.342103352258711</v>
      </c>
      <c r="AA28" s="50">
        <f t="shared" si="3"/>
        <v>36.512911238014333</v>
      </c>
      <c r="AB28" s="50">
        <f t="shared" si="3"/>
        <v>36.684521920832985</v>
      </c>
      <c r="AC28" s="50">
        <f t="shared" si="3"/>
        <v>36.856939173860901</v>
      </c>
      <c r="AD28" s="50">
        <f t="shared" si="3"/>
        <v>37.030166787978047</v>
      </c>
      <c r="AE28" s="50">
        <f t="shared" si="3"/>
        <v>37.204208571881537</v>
      </c>
      <c r="AF28" s="50">
        <f t="shared" si="3"/>
        <v>37.379068352169377</v>
      </c>
      <c r="AG28" s="50">
        <f t="shared" si="3"/>
        <v>37.554749973424578</v>
      </c>
      <c r="AH28" s="50">
        <f t="shared" si="3"/>
        <v>37.731257298299667</v>
      </c>
      <c r="AI28" s="50">
        <f t="shared" si="3"/>
        <v>37.908594207601674</v>
      </c>
      <c r="AJ28" s="50">
        <f t="shared" si="3"/>
        <v>38.0867646003774</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28.394530292523701</v>
      </c>
      <c r="B30" s="1689" t="str">
        <f>'C-FCL Real'!B149</f>
        <v>Receita do Ente Público pela disposição do RPU</v>
      </c>
      <c r="C30" s="1704">
        <f>SUMIF($D$15:$BG$15,1,D30:BG30)</f>
        <v>83.348970866865102</v>
      </c>
      <c r="D30" s="1699">
        <f>'C-FCL Real'!C149</f>
        <v>2.2147733628168482</v>
      </c>
      <c r="E30" s="50">
        <f>'C-FCL Real'!D149</f>
        <v>2.2251827976220873</v>
      </c>
      <c r="F30" s="50">
        <f>'C-FCL Real'!E149</f>
        <v>2.2356411567709107</v>
      </c>
      <c r="G30" s="50">
        <f>'C-FCL Real'!F149</f>
        <v>2.246148670207734</v>
      </c>
      <c r="H30" s="50">
        <f>'C-FCL Real'!G149</f>
        <v>2.25670556895771</v>
      </c>
      <c r="I30" s="50">
        <f>'C-FCL Real'!H149</f>
        <v>2.2673120851318109</v>
      </c>
      <c r="J30" s="50">
        <f>'C-FCL Real'!I149</f>
        <v>2.2779684519319301</v>
      </c>
      <c r="K30" s="50">
        <f>'C-FCL Real'!J149</f>
        <v>2.2886749036560099</v>
      </c>
      <c r="L30" s="50">
        <f>'C-FCL Real'!K149</f>
        <v>2.2994316757031932</v>
      </c>
      <c r="M30" s="50">
        <f>'C-FCL Real'!L149</f>
        <v>2.3102390045789982</v>
      </c>
      <c r="N30" s="50">
        <f>'C-FCL Real'!M149</f>
        <v>2.3210971279005195</v>
      </c>
      <c r="O30" s="50">
        <f>'C-FCL Real'!N149</f>
        <v>2.3320062844016518</v>
      </c>
      <c r="P30" s="50">
        <f>'C-FCL Real'!O149</f>
        <v>2.3429667139383392</v>
      </c>
      <c r="Q30" s="50">
        <f>'C-FCL Real'!P149</f>
        <v>2.3539786574938493</v>
      </c>
      <c r="R30" s="50">
        <f>'C-FCL Real'!Q149</f>
        <v>2.3650423571840702</v>
      </c>
      <c r="S30" s="50">
        <f>'C-FCL Real'!O149</f>
        <v>2.3429667139383392</v>
      </c>
      <c r="T30" s="50">
        <f>'C-FCL Real'!P149</f>
        <v>2.3539786574938493</v>
      </c>
      <c r="U30" s="50">
        <f>'C-FCL Real'!Q149</f>
        <v>2.3650423571840702</v>
      </c>
      <c r="V30" s="50">
        <f>'C-FCL Real'!R149</f>
        <v>2.376158056262835</v>
      </c>
      <c r="W30" s="50">
        <f>'C-FCL Real'!S149</f>
        <v>2.3873259991272704</v>
      </c>
      <c r="X30" s="50">
        <f>'C-FCL Real'!T149</f>
        <v>2.3985464313231684</v>
      </c>
      <c r="Y30" s="50">
        <f>'C-FCL Real'!U149</f>
        <v>2.4098195995503873</v>
      </c>
      <c r="Z30" s="50">
        <f>'C-FCL Real'!V149</f>
        <v>2.4211457516682739</v>
      </c>
      <c r="AA30" s="50">
        <f>'C-FCL Real'!W149</f>
        <v>2.4325251367011145</v>
      </c>
      <c r="AB30" s="50">
        <f>'C-FCL Real'!X149</f>
        <v>2.4439580048436094</v>
      </c>
      <c r="AC30" s="50">
        <f>'C-FCL Real'!Y149</f>
        <v>2.4554446074663741</v>
      </c>
      <c r="AD30" s="50">
        <f>'C-FCL Real'!Z149</f>
        <v>2.466985197121466</v>
      </c>
      <c r="AE30" s="50">
        <f>'C-FCL Real'!AA149</f>
        <v>2.4785800275479368</v>
      </c>
      <c r="AF30" s="50">
        <f>'C-FCL Real'!AB149</f>
        <v>2.490229353677412</v>
      </c>
      <c r="AG30" s="50">
        <f>'C-FCL Real'!AC149</f>
        <v>2.5019334316396957</v>
      </c>
      <c r="AH30" s="50">
        <f>'C-FCL Real'!AD149</f>
        <v>2.5136925187684023</v>
      </c>
      <c r="AI30" s="50">
        <f>'C-FCL Real'!AE149</f>
        <v>2.5255068736066137</v>
      </c>
      <c r="AJ30" s="50">
        <f>'C-FCL Real'!AF149</f>
        <v>2.5373767559125646</v>
      </c>
      <c r="AK30" s="50">
        <f>'C-FCL Real'!AG149</f>
        <v>2.5493024266653537</v>
      </c>
      <c r="AL30" s="50">
        <f>'C-FCL Real'!AH149</f>
        <v>2.5612841480706807</v>
      </c>
      <c r="AM30" s="50">
        <f>'C-FCL Real'!AI149</f>
        <v>2.5733221835666127</v>
      </c>
      <c r="AN30" s="50">
        <f>'C-FCL Real'!AJ149</f>
        <v>2.5854167978293754</v>
      </c>
      <c r="AO30" s="50">
        <f>'C-FCL Real'!AK149</f>
        <v>2.5975682567791734</v>
      </c>
      <c r="AP30" s="50">
        <f>'C-FCL Real'!AL149</f>
        <v>2.6097768275860354</v>
      </c>
      <c r="AQ30" s="50">
        <f>'C-FCL Real'!AM149</f>
        <v>2.6220427786756897</v>
      </c>
      <c r="AR30" s="50">
        <f>'C-FCL Real'!AN149</f>
        <v>2.6343663797354653</v>
      </c>
      <c r="AS30" s="50">
        <f>'C-FCL Real'!AO149</f>
        <v>2.6467479017202216</v>
      </c>
      <c r="AT30" s="50">
        <f>'C-FCL Real'!AP149</f>
        <v>2.6591876168583064</v>
      </c>
      <c r="AU30" s="50">
        <f>'C-FCL Real'!AQ149</f>
        <v>2.6716857986575402</v>
      </c>
      <c r="AV30" s="50">
        <f>'C-FCL Real'!AR149</f>
        <v>2.6842427219112306</v>
      </c>
      <c r="AW30" s="50">
        <f>'C-FCL Real'!AS149</f>
        <v>2.696858662704213</v>
      </c>
      <c r="AX30" s="50">
        <f>'C-FCL Real'!AT149</f>
        <v>2.7095338984189228</v>
      </c>
      <c r="AY30" s="50">
        <f>'C-FCL Real'!AU149</f>
        <v>2.7222687077414913</v>
      </c>
      <c r="AZ30" s="50">
        <f>'C-FCL Real'!AV149</f>
        <v>2.7350633706678762</v>
      </c>
      <c r="BA30" s="50">
        <f>'C-FCL Real'!AW149</f>
        <v>2.7479181685100151</v>
      </c>
      <c r="BB30" s="50">
        <f>'C-FCL Real'!AX149</f>
        <v>2.7608333839020118</v>
      </c>
      <c r="BC30" s="50">
        <f>'C-FCL Real'!AY149</f>
        <v>2.7738093008063509</v>
      </c>
      <c r="BD30" s="50">
        <f>'C-FCL Real'!AZ149</f>
        <v>2.7868462045201405</v>
      </c>
      <c r="BE30" s="50">
        <f>'C-FCL Real'!BA149</f>
        <v>2.7999443816813852</v>
      </c>
      <c r="BF30" s="50">
        <f>'C-FCL Real'!BB149</f>
        <v>2.8131041202752876</v>
      </c>
      <c r="BG30" s="50">
        <f>'C-FCL Real'!BC149</f>
        <v>2.8263257096405812</v>
      </c>
      <c r="BH30" s="50">
        <f>'C-FCL Real'!BD149</f>
        <v>0</v>
      </c>
    </row>
    <row r="31" spans="1:60" ht="15" hidden="1" customHeight="1" outlineLevel="1" x14ac:dyDescent="0.25">
      <c r="A31" s="1716">
        <f>C31*1000000/$C$16</f>
        <v>24.287866350465769</v>
      </c>
      <c r="B31" s="1738" t="s">
        <v>1011</v>
      </c>
      <c r="C31" s="1703">
        <f>SUMIF($D$15:$BG$15,1,D31:BG31)</f>
        <v>71.294317743875567</v>
      </c>
      <c r="D31" s="1699">
        <f t="shared" ref="D31:AJ31" si="4">NPV($C$8,D30:D30)</f>
        <v>2.0182006222132753</v>
      </c>
      <c r="E31" s="50">
        <f t="shared" si="4"/>
        <v>2.0276861651376774</v>
      </c>
      <c r="F31" s="50">
        <f t="shared" si="4"/>
        <v>2.0372162901138244</v>
      </c>
      <c r="G31" s="50">
        <f t="shared" si="4"/>
        <v>2.0467912066773595</v>
      </c>
      <c r="H31" s="50">
        <f t="shared" si="4"/>
        <v>2.0564111253487427</v>
      </c>
      <c r="I31" s="50">
        <f t="shared" si="4"/>
        <v>2.0660762576378815</v>
      </c>
      <c r="J31" s="50">
        <f t="shared" si="4"/>
        <v>2.0757868160487791</v>
      </c>
      <c r="K31" s="50">
        <f t="shared" si="4"/>
        <v>2.0855430140842079</v>
      </c>
      <c r="L31" s="50">
        <f t="shared" si="4"/>
        <v>2.0953450662504038</v>
      </c>
      <c r="M31" s="50">
        <f t="shared" si="4"/>
        <v>2.1051931880617811</v>
      </c>
      <c r="N31" s="50">
        <f t="shared" si="4"/>
        <v>2.1150875960456714</v>
      </c>
      <c r="O31" s="50">
        <f t="shared" si="4"/>
        <v>2.1250285077470856</v>
      </c>
      <c r="P31" s="50">
        <f t="shared" si="4"/>
        <v>2.1350161417334967</v>
      </c>
      <c r="Q31" s="50">
        <f t="shared" si="4"/>
        <v>2.1450507175996441</v>
      </c>
      <c r="R31" s="50">
        <f t="shared" si="4"/>
        <v>2.1551324559723621</v>
      </c>
      <c r="S31" s="50">
        <f t="shared" si="4"/>
        <v>2.1350161417334967</v>
      </c>
      <c r="T31" s="50">
        <f t="shared" si="4"/>
        <v>2.1450507175996441</v>
      </c>
      <c r="U31" s="50">
        <f t="shared" si="4"/>
        <v>2.1551324559723621</v>
      </c>
      <c r="V31" s="50">
        <f t="shared" si="4"/>
        <v>2.1652615785154321</v>
      </c>
      <c r="W31" s="50">
        <f t="shared" si="4"/>
        <v>2.1754383079344546</v>
      </c>
      <c r="X31" s="50">
        <f t="shared" si="4"/>
        <v>2.1856628679817462</v>
      </c>
      <c r="Y31" s="50">
        <f t="shared" si="4"/>
        <v>2.1959354834612608</v>
      </c>
      <c r="Z31" s="50">
        <f t="shared" si="4"/>
        <v>2.2062563802335284</v>
      </c>
      <c r="AA31" s="50">
        <f t="shared" si="4"/>
        <v>2.2166257852206255</v>
      </c>
      <c r="AB31" s="50">
        <f t="shared" si="4"/>
        <v>2.2270439264111621</v>
      </c>
      <c r="AC31" s="50">
        <f t="shared" si="4"/>
        <v>2.2375110328652945</v>
      </c>
      <c r="AD31" s="50">
        <f t="shared" si="4"/>
        <v>2.2480273347197612</v>
      </c>
      <c r="AE31" s="50">
        <f t="shared" si="4"/>
        <v>2.2585930631929441</v>
      </c>
      <c r="AF31" s="50">
        <f t="shared" si="4"/>
        <v>2.269208450589951</v>
      </c>
      <c r="AG31" s="50">
        <f t="shared" si="4"/>
        <v>2.2798737303077234</v>
      </c>
      <c r="AH31" s="50">
        <f t="shared" si="4"/>
        <v>2.2905891368401701</v>
      </c>
      <c r="AI31" s="50">
        <f t="shared" si="4"/>
        <v>2.3013549057833185</v>
      </c>
      <c r="AJ31" s="50">
        <f t="shared" si="4"/>
        <v>2.3121712738405003</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-70.634917698720713</v>
      </c>
      <c r="B33" s="1689" t="s">
        <v>1004</v>
      </c>
      <c r="C33" s="1704">
        <f>SUMIF($D$15:$BG$15,1,D33:BG33)</f>
        <v>-207.3409081538577</v>
      </c>
      <c r="D33" s="1699">
        <f>'C-FCL Real'!C153</f>
        <v>-64.062988075006217</v>
      </c>
      <c r="E33" s="50">
        <f>'C-FCL Real'!D153</f>
        <v>-146.98735707240124</v>
      </c>
      <c r="F33" s="50">
        <f>'C-FCL Real'!E153</f>
        <v>-100.09938606277291</v>
      </c>
      <c r="G33" s="50">
        <f>'C-FCL Real'!F153</f>
        <v>0.62502928533268687</v>
      </c>
      <c r="H33" s="50">
        <f>'C-FCL Real'!G153</f>
        <v>0.80948252219109662</v>
      </c>
      <c r="I33" s="50">
        <f>'C-FCL Real'!H153</f>
        <v>0.99480268926273396</v>
      </c>
      <c r="J33" s="50">
        <f>'C-FCL Real'!I153</f>
        <v>1.1809938611196173</v>
      </c>
      <c r="K33" s="50">
        <f>'C-FCL Real'!J153</f>
        <v>1.3680601314842136</v>
      </c>
      <c r="L33" s="50">
        <f>'C-FCL Real'!K153</f>
        <v>1.5560056133195346</v>
      </c>
      <c r="M33" s="50">
        <f>'C-FCL Real'!L153</f>
        <v>1.7448344389194688</v>
      </c>
      <c r="N33" s="50">
        <f>'C-FCL Real'!M153</f>
        <v>1.9345507599997305</v>
      </c>
      <c r="O33" s="50">
        <f>'C-FCL Real'!N153</f>
        <v>2.1251587477890723</v>
      </c>
      <c r="P33" s="50">
        <f>'C-FCL Real'!O153</f>
        <v>2.3166625931210092</v>
      </c>
      <c r="Q33" s="50">
        <f>'C-FCL Real'!P153</f>
        <v>2.5090665065260254</v>
      </c>
      <c r="R33" s="50">
        <f>'C-FCL Real'!Q153</f>
        <v>2.7023747183240374</v>
      </c>
      <c r="S33" s="50">
        <f>'C-FCL Real'!O153</f>
        <v>2.3166625931210092</v>
      </c>
      <c r="T33" s="50">
        <f>'C-FCL Real'!P153</f>
        <v>2.5090665065260254</v>
      </c>
      <c r="U33" s="50">
        <f>'C-FCL Real'!Q153</f>
        <v>2.7023747183240374</v>
      </c>
      <c r="V33" s="50">
        <f>'C-FCL Real'!R153</f>
        <v>2.8965914787174967</v>
      </c>
      <c r="W33" s="50">
        <f>'C-FCL Real'!S153</f>
        <v>3.0917210578848113</v>
      </c>
      <c r="X33" s="50">
        <f>'C-FCL Real'!T153</f>
        <v>3.2877677460742092</v>
      </c>
      <c r="Y33" s="50">
        <f>'C-FCL Real'!U153</f>
        <v>3.4847358536981048</v>
      </c>
      <c r="Z33" s="50">
        <f>'C-FCL Real'!V153</f>
        <v>3.6826297114278219</v>
      </c>
      <c r="AA33" s="50">
        <f>'C-FCL Real'!W153</f>
        <v>3.8814536702888773</v>
      </c>
      <c r="AB33" s="50">
        <f>'C-FCL Real'!X153</f>
        <v>4.081212101756563</v>
      </c>
      <c r="AC33" s="50">
        <f>'C-FCL Real'!Y153</f>
        <v>4.2819093978521678</v>
      </c>
      <c r="AD33" s="50">
        <f>'C-FCL Real'!Z153</f>
        <v>4.4835499712394125</v>
      </c>
      <c r="AE33" s="50">
        <f>'C-FCL Real'!AA153</f>
        <v>4.6861382553215734</v>
      </c>
      <c r="AF33" s="50">
        <f>'C-FCL Real'!AB153</f>
        <v>4.8896787043389267</v>
      </c>
      <c r="AG33" s="50">
        <f>'C-FCL Real'!AC153</f>
        <v>5.0941757934666683</v>
      </c>
      <c r="AH33" s="50">
        <f>'C-FCL Real'!AD153</f>
        <v>5.2996340189132951</v>
      </c>
      <c r="AI33" s="50">
        <f>'C-FCL Real'!AE153</f>
        <v>5.5060578980195274</v>
      </c>
      <c r="AJ33" s="50">
        <f>'C-FCL Real'!AF153</f>
        <v>5.7134519693575569</v>
      </c>
      <c r="AK33" s="50">
        <f>'C-FCL Real'!AG153</f>
        <v>5.9218207928308857</v>
      </c>
      <c r="AL33" s="50">
        <f>'C-FCL Real'!AH153</f>
        <v>6.1311689497745334</v>
      </c>
      <c r="AM33" s="50">
        <f>'C-FCL Real'!AI153</f>
        <v>6.341501043055807</v>
      </c>
      <c r="AN33" s="50">
        <f>'C-FCL Real'!AJ153</f>
        <v>6.55282169717551</v>
      </c>
      <c r="AO33" s="50">
        <f>'C-FCL Real'!AK153</f>
        <v>6.7651355583695718</v>
      </c>
      <c r="AP33" s="50">
        <f>'C-FCL Real'!AL153</f>
        <v>6.9784472947112519</v>
      </c>
      <c r="AQ33" s="50">
        <f>'C-FCL Real'!AM153</f>
        <v>7.1927615962137352</v>
      </c>
      <c r="AR33" s="50">
        <f>'C-FCL Real'!AN153</f>
        <v>7.4080831749332816</v>
      </c>
      <c r="AS33" s="50">
        <f>'C-FCL Real'!AO153</f>
        <v>7.6244167650728158</v>
      </c>
      <c r="AT33" s="50">
        <f>'C-FCL Real'!AP153</f>
        <v>7.8417671230859867</v>
      </c>
      <c r="AU33" s="50">
        <f>'C-FCL Real'!AQ153</f>
        <v>8.0601390277818368</v>
      </c>
      <c r="AV33" s="50">
        <f>'C-FCL Real'!AR153</f>
        <v>8.2795372804297429</v>
      </c>
      <c r="AW33" s="50">
        <f>'C-FCL Real'!AS153</f>
        <v>8.499966704865102</v>
      </c>
      <c r="AX33" s="50">
        <f>'C-FCL Real'!AT153</f>
        <v>8.7214321475953156</v>
      </c>
      <c r="AY33" s="50">
        <f>'C-FCL Real'!AU153</f>
        <v>8.9439384779063431</v>
      </c>
      <c r="AZ33" s="50">
        <f>'C-FCL Real'!AV153</f>
        <v>9.1674905879698372</v>
      </c>
      <c r="BA33" s="50">
        <f>'C-FCL Real'!AW153</f>
        <v>9.3920933929506347</v>
      </c>
      <c r="BB33" s="50">
        <f>'C-FCL Real'!AX153</f>
        <v>9.6177518311148447</v>
      </c>
      <c r="BC33" s="50">
        <f>'C-FCL Real'!AY153</f>
        <v>9.844470863938426</v>
      </c>
      <c r="BD33" s="50">
        <f>'C-FCL Real'!AZ153</f>
        <v>10.07225547621627</v>
      </c>
      <c r="BE33" s="50">
        <f>'C-FCL Real'!BA153</f>
        <v>10.301110676171824</v>
      </c>
      <c r="BF33" s="50">
        <f>'C-FCL Real'!BB153</f>
        <v>10.531041495567173</v>
      </c>
      <c r="BG33" s="50">
        <f>'C-FCL Real'!BC153</f>
        <v>10.762052989813675</v>
      </c>
      <c r="BH33" s="50">
        <f>'C-FCL Real'!BD153</f>
        <v>0</v>
      </c>
    </row>
    <row r="34" spans="1:60" ht="15" hidden="1" customHeight="1" outlineLevel="1" x14ac:dyDescent="0.25">
      <c r="A34" s="1716">
        <f>C34*1000000/$C$16</f>
        <v>-68.107358279804089</v>
      </c>
      <c r="B34" s="1738" t="s">
        <v>1012</v>
      </c>
      <c r="C34" s="1703">
        <f>SUMIF($D$15:$BG$15,1,D34:BG34)</f>
        <v>-199.92153990929754</v>
      </c>
      <c r="D34" s="1699">
        <f t="shared" ref="D34:AJ34" si="5">NPV($C$8,D33:D33)</f>
        <v>-58.377062215241679</v>
      </c>
      <c r="E34" s="50">
        <f t="shared" si="5"/>
        <v>-133.94145896883657</v>
      </c>
      <c r="F34" s="50">
        <f t="shared" si="5"/>
        <v>-91.215041063215708</v>
      </c>
      <c r="G34" s="50">
        <f t="shared" si="5"/>
        <v>0.56955466132010835</v>
      </c>
      <c r="H34" s="50">
        <f t="shared" si="5"/>
        <v>0.73763670693557193</v>
      </c>
      <c r="I34" s="50">
        <f t="shared" si="5"/>
        <v>0.90650873816542188</v>
      </c>
      <c r="J34" s="50">
        <f t="shared" si="5"/>
        <v>1.0761744679420606</v>
      </c>
      <c r="K34" s="50">
        <f t="shared" si="5"/>
        <v>1.2466376266486365</v>
      </c>
      <c r="L34" s="50">
        <f t="shared" si="5"/>
        <v>1.4179019622011433</v>
      </c>
      <c r="M34" s="50">
        <f t="shared" si="5"/>
        <v>1.5899712401307353</v>
      </c>
      <c r="N34" s="50">
        <f t="shared" si="5"/>
        <v>1.7628492436666034</v>
      </c>
      <c r="O34" s="50">
        <f t="shared" si="5"/>
        <v>1.9365397738190928</v>
      </c>
      <c r="P34" s="50">
        <f t="shared" si="5"/>
        <v>2.1110466494632854</v>
      </c>
      <c r="Q34" s="50">
        <f t="shared" si="5"/>
        <v>2.286373707423023</v>
      </c>
      <c r="R34" s="50">
        <f t="shared" si="5"/>
        <v>2.4625248025551647</v>
      </c>
      <c r="S34" s="50">
        <f t="shared" si="5"/>
        <v>2.1110466494632854</v>
      </c>
      <c r="T34" s="50">
        <f t="shared" si="5"/>
        <v>2.286373707423023</v>
      </c>
      <c r="U34" s="50">
        <f t="shared" si="5"/>
        <v>2.4625248025551647</v>
      </c>
      <c r="V34" s="50">
        <f t="shared" si="5"/>
        <v>2.6395038078344242</v>
      </c>
      <c r="W34" s="50">
        <f t="shared" si="5"/>
        <v>2.8173146144385015</v>
      </c>
      <c r="X34" s="50">
        <f t="shared" si="5"/>
        <v>2.9959611318336155</v>
      </c>
      <c r="Y34" s="50">
        <f t="shared" si="5"/>
        <v>3.1754472878604929</v>
      </c>
      <c r="Z34" s="50">
        <f t="shared" si="5"/>
        <v>3.3557770288206874</v>
      </c>
      <c r="AA34" s="50">
        <f t="shared" si="5"/>
        <v>3.5369543195634021</v>
      </c>
      <c r="AB34" s="50">
        <f t="shared" si="5"/>
        <v>3.7189831435725926</v>
      </c>
      <c r="AC34" s="50">
        <f t="shared" si="5"/>
        <v>3.9018675030546457</v>
      </c>
      <c r="AD34" s="50">
        <f t="shared" si="5"/>
        <v>4.0856114190262556</v>
      </c>
      <c r="AE34" s="50">
        <f t="shared" si="5"/>
        <v>4.2702189314029289</v>
      </c>
      <c r="AF34" s="50">
        <f t="shared" si="5"/>
        <v>4.4556940990877774</v>
      </c>
      <c r="AG34" s="50">
        <f t="shared" si="5"/>
        <v>4.6420410000607513</v>
      </c>
      <c r="AH34" s="50">
        <f t="shared" si="5"/>
        <v>4.8292637314682842</v>
      </c>
      <c r="AI34" s="50">
        <f t="shared" si="5"/>
        <v>5.0173664097134392</v>
      </c>
      <c r="AJ34" s="50">
        <f t="shared" si="5"/>
        <v>5.2063531705463433</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12.023963003792396</v>
      </c>
      <c r="B36" s="1690" t="s">
        <v>1014</v>
      </c>
      <c r="C36" s="1704">
        <f>SUMIF($D$15:$BG$15,1,D36:BG36)</f>
        <v>35.294999839149732</v>
      </c>
      <c r="D36" s="1699">
        <f>IF(D33&gt;0,D33*0.34,0)</f>
        <v>0</v>
      </c>
      <c r="E36" s="50">
        <f t="shared" ref="E36:BG36" si="6">IF(E33&gt;0,E33*0.34,0)</f>
        <v>0</v>
      </c>
      <c r="F36" s="50">
        <f t="shared" si="6"/>
        <v>0</v>
      </c>
      <c r="G36" s="50">
        <f t="shared" si="6"/>
        <v>0.21250995701311354</v>
      </c>
      <c r="H36" s="50">
        <f t="shared" si="6"/>
        <v>0.27522405754497287</v>
      </c>
      <c r="I36" s="50">
        <f t="shared" si="6"/>
        <v>0.33823291434932956</v>
      </c>
      <c r="J36" s="50">
        <f t="shared" si="6"/>
        <v>0.40153791278066991</v>
      </c>
      <c r="K36" s="50">
        <f t="shared" si="6"/>
        <v>0.46514044470463267</v>
      </c>
      <c r="L36" s="50">
        <f t="shared" si="6"/>
        <v>0.52904190852864175</v>
      </c>
      <c r="M36" s="50">
        <f t="shared" si="6"/>
        <v>0.59324370923261938</v>
      </c>
      <c r="N36" s="50">
        <f t="shared" si="6"/>
        <v>0.65774725839990844</v>
      </c>
      <c r="O36" s="50">
        <f t="shared" si="6"/>
        <v>0.7225539742482846</v>
      </c>
      <c r="P36" s="50">
        <f>IF(P33&gt;0,P33*0.34,0)</f>
        <v>0.78766528166114314</v>
      </c>
      <c r="Q36" s="50">
        <f>IF(Q33&gt;0,Q33*0.34,0)</f>
        <v>0.85308261221884873</v>
      </c>
      <c r="R36" s="50">
        <f>IF(R33&gt;0,R33*0.34,0)</f>
        <v>0.91880740423017282</v>
      </c>
      <c r="S36" s="50">
        <f t="shared" si="6"/>
        <v>0.78766528166114314</v>
      </c>
      <c r="T36" s="50">
        <f t="shared" si="6"/>
        <v>0.85308261221884873</v>
      </c>
      <c r="U36" s="50">
        <f t="shared" si="6"/>
        <v>0.91880740423017282</v>
      </c>
      <c r="V36" s="50">
        <f t="shared" si="6"/>
        <v>0.98484110276394898</v>
      </c>
      <c r="W36" s="50">
        <f t="shared" si="6"/>
        <v>1.0511851596808359</v>
      </c>
      <c r="X36" s="50">
        <f t="shared" si="6"/>
        <v>1.1178410336652311</v>
      </c>
      <c r="Y36" s="50">
        <f t="shared" si="6"/>
        <v>1.1848101902573558</v>
      </c>
      <c r="Z36" s="50">
        <f t="shared" si="6"/>
        <v>1.2520941018854594</v>
      </c>
      <c r="AA36" s="50">
        <f t="shared" si="6"/>
        <v>1.3196942478982183</v>
      </c>
      <c r="AB36" s="50">
        <f t="shared" si="6"/>
        <v>1.3876121145972315</v>
      </c>
      <c r="AC36" s="50">
        <f t="shared" si="6"/>
        <v>1.4558491952697372</v>
      </c>
      <c r="AD36" s="50">
        <f t="shared" si="6"/>
        <v>1.5244069902214004</v>
      </c>
      <c r="AE36" s="50">
        <f t="shared" si="6"/>
        <v>1.593287006809335</v>
      </c>
      <c r="AF36" s="50">
        <f t="shared" si="6"/>
        <v>1.6624907594752352</v>
      </c>
      <c r="AG36" s="50">
        <f t="shared" si="6"/>
        <v>1.7320197697786672</v>
      </c>
      <c r="AH36" s="50">
        <f t="shared" si="6"/>
        <v>1.8018755664305204</v>
      </c>
      <c r="AI36" s="50">
        <f t="shared" si="6"/>
        <v>1.8720596853266394</v>
      </c>
      <c r="AJ36" s="50">
        <f t="shared" si="6"/>
        <v>1.9425736695815694</v>
      </c>
      <c r="AK36" s="50">
        <f t="shared" si="6"/>
        <v>2.0134190695625014</v>
      </c>
      <c r="AL36" s="50">
        <f t="shared" si="6"/>
        <v>2.0845974429233416</v>
      </c>
      <c r="AM36" s="50">
        <f t="shared" si="6"/>
        <v>2.1561103546389746</v>
      </c>
      <c r="AN36" s="50">
        <f t="shared" si="6"/>
        <v>2.2279593770396735</v>
      </c>
      <c r="AO36" s="50">
        <f t="shared" si="6"/>
        <v>2.3001460898456547</v>
      </c>
      <c r="AP36" s="50">
        <f t="shared" si="6"/>
        <v>2.3726720802018257</v>
      </c>
      <c r="AQ36" s="50">
        <f t="shared" si="6"/>
        <v>2.4455389427126701</v>
      </c>
      <c r="AR36" s="50">
        <f t="shared" si="6"/>
        <v>2.5187482794773159</v>
      </c>
      <c r="AS36" s="50">
        <f t="shared" si="6"/>
        <v>2.5923017001247577</v>
      </c>
      <c r="AT36" s="50">
        <f t="shared" si="6"/>
        <v>2.6662008218492357</v>
      </c>
      <c r="AU36" s="50">
        <f t="shared" si="6"/>
        <v>2.7404472694458248</v>
      </c>
      <c r="AV36" s="50">
        <f t="shared" si="6"/>
        <v>2.8150426753461129</v>
      </c>
      <c r="AW36" s="50">
        <f t="shared" si="6"/>
        <v>2.889988679654135</v>
      </c>
      <c r="AX36" s="50">
        <f t="shared" si="6"/>
        <v>2.9652869301824074</v>
      </c>
      <c r="AY36" s="50">
        <f t="shared" si="6"/>
        <v>3.040939082488157</v>
      </c>
      <c r="AZ36" s="50">
        <f t="shared" si="6"/>
        <v>3.1169467999097447</v>
      </c>
      <c r="BA36" s="50">
        <f t="shared" si="6"/>
        <v>3.1933117536032158</v>
      </c>
      <c r="BB36" s="50">
        <f t="shared" si="6"/>
        <v>3.2700356225790475</v>
      </c>
      <c r="BC36" s="50">
        <f t="shared" si="6"/>
        <v>3.3471200937390653</v>
      </c>
      <c r="BD36" s="50">
        <f t="shared" si="6"/>
        <v>3.4245668619135321</v>
      </c>
      <c r="BE36" s="50">
        <f t="shared" si="6"/>
        <v>3.5023776298984202</v>
      </c>
      <c r="BF36" s="50">
        <f t="shared" si="6"/>
        <v>3.5805541084928389</v>
      </c>
      <c r="BG36" s="50">
        <f t="shared" si="6"/>
        <v>3.65909801653665</v>
      </c>
      <c r="BH36" s="50">
        <f>BH33*0.34</f>
        <v>0</v>
      </c>
    </row>
    <row r="37" spans="1:60" ht="15" hidden="1" customHeight="1" outlineLevel="1" x14ac:dyDescent="0.25">
      <c r="A37" s="1716">
        <f>C37*1000000/$C$16</f>
        <v>9.6846090116913199</v>
      </c>
      <c r="B37" s="1738" t="s">
        <v>1013</v>
      </c>
      <c r="C37" s="1703">
        <f>SUMIF($D$15:$BG$15,1,D37:BG37)</f>
        <v>28.428087594918797</v>
      </c>
      <c r="D37" s="1699">
        <f t="shared" ref="D37:AJ37" si="7">NPV($C$8,D36:D36)</f>
        <v>0</v>
      </c>
      <c r="E37" s="50">
        <f t="shared" si="7"/>
        <v>0</v>
      </c>
      <c r="F37" s="50">
        <f t="shared" si="7"/>
        <v>0</v>
      </c>
      <c r="G37" s="50">
        <f t="shared" si="7"/>
        <v>0.19364858484883685</v>
      </c>
      <c r="H37" s="50">
        <f t="shared" si="7"/>
        <v>0.25079648035809449</v>
      </c>
      <c r="I37" s="50">
        <f t="shared" si="7"/>
        <v>0.30821297097624345</v>
      </c>
      <c r="J37" s="50">
        <f t="shared" si="7"/>
        <v>0.36589931910030066</v>
      </c>
      <c r="K37" s="50">
        <f t="shared" si="7"/>
        <v>0.42385679306053647</v>
      </c>
      <c r="L37" s="50">
        <f t="shared" si="7"/>
        <v>0.48208666714838871</v>
      </c>
      <c r="M37" s="50">
        <f t="shared" si="7"/>
        <v>0.54059022164445003</v>
      </c>
      <c r="N37" s="50">
        <f t="shared" si="7"/>
        <v>0.59936874284664521</v>
      </c>
      <c r="O37" s="50">
        <f t="shared" si="7"/>
        <v>0.65842352309849161</v>
      </c>
      <c r="P37" s="50">
        <f t="shared" si="7"/>
        <v>0.71775586081751708</v>
      </c>
      <c r="Q37" s="50">
        <f t="shared" si="7"/>
        <v>0.77736706052382798</v>
      </c>
      <c r="R37" s="50">
        <f t="shared" si="7"/>
        <v>0.83725843286875601</v>
      </c>
      <c r="S37" s="50">
        <f t="shared" si="7"/>
        <v>0.71775586081751708</v>
      </c>
      <c r="T37" s="50">
        <f t="shared" si="7"/>
        <v>0.77736706052382798</v>
      </c>
      <c r="U37" s="50">
        <f t="shared" si="7"/>
        <v>0.83725843286875601</v>
      </c>
      <c r="V37" s="50">
        <f t="shared" si="7"/>
        <v>0.8974312946637043</v>
      </c>
      <c r="W37" s="50">
        <f t="shared" si="7"/>
        <v>0.95788696890909053</v>
      </c>
      <c r="X37" s="50">
        <f t="shared" si="7"/>
        <v>1.0186267848234292</v>
      </c>
      <c r="Y37" s="50">
        <f t="shared" si="7"/>
        <v>1.0796520778725678</v>
      </c>
      <c r="Z37" s="50">
        <f t="shared" si="7"/>
        <v>1.1409641897990337</v>
      </c>
      <c r="AA37" s="50">
        <f t="shared" si="7"/>
        <v>1.2025644686515569</v>
      </c>
      <c r="AB37" s="50">
        <f t="shared" si="7"/>
        <v>1.2644542688146816</v>
      </c>
      <c r="AC37" s="50">
        <f t="shared" si="7"/>
        <v>1.3266349510385798</v>
      </c>
      <c r="AD37" s="50">
        <f t="shared" si="7"/>
        <v>1.3891078824689269</v>
      </c>
      <c r="AE37" s="50">
        <f t="shared" si="7"/>
        <v>1.4518744366769958</v>
      </c>
      <c r="AF37" s="50">
        <f t="shared" si="7"/>
        <v>1.5149359936898443</v>
      </c>
      <c r="AG37" s="50">
        <f t="shared" si="7"/>
        <v>1.5782939400206555</v>
      </c>
      <c r="AH37" s="50">
        <f t="shared" si="7"/>
        <v>1.6419496686992168</v>
      </c>
      <c r="AI37" s="50">
        <f t="shared" si="7"/>
        <v>1.7059045793025693</v>
      </c>
      <c r="AJ37" s="50">
        <f t="shared" si="7"/>
        <v>1.7701600779857569</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-82.658880702513031</v>
      </c>
      <c r="B39" s="1689" t="s">
        <v>1002</v>
      </c>
      <c r="C39" s="1704">
        <f>SUMIF($D$15:$BG$15,1,D39:BG39)</f>
        <v>-242.63590799300718</v>
      </c>
      <c r="D39" s="1699">
        <f>'C-FCL Real'!C156</f>
        <v>-64.062988075006217</v>
      </c>
      <c r="E39" s="50">
        <f>'C-FCL Real'!D156</f>
        <v>-146.98735707240124</v>
      </c>
      <c r="F39" s="50">
        <f>'C-FCL Real'!E156</f>
        <v>-100.09938606277291</v>
      </c>
      <c r="G39" s="50">
        <f>'C-FCL Real'!F156</f>
        <v>0.41251932831957333</v>
      </c>
      <c r="H39" s="50">
        <f>'C-FCL Real'!G156</f>
        <v>0.53425846464612381</v>
      </c>
      <c r="I39" s="50">
        <f>'C-FCL Real'!H156</f>
        <v>0.6565697749134044</v>
      </c>
      <c r="J39" s="50">
        <f>'C-FCL Real'!I156</f>
        <v>0.77945594833894749</v>
      </c>
      <c r="K39" s="50">
        <f>'C-FCL Real'!J156</f>
        <v>0.90291968677958101</v>
      </c>
      <c r="L39" s="50">
        <f>'C-FCL Real'!K156</f>
        <v>1.0269637047908928</v>
      </c>
      <c r="M39" s="50">
        <f>'C-FCL Real'!L156</f>
        <v>1.1515907296868495</v>
      </c>
      <c r="N39" s="50">
        <f>'C-FCL Real'!M156</f>
        <v>1.2768035015998223</v>
      </c>
      <c r="O39" s="50">
        <f>'C-FCL Real'!N156</f>
        <v>1.4026047735407878</v>
      </c>
      <c r="P39" s="50">
        <f>'C-FCL Real'!O156</f>
        <v>1.5289973114598661</v>
      </c>
      <c r="Q39" s="50">
        <f>'C-FCL Real'!P156</f>
        <v>1.6559838943071767</v>
      </c>
      <c r="R39" s="50">
        <f>'C-FCL Real'!Q156</f>
        <v>1.7835673140938648</v>
      </c>
      <c r="S39" s="50">
        <f>'C-FCL Real'!O156</f>
        <v>1.5289973114598661</v>
      </c>
      <c r="T39" s="50">
        <f>'C-FCL Real'!P156</f>
        <v>1.6559838943071767</v>
      </c>
      <c r="U39" s="50">
        <f>'C-FCL Real'!Q156</f>
        <v>1.7835673140938648</v>
      </c>
      <c r="V39" s="50">
        <f>'C-FCL Real'!R156</f>
        <v>1.9117503759535479</v>
      </c>
      <c r="W39" s="50">
        <f>'C-FCL Real'!S156</f>
        <v>2.0405358982039754</v>
      </c>
      <c r="X39" s="50">
        <f>'C-FCL Real'!T156</f>
        <v>2.1699267124089783</v>
      </c>
      <c r="Y39" s="50">
        <f>'C-FCL Real'!U156</f>
        <v>2.2999256634407494</v>
      </c>
      <c r="Z39" s="50">
        <f>'C-FCL Real'!V156</f>
        <v>2.4305356095423627</v>
      </c>
      <c r="AA39" s="50">
        <f>'C-FCL Real'!W156</f>
        <v>2.5617594223906592</v>
      </c>
      <c r="AB39" s="50">
        <f>'C-FCL Real'!X156</f>
        <v>2.6935999871593319</v>
      </c>
      <c r="AC39" s="50">
        <f>'C-FCL Real'!Y156</f>
        <v>2.8260602025824308</v>
      </c>
      <c r="AD39" s="50">
        <f>'C-FCL Real'!Z156</f>
        <v>2.9591429810180125</v>
      </c>
      <c r="AE39" s="50">
        <f>'C-FCL Real'!AA156</f>
        <v>3.0928512485122384</v>
      </c>
      <c r="AF39" s="50">
        <f>'C-FCL Real'!AB156</f>
        <v>3.227187944863692</v>
      </c>
      <c r="AG39" s="50">
        <f>'C-FCL Real'!AC156</f>
        <v>3.362156023688001</v>
      </c>
      <c r="AH39" s="50">
        <f>'C-FCL Real'!AD156</f>
        <v>3.4977584524827749</v>
      </c>
      <c r="AI39" s="50">
        <f>'C-FCL Real'!AE156</f>
        <v>3.6339982126928883</v>
      </c>
      <c r="AJ39" s="50">
        <f>'C-FCL Real'!AF156</f>
        <v>3.7708782997759878</v>
      </c>
      <c r="AK39" s="50">
        <f>'C-FCL Real'!AG156</f>
        <v>3.9084017232683848</v>
      </c>
      <c r="AL39" s="50">
        <f>'C-FCL Real'!AH156</f>
        <v>4.0465715068511923</v>
      </c>
      <c r="AM39" s="50">
        <f>'C-FCL Real'!AI156</f>
        <v>4.1853906884168328</v>
      </c>
      <c r="AN39" s="50">
        <f>'C-FCL Real'!AJ156</f>
        <v>4.3248623201358365</v>
      </c>
      <c r="AO39" s="50">
        <f>'C-FCL Real'!AK156</f>
        <v>4.4649894685239175</v>
      </c>
      <c r="AP39" s="50">
        <f>'C-FCL Real'!AL156</f>
        <v>4.6057752145094266</v>
      </c>
      <c r="AQ39" s="50">
        <f>'C-FCL Real'!AM156</f>
        <v>4.7472226535010655</v>
      </c>
      <c r="AR39" s="50">
        <f>'C-FCL Real'!AN156</f>
        <v>4.8893348954559661</v>
      </c>
      <c r="AS39" s="50">
        <f>'C-FCL Real'!AO156</f>
        <v>5.0321150649480586</v>
      </c>
      <c r="AT39" s="50">
        <f>'C-FCL Real'!AP156</f>
        <v>5.1755663012367519</v>
      </c>
      <c r="AU39" s="50">
        <f>'C-FCL Real'!AQ156</f>
        <v>5.3196917583360124</v>
      </c>
      <c r="AV39" s="50">
        <f>'C-FCL Real'!AR156</f>
        <v>5.4644946050836305</v>
      </c>
      <c r="AW39" s="50">
        <f>'C-FCL Real'!AS156</f>
        <v>5.6099780252109674</v>
      </c>
      <c r="AX39" s="50">
        <f>'C-FCL Real'!AT156</f>
        <v>5.7561452174129082</v>
      </c>
      <c r="AY39" s="50">
        <f>'C-FCL Real'!AU156</f>
        <v>5.9029993954181865</v>
      </c>
      <c r="AZ39" s="50">
        <f>'C-FCL Real'!AV156</f>
        <v>6.050543788060093</v>
      </c>
      <c r="BA39" s="50">
        <f>'C-FCL Real'!AW156</f>
        <v>6.1987816393474189</v>
      </c>
      <c r="BB39" s="50">
        <f>'C-FCL Real'!AX156</f>
        <v>6.3477162085357977</v>
      </c>
      <c r="BC39" s="50">
        <f>'C-FCL Real'!AY156</f>
        <v>6.4973507701993611</v>
      </c>
      <c r="BD39" s="50">
        <f>'C-FCL Real'!AZ156</f>
        <v>6.6476886143027389</v>
      </c>
      <c r="BE39" s="50">
        <f>'C-FCL Real'!BA156</f>
        <v>6.7987330462734041</v>
      </c>
      <c r="BF39" s="50">
        <f>'C-FCL Real'!BB156</f>
        <v>6.9504873870743342</v>
      </c>
      <c r="BG39" s="50">
        <f>'C-FCL Real'!BC156</f>
        <v>7.1029549732770256</v>
      </c>
      <c r="BH39" s="50">
        <f>'C-FCL Real'!BD156</f>
        <v>0</v>
      </c>
    </row>
    <row r="40" spans="1:60" ht="15" hidden="1" customHeight="1" outlineLevel="1" x14ac:dyDescent="0.25">
      <c r="A40" s="1716">
        <f>C40*1000000/$C$16</f>
        <v>-76.578665923406916</v>
      </c>
      <c r="B40" s="1738" t="s">
        <v>1015</v>
      </c>
      <c r="C40" s="1703">
        <f>SUMIF($D$15:$BG$15,1,D40:BG40)</f>
        <v>-224.78811691257388</v>
      </c>
      <c r="D40" s="1699">
        <f t="shared" ref="D40:AK40" si="8">NPV($C$8,D39:D39)</f>
        <v>-58.377062215241679</v>
      </c>
      <c r="E40" s="50">
        <f t="shared" si="8"/>
        <v>-133.94145896883657</v>
      </c>
      <c r="F40" s="50">
        <f t="shared" si="8"/>
        <v>-91.215041063215708</v>
      </c>
      <c r="G40" s="50">
        <f t="shared" si="8"/>
        <v>0.3759060764712715</v>
      </c>
      <c r="H40" s="50">
        <f t="shared" si="8"/>
        <v>0.48684022657747755</v>
      </c>
      <c r="I40" s="50">
        <f t="shared" si="8"/>
        <v>0.59829576718917843</v>
      </c>
      <c r="J40" s="50">
        <f t="shared" si="8"/>
        <v>0.71027514884176013</v>
      </c>
      <c r="K40" s="50">
        <f t="shared" si="8"/>
        <v>0.82278083358810017</v>
      </c>
      <c r="L40" s="50">
        <f t="shared" si="8"/>
        <v>0.93581529505275463</v>
      </c>
      <c r="M40" s="50">
        <f t="shared" si="8"/>
        <v>1.0493810184862853</v>
      </c>
      <c r="N40" s="50">
        <f t="shared" si="8"/>
        <v>1.1634805008199585</v>
      </c>
      <c r="O40" s="50">
        <f t="shared" si="8"/>
        <v>1.2781162507206014</v>
      </c>
      <c r="P40" s="50">
        <f t="shared" si="8"/>
        <v>1.3932907886457684</v>
      </c>
      <c r="Q40" s="50">
        <f t="shared" si="8"/>
        <v>1.5090066468991952</v>
      </c>
      <c r="R40" s="50">
        <f t="shared" si="8"/>
        <v>1.6252663696864087</v>
      </c>
      <c r="S40" s="50">
        <f t="shared" si="8"/>
        <v>1.3932907886457684</v>
      </c>
      <c r="T40" s="50">
        <f t="shared" si="8"/>
        <v>1.5090066468991952</v>
      </c>
      <c r="U40" s="50">
        <f t="shared" si="8"/>
        <v>1.6252663696864087</v>
      </c>
      <c r="V40" s="50">
        <f t="shared" si="8"/>
        <v>1.74207251317072</v>
      </c>
      <c r="W40" s="50">
        <f t="shared" si="8"/>
        <v>1.859427645529411</v>
      </c>
      <c r="X40" s="50">
        <f t="shared" si="8"/>
        <v>1.9773343470101863</v>
      </c>
      <c r="Y40" s="50">
        <f t="shared" si="8"/>
        <v>2.0957952099879256</v>
      </c>
      <c r="Z40" s="50">
        <f t="shared" si="8"/>
        <v>2.2148128390216537</v>
      </c>
      <c r="AA40" s="50">
        <f t="shared" si="8"/>
        <v>2.3343898509118457</v>
      </c>
      <c r="AB40" s="50">
        <f t="shared" si="8"/>
        <v>2.4545288747579117</v>
      </c>
      <c r="AC40" s="50">
        <f t="shared" si="8"/>
        <v>2.5752325520160664</v>
      </c>
      <c r="AD40" s="50">
        <f t="shared" si="8"/>
        <v>2.6965035365573291</v>
      </c>
      <c r="AE40" s="50">
        <f t="shared" si="8"/>
        <v>2.8183444947259328</v>
      </c>
      <c r="AF40" s="50">
        <f t="shared" si="8"/>
        <v>2.9407581053979333</v>
      </c>
      <c r="AG40" s="50">
        <f t="shared" si="8"/>
        <v>3.0637470600400958</v>
      </c>
      <c r="AH40" s="50">
        <f t="shared" si="8"/>
        <v>3.1873140627690679</v>
      </c>
      <c r="AI40" s="50">
        <f t="shared" si="8"/>
        <v>3.3114618304108698</v>
      </c>
      <c r="AJ40" s="50">
        <f t="shared" si="8"/>
        <v>3.436193092560587</v>
      </c>
      <c r="AK40" s="50">
        <f t="shared" si="8"/>
        <v>3.5615105916424139</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496.11757634237136</v>
      </c>
      <c r="B42" s="1688" t="s">
        <v>1003</v>
      </c>
      <c r="C42" s="1703"/>
      <c r="D42" s="1699">
        <f>'C-FCL Real'!C157</f>
        <v>-64.062988075006217</v>
      </c>
      <c r="E42" s="50">
        <f>'C-FCL Real'!D157</f>
        <v>-211.05034514740746</v>
      </c>
      <c r="F42" s="50">
        <f>'C-FCL Real'!E157</f>
        <v>-311.14973121018033</v>
      </c>
      <c r="G42" s="50">
        <f>'C-FCL Real'!F157</f>
        <v>-310.73721188186079</v>
      </c>
      <c r="H42" s="50">
        <f>'C-FCL Real'!G157</f>
        <v>-310.20295341721464</v>
      </c>
      <c r="I42" s="50">
        <f>'C-FCL Real'!H157</f>
        <v>-309.54638364230124</v>
      </c>
      <c r="J42" s="50">
        <f>'C-FCL Real'!I157</f>
        <v>-308.76692769396232</v>
      </c>
      <c r="K42" s="50">
        <f>'C-FCL Real'!J157</f>
        <v>-307.86400800718275</v>
      </c>
      <c r="L42" s="50">
        <f>'C-FCL Real'!K157</f>
        <v>-306.83704430239186</v>
      </c>
      <c r="M42" s="50">
        <f>'C-FCL Real'!L157</f>
        <v>-305.685453572705</v>
      </c>
      <c r="N42" s="50">
        <f>'C-FCL Real'!M157</f>
        <v>-304.40865007110517</v>
      </c>
      <c r="O42" s="50">
        <f>'C-FCL Real'!N157</f>
        <v>-303.00604529756436</v>
      </c>
      <c r="P42" s="50">
        <f>'C-FCL Real'!O157</f>
        <v>-301.47704798610448</v>
      </c>
      <c r="Q42" s="50">
        <f>'C-FCL Real'!P157</f>
        <v>-299.82106409179733</v>
      </c>
      <c r="R42" s="50">
        <f>'C-FCL Real'!Q157</f>
        <v>-298.03749677770344</v>
      </c>
      <c r="S42" s="50">
        <f>'C-FCL Real'!O157</f>
        <v>-301.47704798610448</v>
      </c>
      <c r="T42" s="50">
        <f>'C-FCL Real'!P157</f>
        <v>-299.82106409179733</v>
      </c>
      <c r="U42" s="50">
        <f>'C-FCL Real'!Q157</f>
        <v>-298.03749677770344</v>
      </c>
      <c r="V42" s="50">
        <f>'C-FCL Real'!R157</f>
        <v>-296.12574640174989</v>
      </c>
      <c r="W42" s="50">
        <f>'C-FCL Real'!S157</f>
        <v>-294.08521050354591</v>
      </c>
      <c r="X42" s="50">
        <f>'C-FCL Real'!T157</f>
        <v>-291.91528379113691</v>
      </c>
      <c r="Y42" s="50">
        <f>'C-FCL Real'!U157</f>
        <v>-289.61535812769614</v>
      </c>
      <c r="Z42" s="50">
        <f>'C-FCL Real'!V157</f>
        <v>-287.18482251815379</v>
      </c>
      <c r="AA42" s="50">
        <f>'C-FCL Real'!W157</f>
        <v>-284.62306309576314</v>
      </c>
      <c r="AB42" s="50">
        <f>'C-FCL Real'!X157</f>
        <v>-281.92946310860378</v>
      </c>
      <c r="AC42" s="50">
        <f>'C-FCL Real'!Y157</f>
        <v>-279.10340290602136</v>
      </c>
      <c r="AD42" s="50">
        <f>'C-FCL Real'!Z157</f>
        <v>-276.14425992500333</v>
      </c>
      <c r="AE42" s="50">
        <f>'C-FCL Real'!AA157</f>
        <v>-273.05140867649106</v>
      </c>
      <c r="AF42" s="50">
        <f>'C-FCL Real'!AB157</f>
        <v>-269.82422073162735</v>
      </c>
      <c r="AG42" s="50">
        <f>'C-FCL Real'!AC157</f>
        <v>-266.46206470793936</v>
      </c>
      <c r="AH42" s="50">
        <f>'C-FCL Real'!AD157</f>
        <v>-262.96430625545656</v>
      </c>
      <c r="AI42" s="50">
        <f>'C-FCL Real'!AE157</f>
        <v>-259.33030804276365</v>
      </c>
      <c r="AJ42" s="50">
        <f>'C-FCL Real'!AF157</f>
        <v>-255.55942974298765</v>
      </c>
      <c r="AK42" s="50">
        <f>'C-FCL Real'!AG157</f>
        <v>-251.65102801971926</v>
      </c>
      <c r="AL42" s="50">
        <f>'C-FCL Real'!AH157</f>
        <v>-247.60445651286807</v>
      </c>
      <c r="AM42" s="50">
        <f>'C-FCL Real'!AI157</f>
        <v>-243.41906582445122</v>
      </c>
      <c r="AN42" s="50">
        <f>'C-FCL Real'!AJ157</f>
        <v>-239.09420350431537</v>
      </c>
      <c r="AO42" s="50">
        <f>'C-FCL Real'!AK157</f>
        <v>-234.62921403579145</v>
      </c>
      <c r="AP42" s="50">
        <f>'C-FCL Real'!AL157</f>
        <v>-230.02343882128201</v>
      </c>
      <c r="AQ42" s="50">
        <f>'C-FCL Real'!AM157</f>
        <v>-225.27621616778094</v>
      </c>
      <c r="AR42" s="50">
        <f>'C-FCL Real'!AN157</f>
        <v>-220.38688127232498</v>
      </c>
      <c r="AS42" s="50">
        <f>'C-FCL Real'!AO157</f>
        <v>-215.35476620737694</v>
      </c>
      <c r="AT42" s="50">
        <f>'C-FCL Real'!AP157</f>
        <v>-210.17919990614018</v>
      </c>
      <c r="AU42" s="50">
        <f>'C-FCL Real'!AQ157</f>
        <v>-204.85950814780418</v>
      </c>
      <c r="AV42" s="50">
        <f>'C-FCL Real'!AR157</f>
        <v>-199.39501354272053</v>
      </c>
      <c r="AW42" s="50">
        <f>'C-FCL Real'!AS157</f>
        <v>-193.78503551750956</v>
      </c>
      <c r="AX42" s="50">
        <f>'C-FCL Real'!AT157</f>
        <v>-188.02889030009663</v>
      </c>
      <c r="AY42" s="50">
        <f>'C-FCL Real'!AU157</f>
        <v>-182.12589090467844</v>
      </c>
      <c r="AZ42" s="50">
        <f>'C-FCL Real'!AV157</f>
        <v>-176.07534711661836</v>
      </c>
      <c r="BA42" s="50">
        <f>'C-FCL Real'!AW157</f>
        <v>-169.87656547727093</v>
      </c>
      <c r="BB42" s="50">
        <f>'C-FCL Real'!AX157</f>
        <v>-163.52884926873514</v>
      </c>
      <c r="BC42" s="50">
        <f>'C-FCL Real'!AY157</f>
        <v>-157.03149849853577</v>
      </c>
      <c r="BD42" s="50">
        <f>'C-FCL Real'!AZ157</f>
        <v>-150.38380988423302</v>
      </c>
      <c r="BE42" s="50">
        <f>'C-FCL Real'!BA157</f>
        <v>-143.5850768379596</v>
      </c>
      <c r="BF42" s="50">
        <f>'C-FCL Real'!BB157</f>
        <v>-136.63458945088527</v>
      </c>
      <c r="BG42" s="50">
        <f>'C-FCL Real'!BC157</f>
        <v>-129.53163447760824</v>
      </c>
      <c r="BH42" s="50">
        <f>'C-FCL Real'!BD157</f>
        <v>0</v>
      </c>
    </row>
    <row r="43" spans="1:60" ht="15" hidden="1" customHeight="1" outlineLevel="1" x14ac:dyDescent="0.25">
      <c r="A43" s="1716">
        <f>A18+A21+A36</f>
        <v>578.77645704488452</v>
      </c>
      <c r="B43" s="1688" t="s">
        <v>1042</v>
      </c>
      <c r="C43" s="1705">
        <f>'R&amp;C-Painel de Controle'!D32</f>
        <v>35</v>
      </c>
      <c r="D43" s="1691" t="s">
        <v>309</v>
      </c>
    </row>
    <row r="44" spans="1:60" ht="15" hidden="1" customHeight="1" outlineLevel="1" x14ac:dyDescent="0.25">
      <c r="A44" s="1716">
        <f>A42-A43</f>
        <v>-82.658880702513159</v>
      </c>
      <c r="B44" s="1688" t="s">
        <v>1024</v>
      </c>
      <c r="C44" s="35"/>
      <c r="D44" s="888"/>
      <c r="F44" s="1638"/>
      <c r="G44" s="1638"/>
    </row>
    <row r="45" spans="1:60" ht="15" hidden="1" customHeight="1" outlineLevel="1" x14ac:dyDescent="0.25">
      <c r="A45" s="1716"/>
      <c r="B45" s="1688"/>
      <c r="C45" s="1732"/>
      <c r="D45" s="888"/>
      <c r="F45" s="1638"/>
      <c r="G45" s="1638"/>
    </row>
    <row r="46" spans="1:60" ht="15" hidden="1" customHeight="1" outlineLevel="1" x14ac:dyDescent="0.25">
      <c r="B46" s="1641" t="s">
        <v>1021</v>
      </c>
      <c r="C46" s="1704">
        <f>F46*$C$16/1000000</f>
        <v>1372.948738272833</v>
      </c>
      <c r="D46" s="1658" t="s">
        <v>1061</v>
      </c>
      <c r="E46" s="1658"/>
      <c r="F46" s="1674">
        <f>A27</f>
        <v>467.72304604984765</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83.348970866865102</v>
      </c>
      <c r="D48" s="1658" t="s">
        <v>1061</v>
      </c>
      <c r="E48" s="1658"/>
      <c r="F48" s="1674">
        <f>A30</f>
        <v>28.394530292523701</v>
      </c>
      <c r="G48" s="1658" t="s">
        <v>342</v>
      </c>
      <c r="H48" s="1658"/>
    </row>
    <row r="49" spans="1:8" s="41" customFormat="1" ht="15" hidden="1" customHeight="1" outlineLevel="1" thickTop="1" x14ac:dyDescent="0.25">
      <c r="B49" s="1659" t="s">
        <v>1025</v>
      </c>
      <c r="C49" s="1676">
        <f>C46+C47+C48</f>
        <v>1456.2977091396981</v>
      </c>
      <c r="D49" s="1660" t="s">
        <v>1061</v>
      </c>
      <c r="E49" s="1660"/>
      <c r="F49" s="1661">
        <f>F46+F47+F48</f>
        <v>496.11757634237136</v>
      </c>
      <c r="G49" s="1660" t="s">
        <v>342</v>
      </c>
      <c r="H49" s="1660"/>
    </row>
    <row r="50" spans="1:8" ht="15" hidden="1" customHeight="1" outlineLevel="1" x14ac:dyDescent="0.25">
      <c r="B50" s="1760" t="s">
        <v>1027</v>
      </c>
      <c r="C50" s="1761">
        <f>F50*$C$16/1000000</f>
        <v>1663.6386172935563</v>
      </c>
      <c r="D50" s="1762" t="s">
        <v>1061</v>
      </c>
      <c r="E50" s="1762"/>
      <c r="F50" s="1763">
        <f>A18+A21</f>
        <v>566.75249404109218</v>
      </c>
      <c r="G50" s="1762" t="s">
        <v>342</v>
      </c>
      <c r="H50" s="1762"/>
    </row>
    <row r="51" spans="1:8" ht="15" hidden="1" customHeight="1" outlineLevel="1" x14ac:dyDescent="0.25">
      <c r="B51" s="1641" t="s">
        <v>1028</v>
      </c>
      <c r="C51" s="1715">
        <f>F51*$C$16/1000000</f>
        <v>35.294999839149732</v>
      </c>
      <c r="D51" s="1658" t="s">
        <v>1061</v>
      </c>
      <c r="E51" s="1658"/>
      <c r="F51" s="1675">
        <f>A36</f>
        <v>12.023963003792396</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-242.63590799300795</v>
      </c>
      <c r="D53" s="1736" t="s">
        <v>1061</v>
      </c>
      <c r="E53" s="1736"/>
      <c r="F53" s="1737">
        <f>F49-F50-F51</f>
        <v>-82.658880702513216</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65" t="s">
        <v>1082</v>
      </c>
      <c r="C55" s="2266"/>
      <c r="D55" s="2266"/>
      <c r="E55" s="2266"/>
      <c r="F55" s="2266"/>
      <c r="G55" s="2266"/>
      <c r="H55" s="2267"/>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9280827.979358485</v>
      </c>
      <c r="D57" s="1652" t="s">
        <v>1016</v>
      </c>
      <c r="E57" s="1652"/>
      <c r="F57" s="1653">
        <f>C57/'R&amp;C-Painel de Controle'!$D$8</f>
        <v>118.98497409433955</v>
      </c>
      <c r="G57" s="1652" t="s">
        <v>342</v>
      </c>
      <c r="H57" s="1654">
        <f>F57/$F$99</f>
        <v>0.30919331516674142</v>
      </c>
    </row>
    <row r="58" spans="1:8" s="1639" customFormat="1" ht="15" hidden="1" customHeight="1" outlineLevel="1" x14ac:dyDescent="0.25">
      <c r="B58" s="1647" t="s">
        <v>1034</v>
      </c>
      <c r="C58" s="1707">
        <f>('R&amp;C-Painel de Controle'!D8-'R&amp;C-Painel de Controle'!D9)</f>
        <v>62555.512499999997</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148.3614730094088</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2668924.2613137416</v>
      </c>
      <c r="D61" s="1740" t="s">
        <v>1016</v>
      </c>
      <c r="E61" s="1740"/>
      <c r="F61" s="1741">
        <f>C61/'R&amp;C-Painel de Controle'!$D$8</f>
        <v>34.216977709150534</v>
      </c>
      <c r="G61" s="1740" t="s">
        <v>342</v>
      </c>
      <c r="H61" s="1742">
        <f>F61/$F$99</f>
        <v>8.8915939625203916E-2</v>
      </c>
    </row>
    <row r="62" spans="1:8" s="1639" customFormat="1" ht="15" hidden="1" customHeight="1" outlineLevel="1" x14ac:dyDescent="0.25">
      <c r="B62" s="1642" t="str">
        <f>'R&amp;C-Painel de Controle'!J36</f>
        <v>Mat. Recicl.: Papel/Papelão — Triagem Mecanizada</v>
      </c>
      <c r="C62" s="1710">
        <f>'R&amp;C-Painel de Controle'!L36</f>
        <v>346.19566961264366</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235.20163813378079</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121.56489161970693</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63.425160845064489</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Controle'!L40+'R&amp;C-Painel de Controle'!L42</f>
        <v>410.78628965049796</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Controle'!L41+'R&amp;C-Painel de Controle'!L43</f>
        <v>1574.6807769935758</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4506328.6996871112</v>
      </c>
      <c r="D78" s="1658" t="s">
        <v>1016</v>
      </c>
      <c r="E78" s="1658"/>
      <c r="F78" s="1675">
        <f>C78/'R&amp;C-Painel de Controle'!$D$8</f>
        <v>57.773444867783475</v>
      </c>
      <c r="G78" s="1658" t="s">
        <v>342</v>
      </c>
      <c r="H78" s="1743">
        <f>F78/$F$99</f>
        <v>0.15012956958001925</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6308860.1795619549</v>
      </c>
      <c r="D79" s="1658" t="s">
        <v>1016</v>
      </c>
      <c r="E79" s="1658"/>
      <c r="F79" s="1675">
        <f>C79/'R&amp;C-Painel de Controle'!$D$8</f>
        <v>80.882822814896855</v>
      </c>
      <c r="G79" s="1658" t="s">
        <v>342</v>
      </c>
      <c r="H79" s="1743">
        <f>F79/$F$99</f>
        <v>0.21018139741202693</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2256394.8078545178</v>
      </c>
      <c r="D81" s="1746" t="s">
        <v>1016</v>
      </c>
      <c r="E81" s="1746"/>
      <c r="F81" s="1747">
        <f>C81/'R&amp;C-Painel de Controle'!$D$8</f>
        <v>28.928138562237407</v>
      </c>
      <c r="G81" s="1746" t="s">
        <v>342</v>
      </c>
      <c r="H81" s="1748">
        <f>F81/$F$99</f>
        <v>7.5172408379643854E-2</v>
      </c>
    </row>
    <row r="82" spans="2:8" ht="15" hidden="1" customHeight="1" outlineLevel="1" x14ac:dyDescent="0.25">
      <c r="B82" s="1655" t="s">
        <v>1037</v>
      </c>
      <c r="C82" s="1683">
        <f>'R&amp;C-Painel de Controle'!D8</f>
        <v>78000</v>
      </c>
      <c r="D82" s="1639" t="s">
        <v>298</v>
      </c>
      <c r="E82" s="1639"/>
      <c r="F82" s="1670"/>
      <c r="G82" s="1639"/>
      <c r="H82" s="1671"/>
    </row>
    <row r="83" spans="2:8" ht="15" hidden="1" customHeight="1" outlineLevel="1" x14ac:dyDescent="0.25">
      <c r="B83" s="1655" t="s">
        <v>1038</v>
      </c>
      <c r="C83" s="1683">
        <f>'R&amp;C-Painel de Controle'!D33</f>
        <v>545.44961638466214</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137.97147858369144</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51079.890168684055</v>
      </c>
      <c r="D88" s="1746" t="s">
        <v>1016</v>
      </c>
      <c r="E88" s="1746"/>
      <c r="F88" s="1747">
        <f>C88/'R&amp;C-Painel de Controle'!$D$8</f>
        <v>0.65487038677800069</v>
      </c>
      <c r="G88" s="1746" t="s">
        <v>342</v>
      </c>
      <c r="H88" s="1748">
        <f>F88/$F$99</f>
        <v>1.7017404712957689E-3</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4943847.5490481863</v>
      </c>
      <c r="D92" s="1746" t="s">
        <v>1016</v>
      </c>
      <c r="E92" s="1749"/>
      <c r="F92" s="1750">
        <f>C92/'R&amp;C-Painel de Controle'!$D$8</f>
        <v>63.382660885233157</v>
      </c>
      <c r="G92" s="1749" t="s">
        <v>342</v>
      </c>
      <c r="H92" s="1751">
        <f>F92/$F$99</f>
        <v>0.16470562936506872</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78000</v>
      </c>
      <c r="D94" s="1639" t="s">
        <v>298</v>
      </c>
      <c r="E94" s="1639"/>
      <c r="F94" s="1670"/>
      <c r="G94" s="1639"/>
      <c r="H94" s="1671"/>
    </row>
    <row r="95" spans="2:8" ht="15" hidden="1" customHeight="1" outlineLevel="1" x14ac:dyDescent="0.25">
      <c r="B95" s="1655" t="s">
        <v>1038</v>
      </c>
      <c r="C95" s="1683">
        <f>C83</f>
        <v>545.44961638466214</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137.97147858369144</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30016263.366992682</v>
      </c>
      <c r="D99" s="1754" t="s">
        <v>1016</v>
      </c>
      <c r="E99" s="1755"/>
      <c r="F99" s="1756">
        <f>C99/'R&amp;C-Painel de Controle'!$D$8</f>
        <v>384.82388932041903</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65" t="s">
        <v>1083</v>
      </c>
      <c r="C101" s="2266"/>
      <c r="D101" s="2266"/>
      <c r="E101" s="2266"/>
      <c r="F101" s="2266"/>
      <c r="G101" s="2266"/>
      <c r="H101" s="2267"/>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78000</v>
      </c>
      <c r="D103" s="1766" t="s">
        <v>298</v>
      </c>
      <c r="E103" s="1767"/>
      <c r="F103" s="1767"/>
      <c r="G103" s="1767"/>
      <c r="H103" s="1767"/>
    </row>
    <row r="104" spans="2:8" ht="15" hidden="1" customHeight="1" outlineLevel="1" x14ac:dyDescent="0.25">
      <c r="B104" s="1764" t="s">
        <v>1069</v>
      </c>
      <c r="C104" s="1765">
        <f>C103/312</f>
        <v>250</v>
      </c>
      <c r="D104" s="1766" t="s">
        <v>21</v>
      </c>
      <c r="E104" s="1767"/>
      <c r="F104" s="1767"/>
      <c r="G104" s="1767"/>
      <c r="H104" s="1767"/>
    </row>
    <row r="105" spans="2:8" ht="15" hidden="1" customHeight="1" outlineLevel="1" x14ac:dyDescent="0.25">
      <c r="B105" s="1768" t="s">
        <v>1071</v>
      </c>
      <c r="C105" s="1765">
        <f>'R&amp;C-Painel de Controle'!D48</f>
        <v>84566.881126752647</v>
      </c>
      <c r="D105" s="1766" t="s">
        <v>298</v>
      </c>
      <c r="E105" s="1767"/>
      <c r="F105" s="1767"/>
      <c r="G105" s="1767"/>
      <c r="H105" s="1767"/>
    </row>
    <row r="106" spans="2:8" ht="15" hidden="1" customHeight="1" outlineLevel="1" x14ac:dyDescent="0.25">
      <c r="B106" s="1768" t="s">
        <v>1086</v>
      </c>
      <c r="C106" s="1765">
        <f>C105/312</f>
        <v>271.04769591907899</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7694.7392028361483</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192.36329526053788</v>
      </c>
      <c r="D112" s="1775" t="s">
        <v>1065</v>
      </c>
      <c r="E112" s="1776"/>
      <c r="F112" s="1776"/>
      <c r="G112" s="1776"/>
      <c r="H112" s="1776"/>
    </row>
    <row r="113" spans="2:8" ht="15" hidden="1" customHeight="1" outlineLevel="1" x14ac:dyDescent="0.25">
      <c r="B113" s="1688"/>
      <c r="C113" s="1704">
        <f>C112*312*$C$106/$C$104/1000</f>
        <v>65.070255693793314</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49.501562499999999</v>
      </c>
      <c r="D115" s="1775" t="s">
        <v>1065</v>
      </c>
      <c r="E115" s="1776"/>
      <c r="F115" s="1776"/>
      <c r="G115" s="1776"/>
      <c r="H115" s="1776"/>
    </row>
    <row r="116" spans="2:8" ht="15" hidden="1" customHeight="1" outlineLevel="1" x14ac:dyDescent="0.25">
      <c r="B116" s="1726"/>
      <c r="C116" s="1704">
        <f>C115*312*$C$106/$C$104/1000</f>
        <v>16.744771006104063</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8.1351422394621196</v>
      </c>
      <c r="D118" s="1775" t="s">
        <v>1065</v>
      </c>
      <c r="E118" s="1776"/>
      <c r="F118" s="1776"/>
      <c r="G118" s="1776"/>
      <c r="H118" s="1776"/>
    </row>
    <row r="119" spans="2:8" ht="15" hidden="1" customHeight="1" outlineLevel="1" thickBot="1" x14ac:dyDescent="0.3">
      <c r="B119" s="1721"/>
      <c r="C119" s="1804">
        <f>C118*312*$C$106/$C$104/1000</f>
        <v>2.7518544268552692</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61" t="s">
        <v>1075</v>
      </c>
      <c r="C121" s="1731"/>
      <c r="D121" s="1718"/>
      <c r="E121" s="1718"/>
      <c r="F121" s="1718"/>
      <c r="G121" s="1718"/>
      <c r="H121" s="1718"/>
    </row>
    <row r="122" spans="2:8" ht="15" hidden="1" customHeight="1" outlineLevel="1" x14ac:dyDescent="0.25">
      <c r="B122" s="2259"/>
      <c r="C122" s="1779">
        <f>'R-Resumo Bal. Massa'!D64</f>
        <v>8.1351422394621196</v>
      </c>
      <c r="D122" s="1771" t="s">
        <v>1065</v>
      </c>
      <c r="E122" s="1767"/>
      <c r="F122" s="1767"/>
      <c r="G122" s="1767"/>
      <c r="H122" s="1767"/>
    </row>
    <row r="123" spans="2:8" ht="15" hidden="1" customHeight="1" outlineLevel="1" x14ac:dyDescent="0.25">
      <c r="B123" s="2260"/>
      <c r="C123" s="1704">
        <f>C122*312*$C$106/$C$104/1000</f>
        <v>2.7518544268552692</v>
      </c>
      <c r="D123" s="1719" t="s">
        <v>1063</v>
      </c>
      <c r="E123" s="888"/>
      <c r="F123" s="888"/>
      <c r="G123" s="888"/>
      <c r="H123" s="888"/>
    </row>
    <row r="124" spans="2:8" ht="15" hidden="1" customHeight="1" outlineLevel="1" x14ac:dyDescent="0.25">
      <c r="B124" s="2258" t="s">
        <v>1081</v>
      </c>
      <c r="C124" s="1730"/>
      <c r="D124" s="1725"/>
      <c r="E124" s="1725"/>
      <c r="F124" s="1725"/>
      <c r="G124" s="1725"/>
      <c r="H124" s="1725"/>
    </row>
    <row r="125" spans="2:8" ht="15" hidden="1" customHeight="1" outlineLevel="1" x14ac:dyDescent="0.25">
      <c r="B125" s="2259"/>
      <c r="C125" s="1779">
        <f>'R-Resumo Bal. Massa'!D73</f>
        <v>0</v>
      </c>
      <c r="D125" s="1771" t="s">
        <v>1065</v>
      </c>
      <c r="E125" s="1767"/>
      <c r="F125" s="1767"/>
      <c r="G125" s="1767"/>
      <c r="H125" s="1767"/>
    </row>
    <row r="126" spans="2:8" ht="15" hidden="1" customHeight="1" outlineLevel="1" x14ac:dyDescent="0.25">
      <c r="B126" s="2260"/>
      <c r="C126" s="1704">
        <f>C125*312*$C$106/$C$104/1000</f>
        <v>0</v>
      </c>
      <c r="D126" s="1719" t="s">
        <v>1063</v>
      </c>
      <c r="E126" s="888"/>
      <c r="F126" s="888"/>
      <c r="G126" s="888"/>
      <c r="H126" s="888"/>
    </row>
    <row r="127" spans="2:8" ht="15" hidden="1" customHeight="1" outlineLevel="1" x14ac:dyDescent="0.25">
      <c r="B127" s="2258" t="s">
        <v>1064</v>
      </c>
      <c r="C127" s="1730"/>
      <c r="D127" s="1725"/>
      <c r="E127" s="1725"/>
      <c r="F127" s="1725"/>
      <c r="G127" s="1725"/>
      <c r="H127" s="1725"/>
    </row>
    <row r="128" spans="2:8" ht="15" hidden="1" customHeight="1" outlineLevel="1" x14ac:dyDescent="0.25">
      <c r="B128" s="2259"/>
      <c r="C128" s="1779">
        <f>'R-Resumo Bal. Massa'!D69</f>
        <v>0</v>
      </c>
      <c r="D128" s="1771" t="s">
        <v>1065</v>
      </c>
      <c r="E128" s="1767"/>
      <c r="F128" s="1767"/>
      <c r="G128" s="1767"/>
      <c r="H128" s="1767"/>
    </row>
    <row r="129" spans="2:8" ht="15" hidden="1" customHeight="1" outlineLevel="1" x14ac:dyDescent="0.25">
      <c r="B129" s="2260"/>
      <c r="C129" s="1704">
        <f>C128*312*$C$106/$C$104/1000</f>
        <v>0</v>
      </c>
      <c r="D129" s="1727" t="s">
        <v>1063</v>
      </c>
      <c r="E129" s="1728"/>
      <c r="F129" s="1728"/>
      <c r="G129" s="1728"/>
      <c r="H129" s="1728"/>
    </row>
    <row r="130" spans="2:8" ht="15" hidden="1" customHeight="1" outlineLevel="1" x14ac:dyDescent="0.25">
      <c r="B130" s="2258" t="s">
        <v>1122</v>
      </c>
      <c r="C130" s="1972">
        <f>IF('R-Definição'!E112&gt;0,'R-Definição'!O111/'R-Definição'!E112,0)</f>
        <v>677.95413101682391</v>
      </c>
      <c r="D130" s="1691" t="s">
        <v>1121</v>
      </c>
      <c r="E130" s="888"/>
      <c r="F130" s="888"/>
      <c r="G130" s="888"/>
      <c r="H130" s="888"/>
    </row>
    <row r="131" spans="2:8" ht="15" hidden="1" customHeight="1" outlineLevel="1" x14ac:dyDescent="0.25">
      <c r="B131" s="2259"/>
      <c r="C131" s="1973">
        <f>C130*C106</f>
        <v>183757.90515093153</v>
      </c>
      <c r="D131" s="1771" t="s">
        <v>1067</v>
      </c>
      <c r="E131" s="1767"/>
      <c r="F131" s="1767"/>
      <c r="G131" s="1767"/>
      <c r="H131" s="1767"/>
    </row>
    <row r="132" spans="2:8" ht="15" hidden="1" customHeight="1" outlineLevel="1" x14ac:dyDescent="0.25">
      <c r="B132" s="2260"/>
      <c r="C132" s="1758">
        <f>C130*C105/1000</f>
        <v>57332.466407090636</v>
      </c>
      <c r="D132" s="1727" t="s">
        <v>306</v>
      </c>
      <c r="E132" s="1728"/>
      <c r="F132" s="1728"/>
      <c r="G132" s="1728"/>
      <c r="H132" s="1728"/>
    </row>
    <row r="133" spans="2:8" ht="15" hidden="1" customHeight="1" outlineLevel="1" x14ac:dyDescent="0.25">
      <c r="B133" s="2258" t="s">
        <v>1123</v>
      </c>
      <c r="C133" s="1683">
        <f>IF(AND('R-Definição'!O62&gt;0,'R-Definição'!J65&gt;0),('R-Definição'!O69/('R-Definição'!O62*'R-Definição'!J65/100)),0)</f>
        <v>0</v>
      </c>
      <c r="D133" s="1691" t="s">
        <v>1121</v>
      </c>
      <c r="E133" s="888"/>
      <c r="F133" s="888"/>
      <c r="G133" s="888"/>
      <c r="H133" s="888"/>
    </row>
    <row r="134" spans="2:8" ht="15" hidden="1" customHeight="1" outlineLevel="1" x14ac:dyDescent="0.25">
      <c r="B134" s="2259"/>
      <c r="C134" s="1807">
        <f>C133*C106*C107</f>
        <v>0</v>
      </c>
      <c r="D134" s="1771" t="s">
        <v>1067</v>
      </c>
      <c r="E134" s="1767"/>
      <c r="F134" s="1767"/>
      <c r="G134" s="1767"/>
      <c r="H134" s="1767"/>
    </row>
    <row r="135" spans="2:8" ht="15" hidden="1" customHeight="1" outlineLevel="1" x14ac:dyDescent="0.25">
      <c r="B135" s="2260"/>
      <c r="C135" s="1758">
        <f>C133*C105*C107/1000</f>
        <v>0</v>
      </c>
      <c r="D135" s="1727" t="s">
        <v>306</v>
      </c>
      <c r="E135" s="1728"/>
      <c r="F135" s="1728"/>
      <c r="G135" s="1728"/>
      <c r="H135" s="1728"/>
    </row>
    <row r="136" spans="2:8" ht="15" hidden="1" customHeight="1" outlineLevel="1" x14ac:dyDescent="0.25">
      <c r="B136" s="2258" t="s">
        <v>238</v>
      </c>
      <c r="C136" s="1683">
        <f>IF(AND('R-Definição'!O62&gt;0,'R-Definição'!J64&gt;0),('R-Definição'!O70/('R-Definição'!O62*'R-Definição'!J64/100)),0)</f>
        <v>0</v>
      </c>
      <c r="D136" s="1808" t="s">
        <v>1095</v>
      </c>
      <c r="E136" s="888"/>
      <c r="F136" s="888"/>
      <c r="G136" s="888"/>
      <c r="H136" s="888"/>
    </row>
    <row r="137" spans="2:8" ht="15" hidden="1" customHeight="1" outlineLevel="1" x14ac:dyDescent="0.25">
      <c r="B137" s="2259"/>
      <c r="C137" s="1807">
        <f>C136*C106*C107</f>
        <v>0</v>
      </c>
      <c r="D137" s="1771" t="s">
        <v>1068</v>
      </c>
      <c r="E137" s="1767"/>
      <c r="F137" s="1767"/>
      <c r="G137" s="1767"/>
      <c r="H137" s="1767"/>
    </row>
    <row r="138" spans="2:8" ht="15" hidden="1" customHeight="1" outlineLevel="1" x14ac:dyDescent="0.25">
      <c r="B138" s="2259"/>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76"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76"/>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74" t="str">
        <f>'R-Definição'!D2</f>
        <v>CIRSOP - Consórcio RSU Oeste Paulista</v>
      </c>
      <c r="R2" s="2275"/>
      <c r="S2" s="1002"/>
      <c r="T2" s="1004" t="s">
        <v>486</v>
      </c>
      <c r="U2" s="2274" t="str">
        <f>'R-Definição'!D3</f>
        <v>Biodigestão c/ Prod. E. Elétrica</v>
      </c>
      <c r="V2" s="2275"/>
      <c r="W2" s="334"/>
      <c r="X2" s="334"/>
      <c r="Y2" s="334"/>
      <c r="Z2" s="334"/>
      <c r="AA2" s="334"/>
      <c r="AB2" s="334"/>
    </row>
    <row r="3" spans="1:28" s="333" customFormat="1" ht="19.899999999999999" customHeight="1" x14ac:dyDescent="0.25">
      <c r="A3" s="457"/>
      <c r="B3" s="2276"/>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68" t="s">
        <v>691</v>
      </c>
      <c r="C9" s="1041"/>
      <c r="D9" s="2271" t="s">
        <v>696</v>
      </c>
      <c r="E9" s="2272"/>
      <c r="F9" s="2272"/>
      <c r="G9" s="2272"/>
      <c r="H9" s="2272"/>
      <c r="I9" s="2272"/>
      <c r="J9" s="2272"/>
      <c r="K9" s="2272"/>
      <c r="L9" s="2272"/>
      <c r="M9" s="2272"/>
      <c r="N9" s="2272"/>
      <c r="O9" s="2272"/>
      <c r="P9" s="2272"/>
      <c r="Q9" s="2272"/>
      <c r="R9" s="2272"/>
      <c r="S9" s="2272"/>
      <c r="T9" s="2272"/>
      <c r="U9" s="2272"/>
      <c r="V9" s="2273"/>
      <c r="W9" s="997"/>
      <c r="X9" s="997"/>
      <c r="Y9" s="997"/>
      <c r="Z9" s="997"/>
      <c r="AA9" s="997"/>
      <c r="AB9" s="997"/>
    </row>
    <row r="10" spans="1:28" s="333" customFormat="1" ht="7.5" customHeight="1" x14ac:dyDescent="0.25">
      <c r="A10" s="457"/>
      <c r="B10" s="2269"/>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70"/>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83"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83"/>
      <c r="C2" s="466"/>
      <c r="D2" s="1039">
        <f>('R-Resumo Bal. Massa'!B20+'R-Resumo Bal. Massa'!B21)*(1+'R&amp;C-Painel de Controle'!H56)</f>
        <v>31.25</v>
      </c>
      <c r="E2" s="1040" t="s">
        <v>21</v>
      </c>
      <c r="H2" s="1245">
        <f>D2*313</f>
        <v>9781.25</v>
      </c>
      <c r="I2" s="1244" t="s">
        <v>298</v>
      </c>
      <c r="L2" s="1226" t="str">
        <f>IF(D2&gt;0,"Sim","Não")</f>
        <v>Sim</v>
      </c>
      <c r="M2" s="461"/>
      <c r="N2" s="461"/>
      <c r="O2" s="461"/>
      <c r="P2" s="1246" t="s">
        <v>485</v>
      </c>
      <c r="Q2" s="2274" t="str">
        <f>'R-Definição'!D2</f>
        <v>CIRSOP - Consórcio RSU Oeste Paulista</v>
      </c>
      <c r="R2" s="2275"/>
      <c r="S2" s="459"/>
      <c r="T2" s="1246" t="s">
        <v>486</v>
      </c>
      <c r="U2" s="2274" t="str">
        <f>'R-Definição'!D3</f>
        <v>Biodigestão c/ Prod. E. Elétrica</v>
      </c>
      <c r="V2" s="2275"/>
      <c r="W2" s="49"/>
      <c r="X2" s="49"/>
      <c r="Y2" s="49"/>
      <c r="Z2" s="49"/>
      <c r="AA2" s="49"/>
      <c r="AB2" s="49"/>
    </row>
    <row r="3" spans="1:28" ht="19.899999999999999" customHeight="1" x14ac:dyDescent="0.25">
      <c r="A3" s="428"/>
      <c r="B3" s="2283"/>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989"/>
      <c r="E7" s="1194" t="str">
        <f>IF(AND(L2="Sim",$D$2&gt;D11,$D$2&lt;=F11),"SIM","NÃO")</f>
        <v>SIM</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77" t="s">
        <v>691</v>
      </c>
      <c r="C9" s="1041"/>
      <c r="D9" s="2280" t="s">
        <v>695</v>
      </c>
      <c r="E9" s="2281"/>
      <c r="F9" s="2281"/>
      <c r="G9" s="2281"/>
      <c r="H9" s="2281"/>
      <c r="I9" s="2281"/>
      <c r="J9" s="2281"/>
      <c r="K9" s="2281"/>
      <c r="L9" s="2281"/>
      <c r="M9" s="2281"/>
      <c r="N9" s="2281"/>
      <c r="O9" s="2281"/>
      <c r="P9" s="2281"/>
      <c r="Q9" s="2281"/>
      <c r="R9" s="2281"/>
      <c r="S9" s="2281"/>
      <c r="T9" s="2281"/>
      <c r="U9" s="2281"/>
      <c r="V9" s="2282"/>
      <c r="W9" s="1209"/>
      <c r="X9" s="1025"/>
      <c r="Y9" s="1025"/>
      <c r="Z9" s="1025"/>
      <c r="AA9" s="1025"/>
      <c r="AB9" s="1025"/>
    </row>
    <row r="10" spans="1:28" s="1022" customFormat="1" ht="7.5" customHeight="1" x14ac:dyDescent="0.3">
      <c r="A10" s="1131"/>
      <c r="B10" s="2278"/>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79"/>
      <c r="C11" s="1041"/>
      <c r="D11" s="1204">
        <v>0</v>
      </c>
      <c r="E11" s="1206" t="s">
        <v>21</v>
      </c>
      <c r="F11" s="1206">
        <v>250</v>
      </c>
      <c r="G11" s="1207"/>
      <c r="H11" s="1206">
        <f>F11</f>
        <v>250</v>
      </c>
      <c r="I11" s="1206" t="s">
        <v>21</v>
      </c>
      <c r="J11" s="1206">
        <v>500</v>
      </c>
      <c r="K11" s="1207"/>
      <c r="L11" s="1206">
        <f>J11</f>
        <v>500</v>
      </c>
      <c r="M11" s="1206" t="s">
        <v>21</v>
      </c>
      <c r="N11" s="1206">
        <v>2000</v>
      </c>
      <c r="O11" s="1207"/>
      <c r="P11" s="1206">
        <f>N11</f>
        <v>2000</v>
      </c>
      <c r="Q11" s="1206" t="s">
        <v>21</v>
      </c>
      <c r="R11" s="1206">
        <v>4000</v>
      </c>
      <c r="S11" s="1207"/>
      <c r="T11" s="1206">
        <f>R11</f>
        <v>4000</v>
      </c>
      <c r="U11" s="1206" t="s">
        <v>21</v>
      </c>
      <c r="V11" s="1208">
        <v>7500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f>
        <v>41.525188498402549</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21.530978932499995</v>
      </c>
      <c r="F15" s="1057">
        <v>0.1</v>
      </c>
      <c r="G15" s="1009"/>
      <c r="H15" s="1215">
        <f>IF('R-Definição'!$I$34="Alta",(14961570+179440+150030)/313000,(14961570+179440+150030)/313000*0.85)</f>
        <v>41.525188498402549</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7">
        <v>0.1</v>
      </c>
      <c r="K15" s="1009"/>
      <c r="L15" s="1215">
        <f>IF('R-Definição'!$I$34="Alta",(14961570+179440+150030)/313000,(14961570+179440+150030)/313000*0.85)</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f>(IF(E$7="SIM",(((D17-F17)*'R&amp;C-Painel de Controle'!$D$57+F17*('R&amp;C-Painel de Controle'!$D$60)+(((75)+(15+E30/5*30)+(25+E30/10*25))*D16)))/1000000,"-"))</f>
        <v>11.494862787525831</v>
      </c>
      <c r="F16" s="1059">
        <v>0.05</v>
      </c>
      <c r="G16" s="1009"/>
      <c r="H16" s="1058">
        <v>2000</v>
      </c>
      <c r="I16" s="986" t="str">
        <f>(IF(I$7="SIM",(((H17-J17)*'R&amp;C-Painel de Controle'!$D$57+J17*('R&amp;C-Painel de Controle'!$D$60)+(((150)+(15+I30/5*30)+(25+I30/10*25))*H16)))/1000000,"-"))</f>
        <v>-</v>
      </c>
      <c r="J16" s="1059">
        <v>0.05</v>
      </c>
      <c r="K16" s="1009"/>
      <c r="L16" s="1058">
        <v>2000</v>
      </c>
      <c r="M16" s="986" t="str">
        <f>(IF(M$7="SIM",(((L17-N17)*'R&amp;C-Painel de Controle'!$D$57+N17*('R&amp;C-Painel de Controle'!$D$60)+(((150)+(15+M30/5*30)+(25+M30/10*25))*L16)))/1000000,"-"))</f>
        <v>-</v>
      </c>
      <c r="N16" s="1059">
        <v>0.05</v>
      </c>
      <c r="O16" s="1009"/>
      <c r="P16" s="1058">
        <v>2000</v>
      </c>
      <c r="Q16" s="986" t="str">
        <f>(IF(Q$7="SIM",(((P17-R17)*'R&amp;C-Painel de Controle'!$D$57+R17*('R&amp;C-Painel de Controle'!$D$60)+(((250)+(15+Q30/5*30)+(25+Q30/10*25))*P16)))/1000000,"-"))</f>
        <v>-</v>
      </c>
      <c r="R16" s="1059">
        <v>0.05</v>
      </c>
      <c r="S16" s="1133"/>
      <c r="T16" s="1058">
        <v>2000</v>
      </c>
      <c r="U16" s="986" t="str">
        <f>(IF(U$7="SIM",(((T17-V17)*'R&amp;C-Painel de Controle'!$D$57+V17*('R&amp;C-Painel de Controle'!$D$60)+(((250)+(15+U30/5*30)+(25+U30/10*25))*T16)))/1000000,"-"))</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f>(IF(E$7="SIM",('R&amp;C-Painel de Controle'!$D$55+0.25)*D17/1000000,"-"))</f>
        <v>3.0336813937629154E-3</v>
      </c>
      <c r="F17" s="1061">
        <f>IF('R-Definição'!$I$34="Alta",(50*15+50*100+50*10),(50*15+50*100+50*10)*0.75)</f>
        <v>4687.5</v>
      </c>
      <c r="G17" s="1009"/>
      <c r="H17" s="1060">
        <f>(2*(20*(20+(SQRT(J17))+20))+2*(20*(J17/(SQRT(J17))))+J17+((150)+(15+I30/5*30)+(25+I30/10*25)))</f>
        <v>14241.773353931867</v>
      </c>
      <c r="I17" s="986" t="str">
        <f>(IF(I$7="SIM",('R&amp;C-Painel de Controle'!$D$55+0.25)*H17/1000000,"-"))</f>
        <v>-</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f>IF(E7="SIM",(E15+E16)*F18*1000/$H$2,"-")</f>
        <v>0.25323329114396798</v>
      </c>
      <c r="E18" s="986">
        <f>(IF(E$7="SIM",$H$2*D18/1000,"-"))</f>
        <v>2.4769381290019368</v>
      </c>
      <c r="F18" s="1057">
        <v>7.4999999999999997E-2</v>
      </c>
      <c r="G18" s="1009"/>
      <c r="H18" s="1216" t="str">
        <f>IF(I7="SIM",(I15+I16)*J18*1000/$H$2,"-")</f>
        <v>-</v>
      </c>
      <c r="I18" s="986" t="str">
        <f>(IF(I$7="SIM",$H$2*H18/1000,"-"))</f>
        <v>-</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f>IF(E7="SIM",SUM(E15:E18)*(1+D19),"-")</f>
        <v>37.281104206942601</v>
      </c>
      <c r="F19" s="1191" t="s">
        <v>338</v>
      </c>
      <c r="G19" s="1044"/>
      <c r="H19" s="1192">
        <v>0.05</v>
      </c>
      <c r="I19" s="1062" t="str">
        <f>IF(I7="SIM",SUM(I15:I18)*(1+H19),"-")</f>
        <v>-</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f>IF(E7="SIM",E19*1000000/$H$2,"-")</f>
        <v>3811.4866920835889</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f>IF(E7="SIM",(E15*F15+E16*F16)/4,"-")</f>
        <v>0.6819602581565728</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x14ac:dyDescent="0.25">
      <c r="A27" s="1129"/>
      <c r="B27" s="1053" t="s">
        <v>430</v>
      </c>
      <c r="C27" s="1009"/>
      <c r="D27" s="1157"/>
      <c r="E27" s="1030">
        <f>(IF(E$7="SIM",(E31)*2.4*12/$H$2,"-"))</f>
        <v>406.32843450479231</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3079.125</v>
      </c>
      <c r="N34" s="1162"/>
      <c r="O34" s="1139"/>
      <c r="P34" s="1219"/>
      <c r="Q34" s="350">
        <f>Q33*R11*(0.9)*0.92/16</f>
        <v>6158.25</v>
      </c>
      <c r="R34" s="1162"/>
      <c r="S34" s="1139"/>
      <c r="T34" s="1219"/>
      <c r="U34" s="350">
        <f>U33*V11*(0.9)*0.92/16</f>
        <v>11546.71875</v>
      </c>
      <c r="V34" s="1064"/>
      <c r="W34" s="1076"/>
      <c r="X34" s="44"/>
      <c r="Y34" s="44"/>
      <c r="Z34" s="44"/>
      <c r="AA34" s="44"/>
      <c r="AB34" s="53"/>
    </row>
    <row r="35" spans="1:28" s="830" customFormat="1" ht="17.649999999999999" customHeight="1" collapsed="1" x14ac:dyDescent="0.25">
      <c r="A35" s="1129"/>
      <c r="B35" s="1053" t="s">
        <v>432</v>
      </c>
      <c r="C35" s="1009"/>
      <c r="D35" s="1157"/>
      <c r="E35" s="1030">
        <f>(IF(E$7="SIM",(E15*1000000*E36+E37*12)/$H$2,"-"))</f>
        <v>221.73996697380187</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f>(IF(E$7="SIM",D38*E39*E40*12/$H$2,"-"))</f>
        <v>61.341853035143771</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f>(IF(E$7="SIM",7.5+1.5*'R&amp;C-Painel de Controle'!$D$74,"-"))</f>
        <v>12</v>
      </c>
      <c r="F41" s="1161"/>
      <c r="G41" s="1140"/>
      <c r="H41" s="1220"/>
      <c r="I41" s="1033" t="str">
        <f>(IF(I$7="SIM",7.5+1.5*'R&amp;C-Painel de Controle'!$D$74,"-"))</f>
        <v>-</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f>(IF(E$7="SIM",(E27+E32+E35+E38+E41)*(1+D42),"-"))</f>
        <v>771.5512799651118</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145"/>
      <c r="X42" s="1021"/>
      <c r="Y42" s="1021"/>
      <c r="Z42" s="1021"/>
      <c r="AA42" s="1021"/>
      <c r="AB42" s="1029"/>
    </row>
    <row r="43" spans="1:28" s="1022" customFormat="1" ht="19.899999999999999" customHeight="1" x14ac:dyDescent="0.3">
      <c r="A43" s="1130"/>
      <c r="B43" s="1152" t="s">
        <v>436</v>
      </c>
      <c r="C43" s="1044"/>
      <c r="D43" s="1165"/>
      <c r="E43" s="1026">
        <f>(IF(E$7="SIM",E42*$H$2/1000000,"-"))</f>
        <v>7.5467359571587496</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f>(IF(E$7="SIM",(((E27*$H$2/12)+(E34/1000*'R&amp;C-Painel de Controle'!$D$69*12)+(E37*12)+(E39*E40*12))/1000000),"-"))</f>
        <v>2.7311999999999999</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f>(IF(E$7="SIM",((E43-E44)*1000000)/$H$2,"-"))</f>
        <v>492.32316494913727</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C+yId6RdnbkP+0OV/n7qXqIBXus+gRaM+nYcO59EJ0nsrxJReHt6oEMGkPe4zcqfo/AVhGx3PBw4woNHeEg4ig==" saltValue="5298c3vwX3CncQ3pw33iI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3"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83"/>
      <c r="C2" s="466"/>
      <c r="D2" s="1039">
        <f>'R-Resumo Bal. Massa'!B30*(1+'R&amp;C-Painel de Controle'!H59)</f>
        <v>0</v>
      </c>
      <c r="E2" s="1040" t="s">
        <v>21</v>
      </c>
      <c r="F2"/>
      <c r="G2"/>
      <c r="H2" s="1245">
        <f>D2*313</f>
        <v>0</v>
      </c>
      <c r="I2" s="1244" t="s">
        <v>298</v>
      </c>
      <c r="J2"/>
      <c r="K2"/>
      <c r="L2" s="1226" t="str">
        <f>IF(D2&gt;0,"Sim","Não")</f>
        <v>Não</v>
      </c>
      <c r="M2" s="461"/>
      <c r="N2" s="461"/>
      <c r="O2" s="461"/>
      <c r="P2" s="1246" t="s">
        <v>485</v>
      </c>
      <c r="Q2" s="2274" t="str">
        <f>'R-Definição'!D2</f>
        <v>CIRSOP - Consórcio RSU Oeste Paulista</v>
      </c>
      <c r="R2" s="2275"/>
      <c r="S2" s="459"/>
      <c r="T2" s="1246" t="s">
        <v>486</v>
      </c>
      <c r="U2" s="2274" t="str">
        <f>'R-Definição'!D3</f>
        <v>Biodigestão c/ Prod. E. Elétrica</v>
      </c>
      <c r="V2" s="2275"/>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3"/>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77" t="s">
        <v>691</v>
      </c>
      <c r="C9" s="1041"/>
      <c r="D9" s="2280" t="s">
        <v>697</v>
      </c>
      <c r="E9" s="2281"/>
      <c r="F9" s="2281"/>
      <c r="G9" s="2281"/>
      <c r="H9" s="2281"/>
      <c r="I9" s="2281"/>
      <c r="J9" s="2281"/>
      <c r="K9" s="2281"/>
      <c r="L9" s="2281"/>
      <c r="M9" s="2281"/>
      <c r="N9" s="2281"/>
      <c r="O9" s="2281"/>
      <c r="P9" s="2281"/>
      <c r="Q9" s="2281"/>
      <c r="R9" s="2281"/>
      <c r="S9" s="2281"/>
      <c r="T9" s="2281"/>
      <c r="U9" s="2281"/>
      <c r="V9" s="2282"/>
    </row>
    <row r="10" spans="1:61" ht="7.5" customHeight="1" x14ac:dyDescent="0.25">
      <c r="B10" s="2278"/>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79"/>
      <c r="C11" s="1041"/>
      <c r="D11" s="1204">
        <v>0</v>
      </c>
      <c r="E11" s="1206" t="s">
        <v>21</v>
      </c>
      <c r="F11" s="1206">
        <v>100</v>
      </c>
      <c r="G11" s="1207"/>
      <c r="H11" s="1206">
        <f>F11</f>
        <v>100</v>
      </c>
      <c r="I11" s="1206" t="s">
        <v>21</v>
      </c>
      <c r="J11" s="1206">
        <v>200</v>
      </c>
      <c r="K11" s="1207"/>
      <c r="L11" s="1206">
        <f>J11</f>
        <v>200</v>
      </c>
      <c r="M11" s="1206" t="s">
        <v>21</v>
      </c>
      <c r="N11" s="1206">
        <v>500</v>
      </c>
      <c r="O11" s="1207"/>
      <c r="P11" s="1206">
        <f>N11</f>
        <v>500</v>
      </c>
      <c r="Q11" s="1206" t="s">
        <v>21</v>
      </c>
      <c r="R11" s="1206">
        <v>1000</v>
      </c>
      <c r="S11" s="1207"/>
      <c r="T11" s="1206">
        <f>R11</f>
        <v>1000</v>
      </c>
      <c r="U11" s="1206" t="s">
        <v>21</v>
      </c>
      <c r="V11" s="1208">
        <v>5000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840.9375</v>
      </c>
      <c r="N34" s="1162"/>
      <c r="O34" s="1139"/>
      <c r="P34" s="1219"/>
      <c r="Q34" s="350">
        <f>Q33*R11*(0.9)*0.92/16</f>
        <v>1681.875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eCesdQ39mclchsjXOj+rMF7X/t0jGRzHf+NPTVLlJGkuhldypxr/Fgl0OqEtRSV7pmrzH8/fwWOS1MtUBJR+Mw==" saltValue="fow09qrfgNRQu3WV8swvq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83"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83"/>
      <c r="C2" s="466"/>
      <c r="D2" s="1039">
        <f>'R-Resumo Bal. Massa'!B31*(1+'R&amp;C-Painel de Controle'!H62)</f>
        <v>0</v>
      </c>
      <c r="E2" s="1040" t="s">
        <v>21</v>
      </c>
      <c r="H2" s="1245">
        <f>D2*313</f>
        <v>0</v>
      </c>
      <c r="I2" s="1244" t="s">
        <v>298</v>
      </c>
      <c r="L2" s="1226" t="str">
        <f>IF(D2&gt;0,"Sim","Não")</f>
        <v>Não</v>
      </c>
      <c r="M2" s="461"/>
      <c r="N2" s="461"/>
      <c r="O2" s="461"/>
      <c r="P2" s="1246" t="s">
        <v>485</v>
      </c>
      <c r="Q2" s="2274" t="str">
        <f>'R-Definição'!D2</f>
        <v>CIRSOP - Consórcio RSU Oeste Paulista</v>
      </c>
      <c r="R2" s="2275"/>
      <c r="S2" s="459"/>
      <c r="T2" s="1246" t="s">
        <v>486</v>
      </c>
      <c r="U2" s="2274" t="str">
        <f>'R-Definição'!D3</f>
        <v>Biodigestão c/ Prod. E. Elétrica</v>
      </c>
      <c r="V2" s="2275"/>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83"/>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77" t="s">
        <v>691</v>
      </c>
      <c r="C9" s="1041"/>
      <c r="D9" s="2280" t="s">
        <v>698</v>
      </c>
      <c r="E9" s="2281"/>
      <c r="F9" s="2281"/>
      <c r="G9" s="2281"/>
      <c r="H9" s="2281"/>
      <c r="I9" s="2281"/>
      <c r="J9" s="2281"/>
      <c r="K9" s="2281"/>
      <c r="L9" s="2281"/>
      <c r="M9" s="2281"/>
      <c r="N9" s="2281"/>
      <c r="O9" s="2281"/>
      <c r="P9" s="2281"/>
      <c r="Q9" s="2281"/>
      <c r="R9" s="2281"/>
      <c r="S9" s="2281"/>
      <c r="T9" s="2281"/>
      <c r="U9" s="2281"/>
      <c r="V9" s="2282"/>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78"/>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79"/>
      <c r="C11" s="1041"/>
      <c r="D11" s="1204">
        <v>0</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5100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-2.3333333333333335</v>
      </c>
      <c r="I22" s="352"/>
      <c r="J22" s="346">
        <f>((J11-$D$2)/(J11-H11))</f>
        <v>3.3333333333333335</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0</v>
      </c>
      <c r="I23" s="352" t="str">
        <f>IF(I7="SIM",(I15*J15+I16*J16)/4,"-")</f>
        <v>-</v>
      </c>
      <c r="J23" s="346">
        <f>((L15*(($D$2-H11)/(J11-H11))*$H$2/1000)*(1-I21)*'R&amp;C-Painel de Controle'!$D$52*(1+'R&amp;C-Painel de Controle'!$D$54))/1000</f>
        <v>0</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9237.375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Lg2JCBpPQb8dCv1BL9HYa8s7KgFuKx4sbb8OiCFSTxV5ZNh357Ug4kOL/3oQyw7W1VWAgTYFqqyKgYJZvrS55A==" saltValue="Q9TnYnyflxyvSRzM3/Fo1g=="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83"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83"/>
      <c r="C2" s="466"/>
      <c r="D2" s="1039">
        <f>'R-Resumo Bal. Massa'!B35*(1+'R&amp;C-Painel de Controle'!H68)</f>
        <v>0</v>
      </c>
      <c r="E2" s="1040" t="s">
        <v>440</v>
      </c>
      <c r="H2" s="1245">
        <f>D2*313</f>
        <v>0</v>
      </c>
      <c r="I2" s="1244" t="s">
        <v>441</v>
      </c>
      <c r="L2" s="1226" t="str">
        <f>IF(D2&gt;0,"Sim","Não")</f>
        <v>Não</v>
      </c>
      <c r="M2" s="461"/>
      <c r="N2" s="461"/>
      <c r="O2" s="461"/>
      <c r="P2" s="1246" t="s">
        <v>485</v>
      </c>
      <c r="Q2" s="2274" t="str">
        <f>'R-Definição'!D2</f>
        <v>CIRSOP - Consórcio RSU Oeste Paulista</v>
      </c>
      <c r="R2" s="2275"/>
      <c r="S2" s="459"/>
      <c r="T2" s="1246" t="s">
        <v>486</v>
      </c>
      <c r="U2" s="2274" t="str">
        <f>'R-Definição'!D3</f>
        <v>Biodigestão c/ Prod. E. Elétrica</v>
      </c>
      <c r="V2" s="2275"/>
      <c r="W2" s="322"/>
      <c r="X2" s="322"/>
      <c r="Y2" s="322"/>
      <c r="Z2" s="322"/>
      <c r="AA2" s="322"/>
      <c r="AB2" s="70"/>
    </row>
    <row r="3" spans="1:61" ht="19.899999999999999" customHeight="1" x14ac:dyDescent="0.25">
      <c r="A3" s="901"/>
      <c r="B3" s="2283"/>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77" t="s">
        <v>691</v>
      </c>
      <c r="C9" s="1041"/>
      <c r="D9" s="2280" t="s">
        <v>699</v>
      </c>
      <c r="E9" s="2281"/>
      <c r="F9" s="2281"/>
      <c r="G9" s="2281"/>
      <c r="H9" s="2281"/>
      <c r="I9" s="2281"/>
      <c r="J9" s="2281"/>
      <c r="K9" s="2281"/>
      <c r="L9" s="2281"/>
      <c r="M9" s="2281"/>
      <c r="N9" s="2281"/>
      <c r="O9" s="2281"/>
      <c r="P9" s="2281"/>
      <c r="Q9" s="2281"/>
      <c r="R9" s="2281"/>
      <c r="S9" s="2281"/>
      <c r="T9" s="2281"/>
      <c r="U9" s="2281"/>
      <c r="V9" s="2282"/>
      <c r="W9" s="1025"/>
      <c r="X9" s="1025"/>
      <c r="Y9" s="1025"/>
      <c r="Z9" s="1025"/>
      <c r="AA9" s="1025"/>
    </row>
    <row r="10" spans="1:61" ht="7.5" customHeight="1" x14ac:dyDescent="0.25">
      <c r="A10" s="901"/>
      <c r="B10" s="2278"/>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79"/>
      <c r="C11" s="1041"/>
      <c r="D11" s="1204">
        <v>1</v>
      </c>
      <c r="E11" s="1206" t="s">
        <v>21</v>
      </c>
      <c r="F11" s="1206">
        <v>3</v>
      </c>
      <c r="G11" s="1207"/>
      <c r="H11" s="1206">
        <f>F11</f>
        <v>3</v>
      </c>
      <c r="I11" s="1206" t="s">
        <v>21</v>
      </c>
      <c r="J11" s="1206">
        <v>30</v>
      </c>
      <c r="K11" s="1207"/>
      <c r="L11" s="1206">
        <f>J11</f>
        <v>30</v>
      </c>
      <c r="M11" s="1206" t="s">
        <v>21</v>
      </c>
      <c r="N11" s="1206">
        <v>500</v>
      </c>
      <c r="O11" s="1207"/>
      <c r="P11" s="1206">
        <f>N11</f>
        <v>500</v>
      </c>
      <c r="Q11" s="1206" t="s">
        <v>21</v>
      </c>
      <c r="R11" s="1206">
        <v>1500</v>
      </c>
      <c r="S11" s="1207"/>
      <c r="T11" s="1206">
        <f>R11</f>
        <v>1500</v>
      </c>
      <c r="U11" s="1206" t="s">
        <v>21</v>
      </c>
      <c r="V11" s="1208">
        <v>3000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129.375</v>
      </c>
      <c r="N34" s="1162"/>
      <c r="O34" s="1139"/>
      <c r="P34" s="1219"/>
      <c r="Q34" s="350">
        <f>Q33*R11*(0.9)*0.92/16</f>
        <v>388.125</v>
      </c>
      <c r="R34" s="1162"/>
      <c r="S34" s="1139"/>
      <c r="T34" s="1219"/>
      <c r="U34" s="350">
        <f>U33*V11*(0.9)*0.92/16</f>
        <v>776.25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D3NZJOdSpQTBCZoEjItyvSvWS5DcR8gkBIK2X88MlLqbZP3Z0qkKrE37yjCKoH4CKDzHoOIEX9BcmnMIjLlemw==" saltValue="DNiq1CSj08RZ6onpcVJyU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83"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83"/>
      <c r="C2" s="466"/>
      <c r="D2" s="1039">
        <f>'R-Resumo Bal. Massa'!B34*(1+'R&amp;C-Painel de Controle'!H65)</f>
        <v>0</v>
      </c>
      <c r="E2" s="1040" t="s">
        <v>21</v>
      </c>
      <c r="H2" s="1245">
        <f>D2*313</f>
        <v>0</v>
      </c>
      <c r="I2" s="1244" t="s">
        <v>298</v>
      </c>
      <c r="L2" s="1226" t="str">
        <f>IF(D2&gt;0,"Sim","Não'")</f>
        <v>Não'</v>
      </c>
      <c r="M2" s="461"/>
      <c r="N2" s="461"/>
      <c r="O2" s="461"/>
      <c r="P2" s="1246" t="s">
        <v>485</v>
      </c>
      <c r="Q2" s="2274" t="str">
        <f>'R-Definição'!D2</f>
        <v>CIRSOP - Consórcio RSU Oeste Paulista</v>
      </c>
      <c r="R2" s="2275"/>
      <c r="S2" s="459"/>
      <c r="T2" s="1246" t="s">
        <v>486</v>
      </c>
      <c r="U2" s="2274" t="str">
        <f>'R-Definição'!D3</f>
        <v>Biodigestão c/ Prod. E. Elétrica</v>
      </c>
      <c r="V2" s="2275"/>
      <c r="W2" s="322"/>
      <c r="X2" s="322"/>
      <c r="Y2" s="322"/>
      <c r="Z2" s="322"/>
      <c r="AA2" s="322"/>
      <c r="AB2" s="322"/>
    </row>
    <row r="3" spans="1:28" ht="19.899999999999999" customHeight="1" x14ac:dyDescent="0.25">
      <c r="A3" s="428"/>
      <c r="B3" s="2283"/>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77" t="s">
        <v>691</v>
      </c>
      <c r="C9" s="1041"/>
      <c r="D9" s="2280" t="s">
        <v>702</v>
      </c>
      <c r="E9" s="2281"/>
      <c r="F9" s="2281"/>
      <c r="G9" s="2281"/>
      <c r="H9" s="2281"/>
      <c r="I9" s="2281"/>
      <c r="J9" s="2281"/>
      <c r="K9" s="2281"/>
      <c r="L9" s="2281"/>
      <c r="M9" s="2281"/>
      <c r="N9" s="2281"/>
      <c r="O9" s="2281"/>
      <c r="P9" s="2281"/>
      <c r="Q9" s="2281"/>
      <c r="R9" s="2281"/>
      <c r="S9" s="2281"/>
      <c r="T9" s="2281"/>
      <c r="U9" s="2281"/>
      <c r="V9" s="2282"/>
      <c r="W9" s="1239"/>
      <c r="X9" s="1239"/>
      <c r="Y9" s="1239"/>
      <c r="Z9" s="1239"/>
      <c r="AA9" s="1252"/>
      <c r="AB9" s="1025"/>
    </row>
    <row r="10" spans="1:28" ht="7.5" customHeight="1" x14ac:dyDescent="0.25">
      <c r="A10" s="428"/>
      <c r="B10" s="2278"/>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79"/>
      <c r="C11" s="1041"/>
      <c r="D11" s="1204">
        <v>0</v>
      </c>
      <c r="E11" s="1206" t="s">
        <v>21</v>
      </c>
      <c r="F11" s="1206">
        <v>150</v>
      </c>
      <c r="G11" s="1207"/>
      <c r="H11" s="1206">
        <f>F11</f>
        <v>150</v>
      </c>
      <c r="I11" s="1206" t="s">
        <v>21</v>
      </c>
      <c r="J11" s="1206">
        <v>300</v>
      </c>
      <c r="K11" s="1207"/>
      <c r="L11" s="1206">
        <f>J11</f>
        <v>300</v>
      </c>
      <c r="M11" s="1206" t="s">
        <v>21</v>
      </c>
      <c r="N11" s="1206">
        <v>1000</v>
      </c>
      <c r="O11" s="1207"/>
      <c r="P11" s="1206">
        <f>N11</f>
        <v>1000</v>
      </c>
      <c r="Q11" s="1206" t="s">
        <v>21</v>
      </c>
      <c r="R11" s="1206">
        <v>2500</v>
      </c>
      <c r="S11" s="1207"/>
      <c r="T11" s="1206">
        <f>R11</f>
        <v>2500</v>
      </c>
      <c r="U11" s="1206" t="s">
        <v>21</v>
      </c>
      <c r="V11" s="1208">
        <v>5000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1035</v>
      </c>
      <c r="N37" s="1162"/>
      <c r="O37" s="1139"/>
      <c r="P37" s="1219"/>
      <c r="Q37" s="350">
        <f>Q36*R11*0.9*(0.92/24)</f>
        <v>2587.5000000000005</v>
      </c>
      <c r="R37" s="1162"/>
      <c r="S37" s="1139"/>
      <c r="T37" s="1219"/>
      <c r="U37" s="350">
        <f>U36*V11*0.9*(0.92/24)</f>
        <v>5175.0000000000009</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3CL3GSZPQUY0kxesY5tOvNEnAFW68r6ePn3bwwARaiTbebygv5OG1msIf3w1SHL7pNaQ/ILBErcX/PJFhBbn8g==" saltValue="DhjI4G4AomGL1We82h8uW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83"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83"/>
      <c r="C2" s="466"/>
      <c r="D2" s="1039">
        <f>'R-Resumo Bal. Massa'!B39*(1+'R&amp;C-Painel de Controle'!H71)</f>
        <v>247.5078125</v>
      </c>
      <c r="E2" s="1040" t="s">
        <v>21</v>
      </c>
      <c r="F2"/>
      <c r="G2"/>
      <c r="H2" s="1245">
        <f>D2*313</f>
        <v>77469.9453125</v>
      </c>
      <c r="I2" s="1244" t="s">
        <v>298</v>
      </c>
      <c r="J2"/>
      <c r="K2"/>
      <c r="L2" s="1226" t="str">
        <f>IF(D2&gt;0,"Sim","Não")</f>
        <v>Sim</v>
      </c>
      <c r="M2" s="461"/>
      <c r="N2" s="461"/>
      <c r="O2" s="461"/>
      <c r="P2" s="1246" t="s">
        <v>485</v>
      </c>
      <c r="Q2" s="2274" t="str">
        <f>'R-Definição'!D2</f>
        <v>CIRSOP - Consórcio RSU Oeste Paulista</v>
      </c>
      <c r="R2" s="2275"/>
      <c r="S2" s="459"/>
      <c r="T2" s="1246" t="s">
        <v>486</v>
      </c>
      <c r="U2" s="2274" t="str">
        <f>'R-Definição'!D3</f>
        <v>Biodigestão c/ Prod. E. Elétrica</v>
      </c>
      <c r="V2" s="2275"/>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83"/>
      <c r="C3" s="457"/>
      <c r="D3" s="456"/>
      <c r="E3" s="456"/>
      <c r="F3" s="456"/>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f>(2.6*('R-Definição'!O111/'R-Definição'!E112))/(0.97*'R-Definição'!E114)</f>
        <v>0.67546391752577328</v>
      </c>
      <c r="E7" s="1194" t="str">
        <f>IF(AND(L2="Sim",$D$2&gt;D11,$D$2&lt;=F11),"SIM","NÃO")</f>
        <v>SIM</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77" t="s">
        <v>691</v>
      </c>
      <c r="C9" s="1041"/>
      <c r="D9" s="2280" t="s">
        <v>448</v>
      </c>
      <c r="E9" s="2281"/>
      <c r="F9" s="2281"/>
      <c r="G9" s="2281"/>
      <c r="H9" s="2281"/>
      <c r="I9" s="2281"/>
      <c r="J9" s="2281"/>
      <c r="K9" s="2281"/>
      <c r="L9" s="2281"/>
      <c r="M9" s="2281"/>
      <c r="N9" s="2281"/>
      <c r="O9" s="2281"/>
      <c r="P9" s="2281"/>
      <c r="Q9" s="2281"/>
      <c r="R9" s="2281"/>
      <c r="S9" s="2281"/>
      <c r="T9" s="2281"/>
      <c r="U9" s="2281"/>
      <c r="V9" s="2282"/>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78"/>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79"/>
      <c r="C11" s="1041"/>
      <c r="D11" s="1204">
        <v>0</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5000</v>
      </c>
      <c r="S11" s="1207"/>
      <c r="T11" s="1206">
        <f>R11</f>
        <v>5000</v>
      </c>
      <c r="U11" s="1206" t="s">
        <v>21</v>
      </c>
      <c r="V11" s="1208">
        <v>7500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f>
        <v>414.88222048393209</v>
      </c>
      <c r="E15" s="98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206.63398007893684</v>
      </c>
      <c r="F15" s="1057">
        <v>0.15</v>
      </c>
      <c r="G15" s="1009"/>
      <c r="H15" s="1215">
        <f>(IF('R&amp;C-Painel de Controle'!$C$58="Tecnologia Chinesa",525.884311407721*H$22, 525.884311407721))*F7</f>
        <v>381.26612577059774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f>
        <v>345.18388161848117</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f>
        <v>321.12701550499042</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f>
        <v>308.87701741503696</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50.702999528832109</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f>(IF(E$7="SIM",('R&amp;C-Painel de Controle'!$D$55+0.25)*D17/1000000,"-"))</f>
        <v>2.4E-2</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f>IF(E7="SIM",(E15+E16)*F18*1000/$H$2,"-")</f>
        <v>8.3044133621663643E-2</v>
      </c>
      <c r="E18" s="986">
        <f>(IF(E$7="SIM",$H$2*D18/1000,""))</f>
        <v>6.4334244901942244</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f>IF(E7="SIM",SUM(E15:E18)*(1+D19),"-")</f>
        <v>276.98412430286135</v>
      </c>
      <c r="F19" s="1243">
        <f>IF(E7="SIM",(E16)/E19,"-")</f>
        <v>0.18305381095918763</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f>IF(E7="SIM",E19*1000000/$H$2,"-")</f>
        <v>3575.375239850197</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15.6</v>
      </c>
      <c r="S20" s="895"/>
      <c r="T20" s="359"/>
      <c r="U20" s="319" t="str">
        <f>IF(U7="SIM",U19*1000000/$H$2,"-")</f>
        <v>-</v>
      </c>
      <c r="V20" s="321">
        <f>V17/V11</f>
        <v>13.44</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f>IF(E7="SIM",$D$2*313/(8000*E23),"-")</f>
        <v>0.48418715820312502</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f>IF(E7="SIM",'R&amp;C-Painel de Controle'!$D$58*(E15*F15+E16*F16)/4+(1-'R&amp;C-Painel de Controle'!$D$58)*(E15*F15*1.25+E16*F16)/4,"-")</f>
        <v>9.0605794942045446</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f>(IF(E$7="SIM",(E33)*2.4*12/$H$2,"-"))</f>
        <v>76.859141425863442</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f>IF(E$7="SIM",'R&amp;C-Painel de Controle'!$D$63+(E31*3/10+E32)*'R&amp;C-Painel de Controle'!$D$64+E31*E22*3*'R&amp;C-Painel de Controle'!$D$65,"-")</f>
        <v>206745.60704956055</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f>(IF(E$7="SIM",(E35*$H$2/1000*'R&amp;C-Painel de Controle'!$D$68+E36/1000*'R&amp;C-Painel de Controle'!$D$69*12)/$H$2,"-"))</f>
        <v>0</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95.085084595737584</v>
      </c>
      <c r="F35" s="836">
        <f>D35*(1+F34)</f>
        <v>4.0625000000000001E-2</v>
      </c>
      <c r="G35" s="897"/>
      <c r="H35" s="1622">
        <f>D35*95%</f>
        <v>3.0875E-2</v>
      </c>
      <c r="I35" s="319">
        <f>(1-'R&amp;C-Painel de Controle'!$D$58)*J35*'R-Definição'!$E$114+('R&amp;C-Painel de Controle'!$D$58)*H35*'R-Definição'!$E$114</f>
        <v>90.330830365950689</v>
      </c>
      <c r="J35" s="836">
        <f>H35*(1+J34)</f>
        <v>3.8593749999999996E-2</v>
      </c>
      <c r="K35" s="897"/>
      <c r="L35" s="1622">
        <f>H35*95%</f>
        <v>2.933125E-2</v>
      </c>
      <c r="M35" s="319">
        <f>(1-'R&amp;C-Painel de Controle'!$D$58)*N35*'R-Definição'!$E$114+('R&amp;C-Painel de Controle'!$D$58)*L35*'R-Definição'!$E$114</f>
        <v>85.81428884765316</v>
      </c>
      <c r="N35" s="836">
        <f>L35*(1+N34)</f>
        <v>3.6664062499999997E-2</v>
      </c>
      <c r="O35" s="897"/>
      <c r="P35" s="1622">
        <f>L35*95%</f>
        <v>2.7864687499999999E-2</v>
      </c>
      <c r="Q35" s="319">
        <f>(1-'R&amp;C-Painel de Controle'!$D$58)*R35*'R-Definição'!$E$114+('R&amp;C-Painel de Controle'!$D$58)*P35*'R-Definição'!$E$114</f>
        <v>81.523574405270494</v>
      </c>
      <c r="R35" s="836">
        <f>P35*(1+R34)</f>
        <v>3.4830859374999995E-2</v>
      </c>
      <c r="S35" s="897"/>
      <c r="T35" s="1622">
        <f>P35*95%</f>
        <v>2.6471453124999999E-2</v>
      </c>
      <c r="U35" s="319">
        <f>(1-'R&amp;C-Painel de Controle'!$D$58)*V35*'R-Definição'!$E$114+('R&amp;C-Painel de Controle'!$D$58)*T35*'R-Definição'!$E$114</f>
        <v>77.447395685006967</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3280.4354185529469</v>
      </c>
      <c r="F36" s="491"/>
      <c r="G36" s="896"/>
      <c r="H36" s="491"/>
      <c r="I36" s="319">
        <f>I35*J11*(0.9)*0.92/24</f>
        <v>6232.8272952505977</v>
      </c>
      <c r="J36" s="491"/>
      <c r="K36" s="896"/>
      <c r="L36" s="491"/>
      <c r="M36" s="319">
        <f>M35*N11*(0.9)*0.92/24</f>
        <v>8881.7788957321009</v>
      </c>
      <c r="N36" s="491"/>
      <c r="O36" s="896"/>
      <c r="P36" s="491"/>
      <c r="Q36" s="319">
        <f>Q35*R11*(0.9)*0.92/24</f>
        <v>14062.81658490916</v>
      </c>
      <c r="R36" s="491"/>
      <c r="S36" s="896"/>
      <c r="T36" s="491"/>
      <c r="U36" s="319">
        <f>U35*V11*(0.9)*0.92/24</f>
        <v>20039.513633495557</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f>(IF(E$7="SIM",(E15*1000000*E38+E39*12)/$H$2,"-"))</f>
        <v>108.48928090995668</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f>(IF(E$7="SIM",(E43+E41*E42*D41)*12/$H$2,"-"))</f>
        <v>80.547365495469862</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f>(IF(E$7="SIM",($H$2*E45*'R&amp;C-Painel de Controle'!$D75+$H$2*E46*'R&amp;C-Painel de Controle'!$D$76+$H$2*E47*'R&amp;C-Painel de Controle'!$D$77+$H$2*E48*'R&amp;C-Painel de Controle'!$D$79+$H$2*E49*'R&amp;C-Painel de Controle'!$D$78+'R-Resumo Bal. Massa'!$G$39*313*E50*'R&amp;C-Painel de Controle'!$D$90)/$H$2+2.5,"-"))</f>
        <v>39.643674624999996</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1115</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f>(IF(E$7="SIM",(1-'R&amp;C-Painel de Controle'!$D$58)*(E29+E34+E37+E40+E44)*(1+F51)+('R&amp;C-Painel de Controle'!$D$58)*(E29+E34+E37+E40+E44)*(1+D51),"-"))</f>
        <v>315.8514193141898</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f>(IF(E$7="SIM",E51*$H$2/1000000,"-"))</f>
        <v>24.46899218114579</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f>(IF(E$7="SIM",(((E29*$H$2/12)+(E36/1000*'R&amp;C-Painel de Controle'!$D$69*12)+(E39*12)+((E41*E42)+E43)*12))/1000000,"-"))</f>
        <v>10.714939456918945</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f>(IF(E$7="SIM",((E52-E53)*1000000)/$H$2,"-"))</f>
        <v>177.54049868946518</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fwHEJzDkaQzoNpo+tKPaOdKGcdVOkOPcSzqlLr1DmXHtAvRwhsxEBuA9wl13kFUs9D9UV1cV/WYs6uLWa4LYmg==" saltValue="+mLfOG00WjmSVQd+Pj5j3Q=="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83"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83"/>
      <c r="C2" s="466"/>
      <c r="D2" s="1039">
        <f>IF('R-Definição'!E121="Novo",('R-Resumo Bal. Massa'!B47+'R&amp;C-Painel de Controle'!D31)*(1+'R&amp;C-Painel de Controle'!H74),0)</f>
        <v>109.50156250000001</v>
      </c>
      <c r="E2" s="1040" t="s">
        <v>21</v>
      </c>
      <c r="H2" s="1245">
        <f>D2*313</f>
        <v>34273.989062500004</v>
      </c>
      <c r="I2" s="1244" t="s">
        <v>298</v>
      </c>
      <c r="L2" s="1226" t="str">
        <f>IF(D2&gt;0,"Sim","Não")</f>
        <v>Sim</v>
      </c>
      <c r="M2" s="461"/>
      <c r="N2" s="461"/>
      <c r="O2" s="461"/>
      <c r="P2" s="1246" t="s">
        <v>485</v>
      </c>
      <c r="Q2" s="2274" t="str">
        <f>'R-Definição'!D2</f>
        <v>CIRSOP - Consórcio RSU Oeste Paulista</v>
      </c>
      <c r="R2" s="2275"/>
      <c r="S2" s="459"/>
      <c r="T2" s="1246" t="s">
        <v>486</v>
      </c>
      <c r="U2" s="2274" t="str">
        <f>'R-Definição'!D3</f>
        <v>Biodigestão c/ Prod. E. Elétrica</v>
      </c>
      <c r="V2" s="2275"/>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83"/>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77" t="s">
        <v>691</v>
      </c>
      <c r="C9" s="1041"/>
      <c r="D9" s="2280" t="s">
        <v>451</v>
      </c>
      <c r="E9" s="2281"/>
      <c r="F9" s="2281"/>
      <c r="G9" s="2281"/>
      <c r="H9" s="2281"/>
      <c r="I9" s="2281"/>
      <c r="J9" s="2281"/>
      <c r="K9" s="2281"/>
      <c r="L9" s="2281"/>
      <c r="M9" s="2281"/>
      <c r="N9" s="2281"/>
      <c r="O9" s="2281"/>
      <c r="P9" s="2281"/>
      <c r="Q9" s="2281"/>
      <c r="R9" s="2281"/>
      <c r="S9" s="2281"/>
      <c r="T9" s="2281"/>
      <c r="U9" s="2281"/>
      <c r="V9" s="2282"/>
    </row>
    <row r="10" spans="1:61" ht="7.5" customHeight="1" x14ac:dyDescent="0.25">
      <c r="A10" s="422"/>
      <c r="B10" s="2278"/>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79"/>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3000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1.1039949703828127</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8.9718419351484364</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2.3878925301953124</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12.463729435726561</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363.64980490010794</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4.853498176316406</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10.886113062657682</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0.88651539622172304</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0.45079400000848086</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0.43572139621324218</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8.8249553897569478E-3</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8.8249553897569478E-3</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0.13178524179703127</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2.6051928106944403E-2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3.5154841993420179E-2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1.2629478515624999E-3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6.9315523845104199E-2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1.5418170028911444</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1.0742595431267388</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1.9192573620707486E-2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3.5222450195312498E-2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0.41314243594838573</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1.7299964472588838</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1.4912663027276338</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6.6850703906250017E-2</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0.17187944062500002</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137.97147858369144</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4.7288329479143938</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1.2654859292499632</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101.04884530215837</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yJ5IKlpXHCs68aYeyohJFI8z1HL2xVckd2NxrrqPR+r2GZ1K6RGGw1OyNVKXp3A43bUOjAvuNcslHei8wup5IQ==" saltValue="YdyJLnYQuq4dBQb2qIi4gw=="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2023-04-22T14:40:16Z</dcterms:modified>
</cp:coreProperties>
</file>