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ofdstad-my.sharepoint.com/personal/c_duran_amsterdam_nl/Documents/Bureaublad/"/>
    </mc:Choice>
  </mc:AlternateContent>
  <xr:revisionPtr revIDLastSave="4" documentId="8_{7629723A-8ECD-421B-BFE2-9226F03474AC}" xr6:coauthVersionLast="47" xr6:coauthVersionMax="47" xr10:uidLastSave="{A4DCCE53-2E0D-4AC0-B6FA-ABA6055359B7}"/>
  <bookViews>
    <workbookView xWindow="-110" yWindow="-110" windowWidth="19420" windowHeight="10420" activeTab="3" xr2:uid="{8EFFB1CB-8478-4943-837E-5155DEFB6B1B}"/>
  </bookViews>
  <sheets>
    <sheet name="Titel" sheetId="12" r:id="rId1"/>
    <sheet name="Overview 1" sheetId="9" r:id="rId2"/>
    <sheet name="Overview 2" sheetId="1" r:id="rId3"/>
    <sheet name="Basic Input" sheetId="2" r:id="rId4"/>
    <sheet name="Total collection  " sheetId="10" r:id="rId5"/>
    <sheet name="Total meter (2)" sheetId="11" r:id="rId6"/>
    <sheet name="acquisition year " sheetId="3" r:id="rId7"/>
    <sheet name="retention years" sheetId="5" r:id="rId8"/>
    <sheet name="digitization" sheetId="6" r:id="rId9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2" i="5" l="1"/>
  <c r="F129" i="6"/>
  <c r="F130" i="6"/>
  <c r="F131" i="6"/>
  <c r="F132" i="6"/>
  <c r="F128" i="6"/>
  <c r="F112" i="6"/>
  <c r="F113" i="6"/>
  <c r="F114" i="6"/>
  <c r="F115" i="6"/>
  <c r="F111" i="6"/>
  <c r="F97" i="6"/>
  <c r="F98" i="6"/>
  <c r="F99" i="6"/>
  <c r="F95" i="6"/>
  <c r="F81" i="6"/>
  <c r="F82" i="6"/>
  <c r="F83" i="6"/>
  <c r="F79" i="6"/>
  <c r="F64" i="6"/>
  <c r="F65" i="6"/>
  <c r="F66" i="6"/>
  <c r="F67" i="6"/>
  <c r="F63" i="6"/>
  <c r="F49" i="6"/>
  <c r="F50" i="6"/>
  <c r="F51" i="6"/>
  <c r="F29" i="6"/>
  <c r="F30" i="6"/>
  <c r="F31" i="6"/>
  <c r="F32" i="6"/>
  <c r="F33" i="6"/>
  <c r="F34" i="6"/>
  <c r="F8" i="6"/>
  <c r="F9" i="6"/>
  <c r="F10" i="6"/>
  <c r="F11" i="6"/>
  <c r="F13" i="6"/>
  <c r="F14" i="6"/>
  <c r="F7" i="6"/>
  <c r="F60" i="5"/>
  <c r="F61" i="5"/>
  <c r="F59" i="5"/>
  <c r="F49" i="5"/>
  <c r="F50" i="5"/>
  <c r="F51" i="5"/>
  <c r="F52" i="5"/>
  <c r="F53" i="5"/>
  <c r="F48" i="5"/>
  <c r="F34" i="5"/>
  <c r="F35" i="5"/>
  <c r="F32" i="5"/>
  <c r="F19" i="5"/>
  <c r="F20" i="5"/>
  <c r="C18" i="5"/>
  <c r="C17" i="5"/>
  <c r="C67" i="2" l="1"/>
  <c r="I9" i="2" l="1"/>
  <c r="J9" i="2" s="1"/>
  <c r="K9" i="2" s="1"/>
  <c r="L9" i="2" s="1"/>
  <c r="M9" i="2" s="1"/>
  <c r="N9" i="2" s="1"/>
  <c r="O9" i="2" s="1"/>
  <c r="P9" i="2" s="1"/>
  <c r="Q9" i="2" s="1"/>
  <c r="H9" i="2"/>
  <c r="J8" i="3"/>
  <c r="D51" i="5"/>
  <c r="C39" i="5" l="1"/>
  <c r="C39" i="2" l="1"/>
  <c r="D7" i="6" l="1"/>
  <c r="C76" i="5" l="1"/>
  <c r="I14" i="10" l="1"/>
  <c r="I15" i="10"/>
  <c r="I16" i="10"/>
  <c r="I9" i="10"/>
  <c r="I17" i="10"/>
  <c r="I12" i="10"/>
  <c r="I10" i="10"/>
  <c r="I8" i="10"/>
  <c r="I11" i="10"/>
  <c r="I13" i="10"/>
  <c r="C38" i="6"/>
  <c r="D34" i="6"/>
  <c r="C138" i="6" l="1"/>
  <c r="D150" i="6" s="1"/>
  <c r="C133" i="6"/>
  <c r="D132" i="6"/>
  <c r="D131" i="6"/>
  <c r="D130" i="6"/>
  <c r="D129" i="6"/>
  <c r="D128" i="6"/>
  <c r="C121" i="6"/>
  <c r="D151" i="6" s="1"/>
  <c r="C116" i="6"/>
  <c r="D115" i="6"/>
  <c r="D114" i="6"/>
  <c r="D113" i="6"/>
  <c r="D112" i="6"/>
  <c r="D111" i="6"/>
  <c r="C105" i="6"/>
  <c r="C100" i="6"/>
  <c r="D99" i="6"/>
  <c r="D98" i="6"/>
  <c r="D97" i="6"/>
  <c r="D96" i="6"/>
  <c r="F96" i="6" s="1"/>
  <c r="D95" i="6"/>
  <c r="C89" i="6"/>
  <c r="D149" i="6" s="1"/>
  <c r="C84" i="6"/>
  <c r="D83" i="6"/>
  <c r="D82" i="6"/>
  <c r="D81" i="6"/>
  <c r="D80" i="6"/>
  <c r="F80" i="6" s="1"/>
  <c r="D79" i="6"/>
  <c r="C73" i="6"/>
  <c r="D148" i="6" s="1"/>
  <c r="C68" i="6"/>
  <c r="D67" i="6"/>
  <c r="D66" i="6"/>
  <c r="D65" i="6"/>
  <c r="D64" i="6"/>
  <c r="D63" i="6"/>
  <c r="C57" i="6"/>
  <c r="D147" i="6" s="1"/>
  <c r="C52" i="6"/>
  <c r="D51" i="6"/>
  <c r="D50" i="6"/>
  <c r="D49" i="6"/>
  <c r="D48" i="6"/>
  <c r="F48" i="6" s="1"/>
  <c r="D47" i="6"/>
  <c r="F47" i="6" s="1"/>
  <c r="C35" i="6"/>
  <c r="D33" i="6"/>
  <c r="D32" i="6"/>
  <c r="D31" i="6"/>
  <c r="D30" i="6"/>
  <c r="D29" i="6"/>
  <c r="D28" i="6"/>
  <c r="F28" i="6" s="1"/>
  <c r="D27" i="6"/>
  <c r="F27" i="6" s="1"/>
  <c r="D152" i="6" l="1"/>
  <c r="D8" i="6"/>
  <c r="D9" i="6"/>
  <c r="D10" i="6"/>
  <c r="D11" i="6"/>
  <c r="D12" i="6"/>
  <c r="F12" i="6" s="1"/>
  <c r="D13" i="6"/>
  <c r="D14" i="6"/>
  <c r="C20" i="6"/>
  <c r="D145" i="6" s="1"/>
  <c r="C15" i="6"/>
  <c r="C49" i="5" l="1"/>
  <c r="D49" i="5" s="1"/>
  <c r="D61" i="5"/>
  <c r="D60" i="5"/>
  <c r="D59" i="5"/>
  <c r="D53" i="5"/>
  <c r="C41" i="5"/>
  <c r="D33" i="5"/>
  <c r="F33" i="5" s="1"/>
  <c r="D34" i="5"/>
  <c r="D35" i="5"/>
  <c r="D32" i="5"/>
  <c r="D18" i="5"/>
  <c r="F18" i="5" s="1"/>
  <c r="D19" i="5"/>
  <c r="D20" i="5"/>
  <c r="D17" i="5"/>
  <c r="F17" i="5" s="1"/>
  <c r="C36" i="5"/>
  <c r="C26" i="5"/>
  <c r="K18" i="5" s="1"/>
  <c r="C21" i="5"/>
  <c r="H11" i="2"/>
  <c r="C35" i="10" s="1"/>
  <c r="Q12" i="2"/>
  <c r="P12" i="2" l="1"/>
  <c r="M33" i="5"/>
  <c r="K33" i="5"/>
  <c r="Q33" i="5"/>
  <c r="R33" i="5"/>
  <c r="L33" i="5"/>
  <c r="N33" i="5"/>
  <c r="S33" i="5"/>
  <c r="O33" i="5"/>
  <c r="P33" i="5"/>
  <c r="T33" i="5"/>
  <c r="M12" i="2"/>
  <c r="N12" i="2"/>
  <c r="L12" i="2"/>
  <c r="J12" i="2"/>
  <c r="K12" i="2"/>
  <c r="H12" i="2"/>
  <c r="I12" i="2"/>
  <c r="O12" i="2"/>
  <c r="I11" i="2" l="1"/>
  <c r="C36" i="10" s="1"/>
  <c r="J11" i="2" l="1"/>
  <c r="C37" i="10" s="1"/>
  <c r="K11" i="2" l="1"/>
  <c r="C38" i="10" s="1"/>
  <c r="L11" i="2" l="1"/>
  <c r="C39" i="10" s="1"/>
  <c r="M11" i="2" l="1"/>
  <c r="C40" i="10" s="1"/>
  <c r="N11" i="2" l="1"/>
  <c r="C41" i="10" s="1"/>
  <c r="O11" i="2" l="1"/>
  <c r="C42" i="10" s="1"/>
  <c r="Q11" i="2" l="1"/>
  <c r="C44" i="10" s="1"/>
  <c r="P11" i="2"/>
  <c r="C43" i="10" s="1"/>
  <c r="J37" i="3" l="1"/>
  <c r="J38" i="3"/>
  <c r="K40" i="3"/>
  <c r="K38" i="3" l="1"/>
  <c r="K37" i="3"/>
  <c r="J41" i="3"/>
  <c r="C41" i="3"/>
  <c r="D40" i="3"/>
  <c r="D38" i="3"/>
  <c r="D37" i="3"/>
  <c r="J20" i="3"/>
  <c r="J21" i="3"/>
  <c r="J19" i="3"/>
  <c r="K22" i="3"/>
  <c r="D20" i="3"/>
  <c r="D21" i="3"/>
  <c r="D22" i="3"/>
  <c r="D9" i="3"/>
  <c r="D10" i="3"/>
  <c r="D8" i="3"/>
  <c r="K8" i="3"/>
  <c r="J7" i="3"/>
  <c r="K7" i="3" s="1"/>
  <c r="L8" i="3"/>
  <c r="L9" i="3"/>
  <c r="L10" i="3"/>
  <c r="L7" i="3"/>
  <c r="C26" i="3"/>
  <c r="C28" i="3" s="1"/>
  <c r="C23" i="3"/>
  <c r="D19" i="3"/>
  <c r="D7" i="3"/>
  <c r="C11" i="3"/>
  <c r="D48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95" i="2"/>
  <c r="C96" i="2"/>
  <c r="C97" i="2"/>
  <c r="F19" i="3" s="1"/>
  <c r="C98" i="2"/>
  <c r="C99" i="2"/>
  <c r="M37" i="3" s="1"/>
  <c r="C100" i="2"/>
  <c r="C101" i="2"/>
  <c r="M38" i="3" s="1"/>
  <c r="C102" i="2"/>
  <c r="F7" i="3" s="1"/>
  <c r="C103" i="2"/>
  <c r="C104" i="2"/>
  <c r="M40" i="3" s="1"/>
  <c r="C105" i="2"/>
  <c r="C106" i="2"/>
  <c r="F40" i="3" s="1"/>
  <c r="C107" i="2"/>
  <c r="C108" i="2"/>
  <c r="F39" i="3" s="1"/>
  <c r="C95" i="2"/>
  <c r="D56" i="2" l="1"/>
  <c r="C48" i="5" s="1"/>
  <c r="D48" i="5" s="1"/>
  <c r="D55" i="2"/>
  <c r="D49" i="3"/>
  <c r="D51" i="3" s="1"/>
  <c r="M8" i="5"/>
  <c r="K8" i="5"/>
  <c r="N8" i="5"/>
  <c r="R8" i="5"/>
  <c r="O8" i="5"/>
  <c r="P8" i="5"/>
  <c r="S8" i="5"/>
  <c r="L8" i="5"/>
  <c r="T8" i="5"/>
  <c r="Q8" i="5"/>
  <c r="F22" i="3"/>
  <c r="F10" i="3"/>
  <c r="F9" i="3"/>
  <c r="F8" i="3"/>
  <c r="M10" i="3"/>
  <c r="F20" i="3"/>
  <c r="M20" i="3"/>
  <c r="M41" i="3"/>
  <c r="F21" i="3"/>
  <c r="M9" i="3"/>
  <c r="F37" i="3"/>
  <c r="M22" i="3"/>
  <c r="M19" i="3"/>
  <c r="F38" i="3"/>
  <c r="M21" i="3"/>
  <c r="J26" i="3"/>
  <c r="J28" i="3" s="1"/>
  <c r="K49" i="3" s="1"/>
  <c r="K51" i="3" s="1"/>
  <c r="K21" i="3"/>
  <c r="K20" i="3"/>
  <c r="J23" i="3"/>
  <c r="K19" i="3"/>
  <c r="M8" i="3"/>
  <c r="M7" i="3"/>
  <c r="J11" i="3"/>
  <c r="J50" i="3" l="1"/>
  <c r="L50" i="3" s="1"/>
  <c r="C50" i="5"/>
  <c r="D50" i="5" s="1"/>
  <c r="C52" i="5"/>
  <c r="D52" i="5" s="1"/>
  <c r="F35" i="6"/>
  <c r="C146" i="6" s="1"/>
  <c r="F133" i="6"/>
  <c r="C152" i="6" s="1"/>
  <c r="F100" i="6"/>
  <c r="F116" i="6"/>
  <c r="C151" i="6" s="1"/>
  <c r="F15" i="6"/>
  <c r="C145" i="6" s="1"/>
  <c r="F68" i="6"/>
  <c r="C148" i="6" s="1"/>
  <c r="F84" i="6"/>
  <c r="C149" i="6" s="1"/>
  <c r="F52" i="6"/>
  <c r="C147" i="6" s="1"/>
  <c r="F62" i="5"/>
  <c r="F21" i="5"/>
  <c r="F36" i="5"/>
  <c r="K32" i="5" s="1"/>
  <c r="F11" i="3"/>
  <c r="F23" i="3"/>
  <c r="M23" i="3"/>
  <c r="F41" i="3"/>
  <c r="M11" i="3"/>
  <c r="P8" i="10" l="1"/>
  <c r="P9" i="10"/>
  <c r="P17" i="10"/>
  <c r="P11" i="10"/>
  <c r="P15" i="10"/>
  <c r="P10" i="10"/>
  <c r="P12" i="10"/>
  <c r="P16" i="10"/>
  <c r="P14" i="10"/>
  <c r="P13" i="10"/>
  <c r="N8" i="10"/>
  <c r="N12" i="10"/>
  <c r="N16" i="10"/>
  <c r="N13" i="10"/>
  <c r="N11" i="10"/>
  <c r="N9" i="10"/>
  <c r="N17" i="10"/>
  <c r="N14" i="10"/>
  <c r="N10" i="10"/>
  <c r="N15" i="10"/>
  <c r="M8" i="10"/>
  <c r="M16" i="10"/>
  <c r="M11" i="10"/>
  <c r="M14" i="10"/>
  <c r="M15" i="10"/>
  <c r="M9" i="10"/>
  <c r="M17" i="10"/>
  <c r="M12" i="10"/>
  <c r="M13" i="10"/>
  <c r="M10" i="10"/>
  <c r="L8" i="10"/>
  <c r="L10" i="10"/>
  <c r="L12" i="10"/>
  <c r="L14" i="10"/>
  <c r="L16" i="10"/>
  <c r="L9" i="10"/>
  <c r="L17" i="10"/>
  <c r="L13" i="10"/>
  <c r="L11" i="10"/>
  <c r="L15" i="10"/>
  <c r="J8" i="10"/>
  <c r="J16" i="10"/>
  <c r="J11" i="10"/>
  <c r="J13" i="10"/>
  <c r="J10" i="10"/>
  <c r="J12" i="10"/>
  <c r="J17" i="10"/>
  <c r="J14" i="10"/>
  <c r="J15" i="10"/>
  <c r="J9" i="10"/>
  <c r="L17" i="5"/>
  <c r="T17" i="5"/>
  <c r="N17" i="5"/>
  <c r="Q17" i="5"/>
  <c r="R17" i="5"/>
  <c r="M17" i="5"/>
  <c r="K17" i="5"/>
  <c r="K19" i="5" s="1"/>
  <c r="K22" i="5" s="1"/>
  <c r="O17" i="5"/>
  <c r="S17" i="5"/>
  <c r="P17" i="5"/>
  <c r="E10" i="11"/>
  <c r="E12" i="11"/>
  <c r="E13" i="11"/>
  <c r="E15" i="11"/>
  <c r="E9" i="11"/>
  <c r="E14" i="11"/>
  <c r="E8" i="11"/>
  <c r="E16" i="11"/>
  <c r="E17" i="11"/>
  <c r="E11" i="11"/>
  <c r="F16" i="11"/>
  <c r="F8" i="11"/>
  <c r="F17" i="11"/>
  <c r="F9" i="11"/>
  <c r="F13" i="11"/>
  <c r="F11" i="11"/>
  <c r="F12" i="11"/>
  <c r="F14" i="11"/>
  <c r="F15" i="11"/>
  <c r="F10" i="11"/>
  <c r="C48" i="3"/>
  <c r="E48" i="3" s="1"/>
  <c r="D8" i="11"/>
  <c r="C150" i="6"/>
  <c r="C153" i="6" s="1"/>
  <c r="F54" i="5"/>
  <c r="L48" i="5" s="1"/>
  <c r="J49" i="3"/>
  <c r="L49" i="3" s="1"/>
  <c r="J48" i="3"/>
  <c r="L48" i="3" s="1"/>
  <c r="D16" i="10"/>
  <c r="D9" i="10"/>
  <c r="D17" i="10"/>
  <c r="D10" i="10"/>
  <c r="D8" i="10"/>
  <c r="D11" i="10"/>
  <c r="D12" i="10"/>
  <c r="D13" i="10"/>
  <c r="D14" i="10"/>
  <c r="D15" i="10"/>
  <c r="C54" i="5"/>
  <c r="C50" i="3"/>
  <c r="E50" i="3" s="1"/>
  <c r="P49" i="5"/>
  <c r="S49" i="5"/>
  <c r="T49" i="5"/>
  <c r="M49" i="5"/>
  <c r="Q49" i="5"/>
  <c r="O49" i="5"/>
  <c r="R49" i="5"/>
  <c r="K49" i="5"/>
  <c r="N49" i="5"/>
  <c r="L49" i="5"/>
  <c r="M7" i="5"/>
  <c r="M9" i="5" s="1"/>
  <c r="M11" i="5" s="1"/>
  <c r="O7" i="5"/>
  <c r="O9" i="5" s="1"/>
  <c r="O11" i="5" s="1"/>
  <c r="L7" i="5"/>
  <c r="L9" i="5" s="1"/>
  <c r="L11" i="5" s="1"/>
  <c r="S7" i="5"/>
  <c r="S9" i="5" s="1"/>
  <c r="S11" i="5" s="1"/>
  <c r="N7" i="5"/>
  <c r="N9" i="5" s="1"/>
  <c r="N11" i="5" s="1"/>
  <c r="P7" i="5"/>
  <c r="P9" i="5" s="1"/>
  <c r="P11" i="5" s="1"/>
  <c r="T7" i="5"/>
  <c r="T9" i="5" s="1"/>
  <c r="T11" i="5" s="1"/>
  <c r="Q7" i="5"/>
  <c r="Q9" i="5" s="1"/>
  <c r="Q11" i="5" s="1"/>
  <c r="R7" i="5"/>
  <c r="R9" i="5" s="1"/>
  <c r="R11" i="5" s="1"/>
  <c r="K34" i="5"/>
  <c r="G8" i="10" s="1"/>
  <c r="L32" i="5"/>
  <c r="K48" i="5"/>
  <c r="C49" i="3"/>
  <c r="E49" i="3" s="1"/>
  <c r="K7" i="5"/>
  <c r="J51" i="3" l="1"/>
  <c r="L51" i="3" s="1"/>
  <c r="E15" i="10"/>
  <c r="E11" i="10"/>
  <c r="E16" i="10"/>
  <c r="E12" i="10"/>
  <c r="E13" i="10"/>
  <c r="E9" i="10"/>
  <c r="E14" i="10"/>
  <c r="E17" i="10"/>
  <c r="G15" i="10"/>
  <c r="G16" i="10"/>
  <c r="G17" i="10"/>
  <c r="G9" i="10"/>
  <c r="G11" i="10"/>
  <c r="G10" i="10"/>
  <c r="G14" i="10"/>
  <c r="G12" i="10"/>
  <c r="G13" i="10"/>
  <c r="F8" i="10"/>
  <c r="E10" i="10"/>
  <c r="C51" i="3"/>
  <c r="E51" i="3" s="1"/>
  <c r="K37" i="5"/>
  <c r="G8" i="11" s="1"/>
  <c r="M48" i="5"/>
  <c r="M56" i="5" s="1"/>
  <c r="H10" i="11" s="1"/>
  <c r="L50" i="5"/>
  <c r="K56" i="5"/>
  <c r="H8" i="11" s="1"/>
  <c r="U8" i="11" s="1"/>
  <c r="K50" i="5"/>
  <c r="K9" i="5"/>
  <c r="K11" i="5" s="1"/>
  <c r="L56" i="5"/>
  <c r="H9" i="11" s="1"/>
  <c r="M32" i="5"/>
  <c r="L34" i="5"/>
  <c r="U9" i="11" l="1"/>
  <c r="U10" i="11" s="1"/>
  <c r="R8" i="11"/>
  <c r="E8" i="10"/>
  <c r="H15" i="10"/>
  <c r="H16" i="10"/>
  <c r="H9" i="10"/>
  <c r="H17" i="10"/>
  <c r="H14" i="10"/>
  <c r="H10" i="10"/>
  <c r="H8" i="10"/>
  <c r="V8" i="10" s="1"/>
  <c r="H11" i="10"/>
  <c r="H13" i="10"/>
  <c r="H12" i="10"/>
  <c r="L37" i="5"/>
  <c r="G9" i="11" s="1"/>
  <c r="R9" i="11" s="1"/>
  <c r="N48" i="5"/>
  <c r="M50" i="5"/>
  <c r="N32" i="5"/>
  <c r="M34" i="5"/>
  <c r="L19" i="5"/>
  <c r="F9" i="10" l="1"/>
  <c r="S9" i="10" s="1"/>
  <c r="L22" i="5"/>
  <c r="V9" i="10"/>
  <c r="V10" i="10" s="1"/>
  <c r="V11" i="10" s="1"/>
  <c r="V12" i="10" s="1"/>
  <c r="V13" i="10" s="1"/>
  <c r="V14" i="10" s="1"/>
  <c r="V15" i="10" s="1"/>
  <c r="V16" i="10" s="1"/>
  <c r="V17" i="10" s="1"/>
  <c r="S8" i="10"/>
  <c r="M37" i="5"/>
  <c r="G10" i="11" s="1"/>
  <c r="R10" i="11" s="1"/>
  <c r="N50" i="5"/>
  <c r="O48" i="5"/>
  <c r="N56" i="5"/>
  <c r="H11" i="11" s="1"/>
  <c r="U11" i="11" s="1"/>
  <c r="O32" i="5"/>
  <c r="N34" i="5"/>
  <c r="M19" i="5"/>
  <c r="F10" i="10" l="1"/>
  <c r="S10" i="10" s="1"/>
  <c r="M22" i="5"/>
  <c r="N37" i="5"/>
  <c r="G11" i="11" s="1"/>
  <c r="R11" i="11" s="1"/>
  <c r="O50" i="5"/>
  <c r="P48" i="5"/>
  <c r="O56" i="5"/>
  <c r="H12" i="11" s="1"/>
  <c r="U12" i="11" s="1"/>
  <c r="N19" i="5"/>
  <c r="P32" i="5"/>
  <c r="O34" i="5"/>
  <c r="F11" i="10" l="1"/>
  <c r="S11" i="10" s="1"/>
  <c r="N22" i="5"/>
  <c r="O37" i="5"/>
  <c r="G12" i="11" s="1"/>
  <c r="R12" i="11" s="1"/>
  <c r="P50" i="5"/>
  <c r="Q48" i="5"/>
  <c r="P56" i="5"/>
  <c r="H13" i="11" s="1"/>
  <c r="U13" i="11" s="1"/>
  <c r="Q32" i="5"/>
  <c r="P34" i="5"/>
  <c r="O19" i="5"/>
  <c r="F12" i="10" l="1"/>
  <c r="S12" i="10" s="1"/>
  <c r="O22" i="5"/>
  <c r="P37" i="5"/>
  <c r="G13" i="11" s="1"/>
  <c r="R13" i="11" s="1"/>
  <c r="Q50" i="5"/>
  <c r="R48" i="5"/>
  <c r="Q56" i="5"/>
  <c r="H14" i="11" s="1"/>
  <c r="U14" i="11" s="1"/>
  <c r="P19" i="5"/>
  <c r="R32" i="5"/>
  <c r="Q34" i="5"/>
  <c r="F13" i="10" l="1"/>
  <c r="S13" i="10" s="1"/>
  <c r="P22" i="5"/>
  <c r="Q37" i="5"/>
  <c r="G14" i="11" s="1"/>
  <c r="R14" i="11" s="1"/>
  <c r="R50" i="5"/>
  <c r="R56" i="5"/>
  <c r="H15" i="11" s="1"/>
  <c r="U15" i="11" s="1"/>
  <c r="S48" i="5"/>
  <c r="Q19" i="5"/>
  <c r="S32" i="5"/>
  <c r="R34" i="5"/>
  <c r="F14" i="10" l="1"/>
  <c r="S14" i="10" s="1"/>
  <c r="Q22" i="5"/>
  <c r="R37" i="5"/>
  <c r="G15" i="11" s="1"/>
  <c r="R15" i="11" s="1"/>
  <c r="S50" i="5"/>
  <c r="S56" i="5"/>
  <c r="H16" i="11" s="1"/>
  <c r="U16" i="11" s="1"/>
  <c r="T48" i="5"/>
  <c r="R19" i="5"/>
  <c r="T32" i="5"/>
  <c r="T34" i="5" s="1"/>
  <c r="S34" i="5"/>
  <c r="F15" i="10" l="1"/>
  <c r="S15" i="10" s="1"/>
  <c r="R22" i="5"/>
  <c r="T37" i="5"/>
  <c r="G17" i="11" s="1"/>
  <c r="S37" i="5"/>
  <c r="G16" i="11" s="1"/>
  <c r="R16" i="11" s="1"/>
  <c r="T56" i="5"/>
  <c r="H17" i="11" s="1"/>
  <c r="U17" i="11" s="1"/>
  <c r="T50" i="5"/>
  <c r="T19" i="5"/>
  <c r="S19" i="5"/>
  <c r="F17" i="10" l="1"/>
  <c r="S17" i="10" s="1"/>
  <c r="T22" i="5"/>
  <c r="F16" i="10"/>
  <c r="S16" i="10" s="1"/>
  <c r="S22" i="5"/>
  <c r="R17" i="11"/>
  <c r="H64" i="2" l="1"/>
  <c r="H65" i="2" s="1"/>
  <c r="I150" i="6"/>
  <c r="C39" i="6"/>
  <c r="C41" i="6" s="1"/>
  <c r="D146" i="6" s="1"/>
  <c r="K11" i="10" l="1"/>
  <c r="K12" i="10"/>
  <c r="K8" i="10"/>
  <c r="K15" i="10"/>
  <c r="K10" i="10"/>
  <c r="K13" i="10"/>
  <c r="K17" i="10"/>
  <c r="K9" i="10"/>
  <c r="K14" i="10"/>
  <c r="K16" i="10"/>
  <c r="J151" i="6"/>
  <c r="J149" i="6"/>
  <c r="I151" i="6"/>
  <c r="N151" i="6" s="1"/>
  <c r="I149" i="6"/>
  <c r="C68" i="2"/>
  <c r="J148" i="6"/>
  <c r="I64" i="2"/>
  <c r="J64" i="2" s="1"/>
  <c r="K103" i="6" s="1"/>
  <c r="J145" i="6"/>
  <c r="I146" i="6"/>
  <c r="I152" i="6"/>
  <c r="I145" i="6"/>
  <c r="I136" i="6"/>
  <c r="I137" i="6"/>
  <c r="I138" i="6" s="1"/>
  <c r="I104" i="6"/>
  <c r="I105" i="6" s="1"/>
  <c r="J146" i="6"/>
  <c r="D153" i="6"/>
  <c r="I148" i="6"/>
  <c r="J147" i="6"/>
  <c r="H66" i="2"/>
  <c r="I147" i="6"/>
  <c r="I103" i="6"/>
  <c r="K8" i="11" l="1"/>
  <c r="M8" i="11"/>
  <c r="I8" i="11"/>
  <c r="O8" i="10"/>
  <c r="J150" i="6"/>
  <c r="N8" i="11" s="1"/>
  <c r="Q8" i="10"/>
  <c r="J152" i="6"/>
  <c r="P8" i="11" s="1"/>
  <c r="L8" i="11"/>
  <c r="J8" i="11"/>
  <c r="N153" i="6"/>
  <c r="D36" i="10"/>
  <c r="D44" i="10"/>
  <c r="D37" i="10"/>
  <c r="D35" i="10"/>
  <c r="D38" i="10"/>
  <c r="D39" i="10"/>
  <c r="D41" i="10"/>
  <c r="D40" i="10"/>
  <c r="D43" i="10"/>
  <c r="D42" i="10"/>
  <c r="C69" i="2"/>
  <c r="J65" i="2"/>
  <c r="K137" i="6" s="1"/>
  <c r="K138" i="6" s="1"/>
  <c r="Q10" i="10" s="1"/>
  <c r="K64" i="2"/>
  <c r="L64" i="2" s="1"/>
  <c r="I65" i="2"/>
  <c r="J137" i="6" s="1"/>
  <c r="J138" i="6" s="1"/>
  <c r="Q9" i="10" s="1"/>
  <c r="J103" i="6"/>
  <c r="K136" i="6"/>
  <c r="I66" i="2"/>
  <c r="J66" i="2"/>
  <c r="J136" i="6"/>
  <c r="I153" i="6"/>
  <c r="O150" i="6"/>
  <c r="N15" i="11" s="1"/>
  <c r="E150" i="6"/>
  <c r="E152" i="6"/>
  <c r="O152" i="6"/>
  <c r="N11" i="11" l="1"/>
  <c r="N9" i="11"/>
  <c r="N12" i="11"/>
  <c r="N14" i="11"/>
  <c r="N13" i="11"/>
  <c r="N17" i="11"/>
  <c r="N10" i="11"/>
  <c r="N16" i="11"/>
  <c r="J104" i="6"/>
  <c r="J105" i="6" s="1"/>
  <c r="O9" i="10" s="1"/>
  <c r="P11" i="11"/>
  <c r="P16" i="11"/>
  <c r="P12" i="11"/>
  <c r="P13" i="11"/>
  <c r="P14" i="11"/>
  <c r="P15" i="11"/>
  <c r="P17" i="11"/>
  <c r="P10" i="11"/>
  <c r="P9" i="11"/>
  <c r="S8" i="11"/>
  <c r="C8" i="11"/>
  <c r="P22" i="11" s="1"/>
  <c r="L136" i="6"/>
  <c r="K66" i="2"/>
  <c r="K104" i="6"/>
  <c r="K105" i="6" s="1"/>
  <c r="L103" i="6"/>
  <c r="K65" i="2"/>
  <c r="L137" i="6" s="1"/>
  <c r="L138" i="6" s="1"/>
  <c r="Q11" i="10" s="1"/>
  <c r="L66" i="2"/>
  <c r="M136" i="6"/>
  <c r="M64" i="2"/>
  <c r="L65" i="2"/>
  <c r="M103" i="6"/>
  <c r="E153" i="6"/>
  <c r="F153" i="6" s="1"/>
  <c r="C8" i="10"/>
  <c r="J153" i="6"/>
  <c r="K153" i="6" s="1"/>
  <c r="T8" i="10"/>
  <c r="W8" i="10" s="1"/>
  <c r="V8" i="11" l="1"/>
  <c r="S22" i="11"/>
  <c r="D22" i="11"/>
  <c r="J22" i="11"/>
  <c r="N22" i="11"/>
  <c r="L22" i="11"/>
  <c r="K22" i="11"/>
  <c r="G22" i="11"/>
  <c r="H22" i="11"/>
  <c r="O22" i="11"/>
  <c r="M22" i="11"/>
  <c r="I22" i="11"/>
  <c r="F22" i="11"/>
  <c r="R22" i="11"/>
  <c r="E22" i="11"/>
  <c r="O10" i="10"/>
  <c r="C10" i="10" s="1"/>
  <c r="L104" i="6"/>
  <c r="L105" i="6" s="1"/>
  <c r="O11" i="10" s="1"/>
  <c r="C11" i="10" s="1"/>
  <c r="T22" i="10"/>
  <c r="G22" i="10"/>
  <c r="M22" i="10"/>
  <c r="H22" i="10"/>
  <c r="P22" i="10"/>
  <c r="F22" i="10"/>
  <c r="I22" i="10"/>
  <c r="E22" i="10"/>
  <c r="N22" i="10"/>
  <c r="J22" i="10"/>
  <c r="S22" i="10"/>
  <c r="D22" i="10"/>
  <c r="L22" i="10"/>
  <c r="K22" i="10"/>
  <c r="C9" i="10"/>
  <c r="T9" i="10"/>
  <c r="W9" i="10" s="1"/>
  <c r="M104" i="6"/>
  <c r="M105" i="6" s="1"/>
  <c r="O12" i="10" s="1"/>
  <c r="M137" i="6"/>
  <c r="M138" i="6" s="1"/>
  <c r="Q12" i="10" s="1"/>
  <c r="N136" i="6"/>
  <c r="N64" i="2"/>
  <c r="M65" i="2"/>
  <c r="N103" i="6"/>
  <c r="M66" i="2"/>
  <c r="O151" i="6" s="1"/>
  <c r="Q22" i="10"/>
  <c r="O22" i="10"/>
  <c r="O9" i="11" l="1"/>
  <c r="O11" i="11"/>
  <c r="O12" i="11"/>
  <c r="O16" i="11"/>
  <c r="O15" i="11"/>
  <c r="O10" i="11"/>
  <c r="O13" i="11"/>
  <c r="O17" i="11"/>
  <c r="O14" i="11"/>
  <c r="T11" i="10"/>
  <c r="T25" i="10" s="1"/>
  <c r="C22" i="11"/>
  <c r="Q24" i="10"/>
  <c r="J24" i="10"/>
  <c r="S24" i="10"/>
  <c r="G24" i="10"/>
  <c r="T10" i="10"/>
  <c r="T24" i="10" s="1"/>
  <c r="C22" i="10"/>
  <c r="I24" i="10"/>
  <c r="E24" i="10"/>
  <c r="M24" i="10"/>
  <c r="K24" i="10"/>
  <c r="F24" i="10"/>
  <c r="L24" i="10"/>
  <c r="D24" i="10"/>
  <c r="P24" i="10"/>
  <c r="N24" i="10"/>
  <c r="H24" i="10"/>
  <c r="O24" i="10"/>
  <c r="N66" i="2"/>
  <c r="O136" i="6"/>
  <c r="O64" i="2"/>
  <c r="N65" i="2"/>
  <c r="O103" i="6"/>
  <c r="G23" i="10"/>
  <c r="H23" i="10"/>
  <c r="P23" i="10"/>
  <c r="I23" i="10"/>
  <c r="N23" i="10"/>
  <c r="J23" i="10"/>
  <c r="S23" i="10"/>
  <c r="F23" i="10"/>
  <c r="E23" i="10"/>
  <c r="D23" i="10"/>
  <c r="L23" i="10"/>
  <c r="M23" i="10"/>
  <c r="K23" i="10"/>
  <c r="Q23" i="10"/>
  <c r="O23" i="10"/>
  <c r="C12" i="10"/>
  <c r="T12" i="10"/>
  <c r="G25" i="10"/>
  <c r="H25" i="10"/>
  <c r="P25" i="10"/>
  <c r="I25" i="10"/>
  <c r="F25" i="10"/>
  <c r="J25" i="10"/>
  <c r="S25" i="10"/>
  <c r="E25" i="10"/>
  <c r="D25" i="10"/>
  <c r="L25" i="10"/>
  <c r="M25" i="10"/>
  <c r="N25" i="10"/>
  <c r="K25" i="10"/>
  <c r="O25" i="10"/>
  <c r="Q25" i="10"/>
  <c r="N104" i="6"/>
  <c r="N105" i="6" s="1"/>
  <c r="O13" i="10" s="1"/>
  <c r="N137" i="6"/>
  <c r="N138" i="6" s="1"/>
  <c r="Q13" i="10" s="1"/>
  <c r="T23" i="10"/>
  <c r="S17" i="11" l="1"/>
  <c r="C17" i="11"/>
  <c r="S13" i="11"/>
  <c r="C13" i="11"/>
  <c r="O27" i="11" s="1"/>
  <c r="C10" i="11"/>
  <c r="S10" i="11"/>
  <c r="S15" i="11"/>
  <c r="C15" i="11"/>
  <c r="S16" i="11"/>
  <c r="C16" i="11"/>
  <c r="C12" i="11"/>
  <c r="O26" i="11" s="1"/>
  <c r="S12" i="11"/>
  <c r="C11" i="11"/>
  <c r="S11" i="11"/>
  <c r="C14" i="11"/>
  <c r="S14" i="11"/>
  <c r="S9" i="11"/>
  <c r="C9" i="11"/>
  <c r="W10" i="10"/>
  <c r="W11" i="10" s="1"/>
  <c r="W12" i="10" s="1"/>
  <c r="C24" i="10"/>
  <c r="C23" i="10"/>
  <c r="C25" i="10"/>
  <c r="G26" i="10"/>
  <c r="H26" i="10"/>
  <c r="P26" i="10"/>
  <c r="E26" i="10"/>
  <c r="I26" i="10"/>
  <c r="M26" i="10"/>
  <c r="N26" i="10"/>
  <c r="J26" i="10"/>
  <c r="S26" i="10"/>
  <c r="F26" i="10"/>
  <c r="D26" i="10"/>
  <c r="L26" i="10"/>
  <c r="K26" i="10"/>
  <c r="O26" i="10"/>
  <c r="Q26" i="10"/>
  <c r="O104" i="6"/>
  <c r="O105" i="6" s="1"/>
  <c r="O14" i="10" s="1"/>
  <c r="O137" i="6"/>
  <c r="O138" i="6" s="1"/>
  <c r="Q14" i="10" s="1"/>
  <c r="P64" i="2"/>
  <c r="O66" i="2"/>
  <c r="O65" i="2"/>
  <c r="P136" i="6"/>
  <c r="P103" i="6"/>
  <c r="O153" i="6"/>
  <c r="P153" i="6" s="1"/>
  <c r="T26" i="10"/>
  <c r="S25" i="11" l="1"/>
  <c r="S24" i="11"/>
  <c r="S31" i="11"/>
  <c r="S26" i="11"/>
  <c r="S29" i="11"/>
  <c r="P29" i="11"/>
  <c r="R29" i="11"/>
  <c r="M29" i="11"/>
  <c r="G29" i="11"/>
  <c r="J29" i="11"/>
  <c r="K29" i="11"/>
  <c r="F29" i="11"/>
  <c r="N29" i="11"/>
  <c r="I29" i="11"/>
  <c r="H29" i="11"/>
  <c r="E29" i="11"/>
  <c r="O29" i="11"/>
  <c r="D29" i="11"/>
  <c r="L29" i="11"/>
  <c r="P25" i="11"/>
  <c r="M25" i="11"/>
  <c r="R25" i="11"/>
  <c r="H25" i="11"/>
  <c r="E25" i="11"/>
  <c r="G25" i="11"/>
  <c r="K25" i="11"/>
  <c r="O25" i="11"/>
  <c r="L25" i="11"/>
  <c r="N25" i="11"/>
  <c r="D25" i="11"/>
  <c r="J25" i="11"/>
  <c r="I25" i="11"/>
  <c r="F25" i="11"/>
  <c r="P24" i="11"/>
  <c r="J24" i="11"/>
  <c r="N24" i="11"/>
  <c r="F24" i="11"/>
  <c r="G24" i="11"/>
  <c r="E24" i="11"/>
  <c r="R24" i="11"/>
  <c r="D24" i="11"/>
  <c r="K24" i="11"/>
  <c r="I24" i="11"/>
  <c r="M24" i="11"/>
  <c r="H24" i="11"/>
  <c r="O24" i="11"/>
  <c r="L24" i="11"/>
  <c r="J26" i="11"/>
  <c r="I26" i="11"/>
  <c r="D26" i="11"/>
  <c r="N26" i="11"/>
  <c r="E26" i="11"/>
  <c r="L26" i="11"/>
  <c r="H26" i="11"/>
  <c r="K26" i="11"/>
  <c r="P26" i="11"/>
  <c r="G26" i="11"/>
  <c r="R26" i="11"/>
  <c r="F26" i="11"/>
  <c r="M26" i="11"/>
  <c r="N27" i="11"/>
  <c r="L27" i="11"/>
  <c r="P27" i="11"/>
  <c r="G27" i="11"/>
  <c r="R27" i="11"/>
  <c r="J27" i="11"/>
  <c r="I27" i="11"/>
  <c r="M27" i="11"/>
  <c r="K27" i="11"/>
  <c r="D27" i="11"/>
  <c r="E27" i="11"/>
  <c r="H27" i="11"/>
  <c r="F27" i="11"/>
  <c r="P23" i="11"/>
  <c r="G23" i="11"/>
  <c r="N23" i="11"/>
  <c r="M23" i="11"/>
  <c r="F23" i="11"/>
  <c r="J23" i="11"/>
  <c r="D23" i="11"/>
  <c r="L23" i="11"/>
  <c r="K23" i="11"/>
  <c r="O23" i="11"/>
  <c r="I23" i="11"/>
  <c r="H23" i="11"/>
  <c r="E23" i="11"/>
  <c r="R23" i="11"/>
  <c r="S27" i="11"/>
  <c r="E28" i="11"/>
  <c r="J28" i="11"/>
  <c r="P28" i="11"/>
  <c r="O28" i="11"/>
  <c r="K28" i="11"/>
  <c r="L28" i="11"/>
  <c r="H28" i="11"/>
  <c r="N28" i="11"/>
  <c r="G28" i="11"/>
  <c r="M28" i="11"/>
  <c r="I28" i="11"/>
  <c r="F28" i="11"/>
  <c r="D28" i="11"/>
  <c r="R28" i="11"/>
  <c r="V9" i="11"/>
  <c r="V10" i="11" s="1"/>
  <c r="V11" i="11" s="1"/>
  <c r="V12" i="11" s="1"/>
  <c r="V13" i="11" s="1"/>
  <c r="V14" i="11" s="1"/>
  <c r="V15" i="11" s="1"/>
  <c r="V16" i="11" s="1"/>
  <c r="V17" i="11" s="1"/>
  <c r="S23" i="11"/>
  <c r="P30" i="11"/>
  <c r="M30" i="11"/>
  <c r="F30" i="11"/>
  <c r="O30" i="11"/>
  <c r="G30" i="11"/>
  <c r="J30" i="11"/>
  <c r="D30" i="11"/>
  <c r="E30" i="11"/>
  <c r="R30" i="11"/>
  <c r="H30" i="11"/>
  <c r="N30" i="11"/>
  <c r="L30" i="11"/>
  <c r="K30" i="11"/>
  <c r="I30" i="11"/>
  <c r="S28" i="11"/>
  <c r="S30" i="11"/>
  <c r="P31" i="11"/>
  <c r="I31" i="11"/>
  <c r="M31" i="11"/>
  <c r="J31" i="11"/>
  <c r="H31" i="11"/>
  <c r="N31" i="11"/>
  <c r="O31" i="11"/>
  <c r="R31" i="11"/>
  <c r="D31" i="11"/>
  <c r="E31" i="11"/>
  <c r="F31" i="11"/>
  <c r="L31" i="11"/>
  <c r="K31" i="11"/>
  <c r="G31" i="11"/>
  <c r="C26" i="10"/>
  <c r="T13" i="10"/>
  <c r="W13" i="10" s="1"/>
  <c r="C13" i="10"/>
  <c r="O27" i="10" s="1"/>
  <c r="C14" i="10"/>
  <c r="O28" i="10" s="1"/>
  <c r="P104" i="6"/>
  <c r="P105" i="6" s="1"/>
  <c r="O15" i="10" s="1"/>
  <c r="P137" i="6"/>
  <c r="P138" i="6" s="1"/>
  <c r="Q15" i="10" s="1"/>
  <c r="P65" i="2"/>
  <c r="Q103" i="6"/>
  <c r="Q64" i="2"/>
  <c r="Q136" i="6"/>
  <c r="P66" i="2"/>
  <c r="C26" i="11" l="1"/>
  <c r="C29" i="11"/>
  <c r="C31" i="11"/>
  <c r="C24" i="11"/>
  <c r="C23" i="11"/>
  <c r="C25" i="11"/>
  <c r="C30" i="11"/>
  <c r="C27" i="11"/>
  <c r="C28" i="11"/>
  <c r="Q28" i="10"/>
  <c r="Q27" i="10"/>
  <c r="G28" i="10"/>
  <c r="H28" i="10"/>
  <c r="P28" i="10"/>
  <c r="E28" i="10"/>
  <c r="I28" i="10"/>
  <c r="L28" i="10"/>
  <c r="N28" i="10"/>
  <c r="J28" i="10"/>
  <c r="S28" i="10"/>
  <c r="D28" i="10"/>
  <c r="M28" i="10"/>
  <c r="F28" i="10"/>
  <c r="K28" i="10"/>
  <c r="Q65" i="2"/>
  <c r="R103" i="6"/>
  <c r="R136" i="6"/>
  <c r="Q66" i="2"/>
  <c r="G27" i="10"/>
  <c r="H27" i="10"/>
  <c r="P27" i="10"/>
  <c r="F27" i="10"/>
  <c r="I27" i="10"/>
  <c r="J27" i="10"/>
  <c r="S27" i="10"/>
  <c r="L27" i="10"/>
  <c r="E27" i="10"/>
  <c r="M27" i="10"/>
  <c r="N27" i="10"/>
  <c r="D27" i="10"/>
  <c r="K27" i="10"/>
  <c r="T27" i="10"/>
  <c r="Q137" i="6"/>
  <c r="Q138" i="6" s="1"/>
  <c r="Q16" i="10" s="1"/>
  <c r="Q104" i="6"/>
  <c r="Q105" i="6" s="1"/>
  <c r="O16" i="10" s="1"/>
  <c r="T14" i="10"/>
  <c r="T28" i="10" s="1"/>
  <c r="W14" i="10" l="1"/>
  <c r="C27" i="10"/>
  <c r="C28" i="10"/>
  <c r="R137" i="6"/>
  <c r="R138" i="6" s="1"/>
  <c r="Q17" i="10" s="1"/>
  <c r="R104" i="6"/>
  <c r="R105" i="6" s="1"/>
  <c r="O17" i="10" s="1"/>
  <c r="C16" i="10"/>
  <c r="C15" i="10"/>
  <c r="T15" i="10"/>
  <c r="T29" i="10" l="1"/>
  <c r="W15" i="10"/>
  <c r="Q30" i="10"/>
  <c r="C17" i="10"/>
  <c r="O31" i="10" s="1"/>
  <c r="G30" i="10"/>
  <c r="H30" i="10"/>
  <c r="P30" i="10"/>
  <c r="M30" i="10"/>
  <c r="I30" i="10"/>
  <c r="L30" i="10"/>
  <c r="N30" i="10"/>
  <c r="J30" i="10"/>
  <c r="S30" i="10"/>
  <c r="E30" i="10"/>
  <c r="D30" i="10"/>
  <c r="F30" i="10"/>
  <c r="K30" i="10"/>
  <c r="O30" i="10"/>
  <c r="G29" i="10"/>
  <c r="D29" i="10"/>
  <c r="E29" i="10"/>
  <c r="H29" i="10"/>
  <c r="P29" i="10"/>
  <c r="L29" i="10"/>
  <c r="N29" i="10"/>
  <c r="I29" i="10"/>
  <c r="M29" i="10"/>
  <c r="J29" i="10"/>
  <c r="S29" i="10"/>
  <c r="F29" i="10"/>
  <c r="K29" i="10"/>
  <c r="O29" i="10"/>
  <c r="Q29" i="10"/>
  <c r="T16" i="10"/>
  <c r="T30" i="10" s="1"/>
  <c r="W16" i="10" l="1"/>
  <c r="C29" i="10"/>
  <c r="C30" i="10"/>
  <c r="Q31" i="10"/>
  <c r="G31" i="10"/>
  <c r="H31" i="10"/>
  <c r="P31" i="10"/>
  <c r="I31" i="10"/>
  <c r="N31" i="10"/>
  <c r="M31" i="10"/>
  <c r="J31" i="10"/>
  <c r="S31" i="10"/>
  <c r="D31" i="10"/>
  <c r="F31" i="10"/>
  <c r="L31" i="10"/>
  <c r="E31" i="10"/>
  <c r="K31" i="10"/>
  <c r="T17" i="10"/>
  <c r="T31" i="10" s="1"/>
  <c r="W17" i="10" l="1"/>
  <c r="C3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</author>
  </authors>
  <commentList>
    <comment ref="B108" authorId="0" shapeId="0" xr:uid="{FFF750A4-C97E-403F-8EC0-47EC32C20CE3}">
      <text>
        <r>
          <rPr>
            <sz val="8"/>
            <color indexed="81"/>
            <rFont val="Tahoma"/>
            <family val="2"/>
          </rPr>
          <t>Vrij in te vullen 
schaal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Cristina Duran Casablancas</author>
  </authors>
  <commentList>
    <comment ref="C7" authorId="0" shapeId="0" xr:uid="{E6717BCD-5327-4A88-BC5D-DFD539E17953}">
      <text>
        <r>
          <rPr>
            <sz val="9"/>
            <color indexed="81"/>
            <rFont val="Tahoma"/>
            <family val="2"/>
          </rPr>
          <t xml:space="preserve">0.5 - 0.7 m/ day             
</t>
        </r>
      </text>
    </comment>
  </commentList>
</comments>
</file>

<file path=xl/sharedStrings.xml><?xml version="1.0" encoding="utf-8"?>
<sst xmlns="http://schemas.openxmlformats.org/spreadsheetml/2006/main" count="608" uniqueCount="237">
  <si>
    <t>Selection</t>
  </si>
  <si>
    <t>Cataloguing</t>
  </si>
  <si>
    <t>Preventive conservation</t>
  </si>
  <si>
    <t>Conservation</t>
  </si>
  <si>
    <t>Surrogacy</t>
  </si>
  <si>
    <t>Accesss</t>
  </si>
  <si>
    <t>inventory</t>
  </si>
  <si>
    <t xml:space="preserve">Placing </t>
  </si>
  <si>
    <t>placing in repository</t>
  </si>
  <si>
    <t>rehousing</t>
  </si>
  <si>
    <t>labelling</t>
  </si>
  <si>
    <t>registration in repository</t>
  </si>
  <si>
    <t>climate monitoring</t>
  </si>
  <si>
    <t>retrieval &amp; replacement repository</t>
  </si>
  <si>
    <t>retrieval &amp; replacement reading room</t>
  </si>
  <si>
    <t>maintenance collection management system</t>
  </si>
  <si>
    <t>maintenance registration system</t>
  </si>
  <si>
    <t>maintenance online inventory</t>
  </si>
  <si>
    <t xml:space="preserve">hvac system </t>
  </si>
  <si>
    <t>Basic Input</t>
  </si>
  <si>
    <t>registration in system</t>
  </si>
  <si>
    <t>Category object</t>
  </si>
  <si>
    <t>Archival records</t>
  </si>
  <si>
    <t>10A</t>
  </si>
  <si>
    <t>11A</t>
  </si>
  <si>
    <t>Days / week</t>
  </si>
  <si>
    <t>Hours / day</t>
  </si>
  <si>
    <t xml:space="preserve">Hours / week </t>
  </si>
  <si>
    <t>1. Archive</t>
  </si>
  <si>
    <t>boxes / m</t>
  </si>
  <si>
    <t>price / box</t>
  </si>
  <si>
    <t>Records / m</t>
  </si>
  <si>
    <t>Requests / year</t>
  </si>
  <si>
    <t>Decrease requests / year</t>
  </si>
  <si>
    <t xml:space="preserve">           </t>
  </si>
  <si>
    <t xml:space="preserve"> </t>
  </si>
  <si>
    <t>Size (m)</t>
  </si>
  <si>
    <t>hours</t>
  </si>
  <si>
    <t>hourly rate</t>
  </si>
  <si>
    <t>fte</t>
  </si>
  <si>
    <t>staff costs</t>
  </si>
  <si>
    <t>Total cost</t>
  </si>
  <si>
    <t>2. Rehousing</t>
  </si>
  <si>
    <t>cost</t>
  </si>
  <si>
    <t>export inventory</t>
  </si>
  <si>
    <t xml:space="preserve">                                                             </t>
  </si>
  <si>
    <t>activity (1 m)</t>
  </si>
  <si>
    <t>activity (year)</t>
  </si>
  <si>
    <t>equipment (1 m)</t>
  </si>
  <si>
    <t>Total cost (m)</t>
  </si>
  <si>
    <t xml:space="preserve">Total cost </t>
  </si>
  <si>
    <t>equipment (year)</t>
  </si>
  <si>
    <t>placing in repository &amp; registration</t>
  </si>
  <si>
    <t>registration system</t>
  </si>
  <si>
    <t>3. Placing</t>
  </si>
  <si>
    <t>Total cost year acquisition</t>
  </si>
  <si>
    <t>equipment</t>
  </si>
  <si>
    <t>placing</t>
  </si>
  <si>
    <t>Total cost acquisition (year)</t>
  </si>
  <si>
    <t>Total cost acquisition (1 m)</t>
  </si>
  <si>
    <t>3. Repository</t>
  </si>
  <si>
    <t>Energy price €/kWh</t>
  </si>
  <si>
    <r>
      <t>Energy consumption kWhm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/ year</t>
    </r>
  </si>
  <si>
    <r>
      <t>Size repository (m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)</t>
    </r>
  </si>
  <si>
    <t>year 1</t>
  </si>
  <si>
    <t xml:space="preserve">size 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</si>
  <si>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</si>
  <si>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</si>
  <si>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</si>
  <si>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</si>
  <si>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</si>
  <si>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</si>
  <si>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</si>
  <si>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</si>
  <si>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</si>
  <si>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 xml:space="preserve">requested meters / year </t>
  </si>
  <si>
    <t>requests reading room</t>
  </si>
  <si>
    <t xml:space="preserve">Rehousing % collection / year </t>
  </si>
  <si>
    <t>rehousing meters / year</t>
  </si>
  <si>
    <t>1. Rehousing</t>
  </si>
  <si>
    <t xml:space="preserve">activity </t>
  </si>
  <si>
    <t>Total cost (year)</t>
  </si>
  <si>
    <t>Y 1</t>
  </si>
  <si>
    <t>Y 2</t>
  </si>
  <si>
    <t>Y 3</t>
  </si>
  <si>
    <t>Y 4</t>
  </si>
  <si>
    <t>Y 5</t>
  </si>
  <si>
    <t>Y 6</t>
  </si>
  <si>
    <t>Y 7</t>
  </si>
  <si>
    <t>Y 8</t>
  </si>
  <si>
    <t>Y 9</t>
  </si>
  <si>
    <t>Y 10</t>
  </si>
  <si>
    <t>equipment (boxes)</t>
  </si>
  <si>
    <t>2.  Placing</t>
  </si>
  <si>
    <t>monitoring climate</t>
  </si>
  <si>
    <t>hours / week</t>
  </si>
  <si>
    <t>activity</t>
  </si>
  <si>
    <t>energy costs</t>
  </si>
  <si>
    <t xml:space="preserve">equipment </t>
  </si>
  <si>
    <t>retrieval  repository</t>
  </si>
  <si>
    <t>replacement repository</t>
  </si>
  <si>
    <t>4. Reading room</t>
  </si>
  <si>
    <t>Activity</t>
  </si>
  <si>
    <t>nr. staff</t>
  </si>
  <si>
    <t>retrival reading room</t>
  </si>
  <si>
    <t>retrival repository</t>
  </si>
  <si>
    <t>nr. hours</t>
  </si>
  <si>
    <t>cost / year</t>
  </si>
  <si>
    <t>reading room access</t>
  </si>
  <si>
    <t>€ / meter</t>
  </si>
  <si>
    <t xml:space="preserve">Acquisition </t>
  </si>
  <si>
    <t>Creation</t>
  </si>
  <si>
    <t>Retrievel repository</t>
  </si>
  <si>
    <t>Labelling</t>
  </si>
  <si>
    <t>Registration</t>
  </si>
  <si>
    <t>Rehousing transport</t>
  </si>
  <si>
    <t>Check rights</t>
  </si>
  <si>
    <t>transport</t>
  </si>
  <si>
    <t>scanning</t>
  </si>
  <si>
    <t>Metadata</t>
  </si>
  <si>
    <t xml:space="preserve">Control </t>
  </si>
  <si>
    <t>Replacement repository</t>
  </si>
  <si>
    <t>5. Digitization</t>
  </si>
  <si>
    <t>Acquisition / y</t>
  </si>
  <si>
    <t>scans / m</t>
  </si>
  <si>
    <t>price scan (€)</t>
  </si>
  <si>
    <t>nr. transports / week</t>
  </si>
  <si>
    <t>1. Selection</t>
  </si>
  <si>
    <t>digitized m / week</t>
  </si>
  <si>
    <t>digitized m / year</t>
  </si>
  <si>
    <t>2. Creation</t>
  </si>
  <si>
    <t>3. Metadata</t>
  </si>
  <si>
    <t>Ingest</t>
  </si>
  <si>
    <t>Preservation</t>
  </si>
  <si>
    <t>Storage</t>
  </si>
  <si>
    <t>3.  Storage</t>
  </si>
  <si>
    <t>4. Control</t>
  </si>
  <si>
    <t>5. Ingest</t>
  </si>
  <si>
    <t>6. Storage</t>
  </si>
  <si>
    <t>7. Preservation</t>
  </si>
  <si>
    <t>8. Access</t>
  </si>
  <si>
    <t>storage</t>
  </si>
  <si>
    <t>access</t>
  </si>
  <si>
    <t>online catalogue</t>
  </si>
  <si>
    <t>selection</t>
  </si>
  <si>
    <t>creation</t>
  </si>
  <si>
    <t>metadata</t>
  </si>
  <si>
    <t>control</t>
  </si>
  <si>
    <t>ingest</t>
  </si>
  <si>
    <t>preservation</t>
  </si>
  <si>
    <t>Total cost year digitization</t>
  </si>
  <si>
    <t>staff costs (year)</t>
  </si>
  <si>
    <t>price transport (€)</t>
  </si>
  <si>
    <t>scans in storage</t>
  </si>
  <si>
    <t>scans production / week</t>
  </si>
  <si>
    <t>Total cost  (1 m)</t>
  </si>
  <si>
    <t>quality control scans</t>
  </si>
  <si>
    <t>quality control project</t>
  </si>
  <si>
    <t>replacement records in repository</t>
  </si>
  <si>
    <t>ingest scans in system</t>
  </si>
  <si>
    <t>link scans to website</t>
  </si>
  <si>
    <t>GB</t>
  </si>
  <si>
    <t>activity (year 1)</t>
  </si>
  <si>
    <t>digital collection</t>
  </si>
  <si>
    <t>Acquisition</t>
  </si>
  <si>
    <t>Retention</t>
  </si>
  <si>
    <t>paper collection</t>
  </si>
  <si>
    <t>online access</t>
  </si>
  <si>
    <t>Digitization</t>
  </si>
  <si>
    <t>Overview</t>
  </si>
  <si>
    <t>Total collection</t>
  </si>
  <si>
    <t xml:space="preserve">year </t>
  </si>
  <si>
    <t>TOTAL</t>
  </si>
  <si>
    <t>activity (1 m year 1)</t>
  </si>
  <si>
    <t>activity (1 m year 2)</t>
  </si>
  <si>
    <t>GB/scan</t>
  </si>
  <si>
    <t xml:space="preserve">1 GB = </t>
  </si>
  <si>
    <t>TB</t>
  </si>
  <si>
    <t>price online storage (GB / €)</t>
  </si>
  <si>
    <t>price archive storage (GB / €)</t>
  </si>
  <si>
    <t>catalogue hardware</t>
  </si>
  <si>
    <t>catalogue software</t>
  </si>
  <si>
    <t>collectionmanagement software</t>
  </si>
  <si>
    <t>collectionmanagement hardware</t>
  </si>
  <si>
    <t>website software</t>
  </si>
  <si>
    <t>security</t>
  </si>
  <si>
    <t>maintenance catalogue online</t>
  </si>
  <si>
    <t>cost archive storage</t>
  </si>
  <si>
    <t>cost online storage</t>
  </si>
  <si>
    <t>Data management</t>
  </si>
  <si>
    <t>Ingest scans in e-depot</t>
  </si>
  <si>
    <t>Check condition</t>
  </si>
  <si>
    <t>Workflowsysteem</t>
  </si>
  <si>
    <t>Depot management</t>
  </si>
  <si>
    <t>Metadata management</t>
  </si>
  <si>
    <t>Acces pass management</t>
  </si>
  <si>
    <t>Inventory</t>
  </si>
  <si>
    <t>Rehousing</t>
  </si>
  <si>
    <t>Placing</t>
  </si>
  <si>
    <t>Control</t>
  </si>
  <si>
    <t>Access</t>
  </si>
  <si>
    <t>Digital collection</t>
  </si>
  <si>
    <t>Archival collection</t>
  </si>
  <si>
    <t>4. Personnel costs</t>
  </si>
  <si>
    <t>scale</t>
  </si>
  <si>
    <t>monthly rate</t>
  </si>
  <si>
    <t>annual rate</t>
  </si>
  <si>
    <t>grade</t>
  </si>
  <si>
    <t>1fte / hour p/y</t>
  </si>
  <si>
    <r>
      <t>1 km (m</t>
    </r>
    <r>
      <rPr>
        <vertAlign val="superscript"/>
        <sz val="10"/>
        <color theme="1"/>
        <rFont val="AngsanaUPC"/>
        <family val="1"/>
        <charset val="222"/>
      </rPr>
      <t>3</t>
    </r>
    <r>
      <rPr>
        <sz val="10"/>
        <color theme="1"/>
        <rFont val="Arial"/>
        <family val="2"/>
      </rPr>
      <t>)</t>
    </r>
  </si>
  <si>
    <t>GB in storage</t>
  </si>
  <si>
    <t>meters digitized collection</t>
  </si>
  <si>
    <t>1. Cataloguing</t>
  </si>
  <si>
    <t>cataloguing</t>
  </si>
  <si>
    <t>analogue</t>
  </si>
  <si>
    <t>digital</t>
  </si>
  <si>
    <t xml:space="preserve">preservation </t>
  </si>
  <si>
    <t>access rr</t>
  </si>
  <si>
    <t>access online</t>
  </si>
  <si>
    <t>digital storage</t>
  </si>
  <si>
    <t>applications</t>
  </si>
  <si>
    <t xml:space="preserve">digital </t>
  </si>
  <si>
    <t>total</t>
  </si>
  <si>
    <t>Total meter</t>
  </si>
  <si>
    <t>access digital</t>
  </si>
  <si>
    <t>total cum.</t>
  </si>
  <si>
    <t>digitized records / year</t>
  </si>
  <si>
    <t>requested m / y</t>
  </si>
  <si>
    <t>digitized m / y</t>
  </si>
  <si>
    <t>catalologuing</t>
  </si>
  <si>
    <t>4. Access</t>
  </si>
  <si>
    <t>5. Application program</t>
  </si>
  <si>
    <t>equipment (energy costs)</t>
  </si>
  <si>
    <t>integrated pest management</t>
  </si>
  <si>
    <t>APM-cost model</t>
  </si>
  <si>
    <t>Creator: Cristina Duran Casablancas</t>
  </si>
  <si>
    <t>Based on DEN Digital cost model. Gillesse, R., Jochems, R. and Maris, M. (2010). Handleiding rekenmodel digitaliseringskosten,  Digitaal Erfgoed Nederland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</si>
</sst>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€ &quot;#,##0.00_-"/>
    <numFmt numFmtId="165" formatCode="&quot;€&quot;\ #,##0.00_-"/>
    <numFmt numFmtId="166" formatCode="#,##0.0"/>
    <numFmt numFmtId="167" formatCode="&quot;€&quot;\ #,##0.00"/>
    <numFmt numFmtId="168" formatCode="&quot;€&quot;\ #,##0"/>
    <numFmt numFmtId="169" formatCode="0.0"/>
    <numFmt numFmtId="170" formatCode="0.0%"/>
    <numFmt numFmtId="171" formatCode="&quot;€&quot;\ #,##0.0"/>
  </numFmts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i/>
      <sz val="10"/>
      <color indexed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vertAlign val="superscript"/>
      <sz val="10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8"/>
      <color theme="1"/>
      <name val="Calibri"/>
      <family val="2"/>
      <scheme val="minor"/>
    </font>
    <font>
      <vertAlign val="superscript"/>
      <sz val="10"/>
      <color theme="1"/>
      <name val="AngsanaUPC"/>
      <family val="1"/>
      <charset val="222"/>
    </font>
    <font>
      <b/>
      <i/>
      <sz val="10"/>
      <color theme="0"/>
      <name val="Arial"/>
      <family val="2"/>
    </font>
    <font>
      <b/>
      <i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2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47"/>
        <bgColor indexed="26"/>
      </patternFill>
    </fill>
    <fill>
      <patternFill patternType="solid">
        <fgColor indexed="41"/>
        <bgColor indexed="26"/>
      </patternFill>
    </fill>
    <fill>
      <patternFill patternType="solid">
        <fgColor rgb="FFFFCC99"/>
        <bgColor indexed="26"/>
      </patternFill>
    </fill>
    <fill>
      <patternFill patternType="solid">
        <fgColor rgb="FFCCFFFF"/>
        <bgColor indexed="26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27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C99"/>
        <bgColor indexed="2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55A1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2">
    <xf numFmtId="0" fontId="0" fillId="0" borderId="0" xfId="0"/>
    <xf numFmtId="0" fontId="0" fillId="2" borderId="0" xfId="0" applyFill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/>
    <xf numFmtId="0" fontId="0" fillId="0" borderId="9" xfId="0" applyBorder="1"/>
    <xf numFmtId="0" fontId="0" fillId="3" borderId="9" xfId="0" applyFill="1" applyBorder="1"/>
    <xf numFmtId="0" fontId="9" fillId="0" borderId="9" xfId="0" applyFont="1" applyBorder="1"/>
    <xf numFmtId="0" fontId="9" fillId="0" borderId="9" xfId="0" applyFont="1" applyBorder="1" applyAlignment="1">
      <alignment horizontal="right" wrapText="1"/>
    </xf>
    <xf numFmtId="0" fontId="10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164" fontId="0" fillId="0" borderId="0" xfId="0" applyNumberFormat="1"/>
    <xf numFmtId="0" fontId="9" fillId="0" borderId="12" xfId="0" applyFont="1" applyBorder="1" applyAlignment="1">
      <alignment horizontal="right" wrapText="1"/>
    </xf>
    <xf numFmtId="0" fontId="9" fillId="0" borderId="10" xfId="0" applyFont="1" applyBorder="1" applyAlignment="1">
      <alignment horizontal="right" wrapText="1"/>
    </xf>
    <xf numFmtId="164" fontId="0" fillId="5" borderId="1" xfId="0" applyNumberFormat="1" applyFill="1" applyBorder="1"/>
    <xf numFmtId="164" fontId="0" fillId="4" borderId="1" xfId="0" applyNumberFormat="1" applyFill="1" applyBorder="1"/>
    <xf numFmtId="164" fontId="0" fillId="6" borderId="13" xfId="0" applyNumberFormat="1" applyFill="1" applyBorder="1"/>
    <xf numFmtId="0" fontId="6" fillId="7" borderId="2" xfId="0" applyFont="1" applyFill="1" applyBorder="1"/>
    <xf numFmtId="0" fontId="6" fillId="7" borderId="3" xfId="0" applyFont="1" applyFill="1" applyBorder="1"/>
    <xf numFmtId="0" fontId="6" fillId="7" borderId="5" xfId="0" applyFont="1" applyFill="1" applyBorder="1"/>
    <xf numFmtId="0" fontId="7" fillId="0" borderId="1" xfId="0" applyFont="1" applyBorder="1" applyAlignment="1">
      <alignment horizontal="left" vertical="top"/>
    </xf>
    <xf numFmtId="0" fontId="6" fillId="7" borderId="6" xfId="0" applyFont="1" applyFill="1" applyBorder="1" applyAlignment="1">
      <alignment horizontal="left"/>
    </xf>
    <xf numFmtId="0" fontId="6" fillId="7" borderId="7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7" borderId="2" xfId="0" applyFont="1" applyFill="1" applyBorder="1" applyAlignment="1">
      <alignment horizontal="left"/>
    </xf>
    <xf numFmtId="0" fontId="6" fillId="7" borderId="3" xfId="0" applyFont="1" applyFill="1" applyBorder="1" applyAlignment="1">
      <alignment horizontal="left"/>
    </xf>
    <xf numFmtId="0" fontId="6" fillId="7" borderId="5" xfId="0" applyFont="1" applyFill="1" applyBorder="1" applyAlignment="1">
      <alignment horizontal="left"/>
    </xf>
    <xf numFmtId="0" fontId="6" fillId="0" borderId="1" xfId="0" applyFont="1" applyBorder="1"/>
    <xf numFmtId="0" fontId="6" fillId="7" borderId="1" xfId="0" applyFont="1" applyFill="1" applyBorder="1" applyAlignment="1">
      <alignment horizontal="left"/>
    </xf>
    <xf numFmtId="1" fontId="6" fillId="8" borderId="1" xfId="0" applyNumberFormat="1" applyFont="1" applyFill="1" applyBorder="1"/>
    <xf numFmtId="0" fontId="12" fillId="0" borderId="1" xfId="0" applyFont="1" applyBorder="1" applyAlignment="1">
      <alignment vertical="justify" wrapText="1"/>
    </xf>
    <xf numFmtId="0" fontId="12" fillId="0" borderId="1" xfId="0" applyFont="1" applyBorder="1" applyAlignment="1">
      <alignment horizontal="right" vertical="justify" wrapText="1"/>
    </xf>
    <xf numFmtId="0" fontId="9" fillId="0" borderId="1" xfId="0" applyFont="1" applyBorder="1" applyAlignment="1">
      <alignment horizontal="right" vertical="justify" wrapText="1"/>
    </xf>
    <xf numFmtId="2" fontId="0" fillId="9" borderId="11" xfId="0" applyNumberFormat="1" applyFill="1" applyBorder="1" applyAlignment="1">
      <alignment horizontal="right"/>
    </xf>
    <xf numFmtId="165" fontId="0" fillId="9" borderId="14" xfId="0" applyNumberFormat="1" applyFill="1" applyBorder="1" applyAlignment="1">
      <alignment horizontal="right"/>
    </xf>
    <xf numFmtId="167" fontId="6" fillId="7" borderId="6" xfId="0" applyNumberFormat="1" applyFont="1" applyFill="1" applyBorder="1" applyAlignment="1">
      <alignment horizontal="left"/>
    </xf>
    <xf numFmtId="0" fontId="0" fillId="11" borderId="11" xfId="0" applyFill="1" applyBorder="1" applyAlignment="1">
      <alignment horizontal="right"/>
    </xf>
    <xf numFmtId="2" fontId="0" fillId="11" borderId="11" xfId="0" applyNumberFormat="1" applyFill="1" applyBorder="1" applyAlignment="1">
      <alignment horizontal="right"/>
    </xf>
    <xf numFmtId="0" fontId="0" fillId="11" borderId="14" xfId="0" applyFill="1" applyBorder="1" applyAlignment="1">
      <alignment horizontal="right"/>
    </xf>
    <xf numFmtId="3" fontId="0" fillId="8" borderId="7" xfId="0" applyNumberFormat="1" applyFill="1" applyBorder="1" applyAlignment="1">
      <alignment horizontal="right"/>
    </xf>
    <xf numFmtId="0" fontId="1" fillId="12" borderId="0" xfId="0" applyFont="1" applyFill="1"/>
    <xf numFmtId="0" fontId="3" fillId="12" borderId="0" xfId="0" applyFont="1" applyFill="1"/>
    <xf numFmtId="0" fontId="13" fillId="0" borderId="4" xfId="0" applyFont="1" applyBorder="1" applyAlignment="1">
      <alignment horizontal="right"/>
    </xf>
    <xf numFmtId="167" fontId="13" fillId="10" borderId="15" xfId="0" applyNumberFormat="1" applyFont="1" applyFill="1" applyBorder="1" applyAlignment="1">
      <alignment horizontal="right"/>
    </xf>
    <xf numFmtId="3" fontId="10" fillId="10" borderId="8" xfId="0" applyNumberFormat="1" applyFont="1" applyFill="1" applyBorder="1" applyAlignment="1">
      <alignment horizontal="right"/>
    </xf>
    <xf numFmtId="3" fontId="10" fillId="10" borderId="1" xfId="0" applyNumberFormat="1" applyFont="1" applyFill="1" applyBorder="1" applyAlignment="1">
      <alignment horizontal="right"/>
    </xf>
    <xf numFmtId="0" fontId="13" fillId="0" borderId="16" xfId="0" applyFont="1" applyBorder="1" applyAlignment="1">
      <alignment horizontal="left"/>
    </xf>
    <xf numFmtId="167" fontId="10" fillId="10" borderId="15" xfId="0" applyNumberFormat="1" applyFont="1" applyFill="1" applyBorder="1" applyAlignment="1">
      <alignment horizontal="right"/>
    </xf>
    <xf numFmtId="0" fontId="12" fillId="0" borderId="6" xfId="0" applyFont="1" applyBorder="1" applyAlignment="1">
      <alignment horizontal="right" vertical="justify" wrapText="1"/>
    </xf>
    <xf numFmtId="0" fontId="9" fillId="0" borderId="6" xfId="0" applyFont="1" applyBorder="1" applyAlignment="1">
      <alignment horizontal="right" vertical="justify" wrapText="1"/>
    </xf>
    <xf numFmtId="0" fontId="13" fillId="0" borderId="0" xfId="0" applyFont="1" applyAlignment="1">
      <alignment horizontal="left"/>
    </xf>
    <xf numFmtId="3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167" fontId="13" fillId="0" borderId="0" xfId="0" applyNumberFormat="1" applyFont="1" applyAlignment="1">
      <alignment horizontal="right"/>
    </xf>
    <xf numFmtId="0" fontId="12" fillId="0" borderId="6" xfId="0" applyFont="1" applyBorder="1" applyAlignment="1">
      <alignment vertical="justify" wrapText="1"/>
    </xf>
    <xf numFmtId="0" fontId="10" fillId="0" borderId="6" xfId="0" applyFont="1" applyBorder="1"/>
    <xf numFmtId="2" fontId="10" fillId="0" borderId="7" xfId="0" applyNumberFormat="1" applyFont="1" applyBorder="1" applyAlignment="1">
      <alignment wrapText="1"/>
    </xf>
    <xf numFmtId="0" fontId="10" fillId="0" borderId="7" xfId="0" applyFont="1" applyBorder="1"/>
    <xf numFmtId="0" fontId="0" fillId="0" borderId="1" xfId="0" applyBorder="1"/>
    <xf numFmtId="0" fontId="13" fillId="0" borderId="1" xfId="0" applyFont="1" applyBorder="1" applyAlignment="1">
      <alignment horizontal="left"/>
    </xf>
    <xf numFmtId="167" fontId="0" fillId="11" borderId="11" xfId="0" applyNumberFormat="1" applyFill="1" applyBorder="1" applyAlignment="1">
      <alignment horizontal="right"/>
    </xf>
    <xf numFmtId="167" fontId="0" fillId="8" borderId="7" xfId="0" applyNumberFormat="1" applyFill="1" applyBorder="1" applyAlignment="1">
      <alignment horizontal="right"/>
    </xf>
    <xf numFmtId="167" fontId="10" fillId="8" borderId="1" xfId="0" applyNumberFormat="1" applyFont="1" applyFill="1" applyBorder="1" applyAlignment="1">
      <alignment horizontal="right"/>
    </xf>
    <xf numFmtId="167" fontId="14" fillId="8" borderId="1" xfId="0" applyNumberFormat="1" applyFont="1" applyFill="1" applyBorder="1"/>
    <xf numFmtId="0" fontId="0" fillId="12" borderId="0" xfId="0" applyFill="1"/>
    <xf numFmtId="165" fontId="0" fillId="7" borderId="1" xfId="0" applyNumberFormat="1" applyFill="1" applyBorder="1"/>
    <xf numFmtId="0" fontId="6" fillId="7" borderId="1" xfId="0" applyFont="1" applyFill="1" applyBorder="1"/>
    <xf numFmtId="0" fontId="6" fillId="0" borderId="1" xfId="0" applyFont="1" applyBorder="1" applyAlignment="1">
      <alignment wrapText="1"/>
    </xf>
    <xf numFmtId="4" fontId="6" fillId="7" borderId="1" xfId="0" applyNumberFormat="1" applyFont="1" applyFill="1" applyBorder="1"/>
    <xf numFmtId="0" fontId="16" fillId="0" borderId="0" xfId="0" applyFont="1"/>
    <xf numFmtId="0" fontId="6" fillId="8" borderId="1" xfId="0" applyFont="1" applyFill="1" applyBorder="1"/>
    <xf numFmtId="1" fontId="6" fillId="0" borderId="0" xfId="0" applyNumberFormat="1" applyFont="1"/>
    <xf numFmtId="169" fontId="0" fillId="11" borderId="6" xfId="0" applyNumberFormat="1" applyFill="1" applyBorder="1" applyAlignment="1">
      <alignment horizontal="right"/>
    </xf>
    <xf numFmtId="2" fontId="0" fillId="11" borderId="6" xfId="0" applyNumberFormat="1" applyFill="1" applyBorder="1" applyAlignment="1">
      <alignment horizontal="right"/>
    </xf>
    <xf numFmtId="169" fontId="0" fillId="11" borderId="7" xfId="0" applyNumberFormat="1" applyFill="1" applyBorder="1" applyAlignment="1">
      <alignment horizontal="right"/>
    </xf>
    <xf numFmtId="2" fontId="0" fillId="11" borderId="7" xfId="0" applyNumberFormat="1" applyFill="1" applyBorder="1" applyAlignment="1">
      <alignment horizontal="right"/>
    </xf>
    <xf numFmtId="169" fontId="0" fillId="8" borderId="8" xfId="0" applyNumberFormat="1" applyFill="1" applyBorder="1" applyAlignment="1">
      <alignment horizontal="right"/>
    </xf>
    <xf numFmtId="2" fontId="0" fillId="11" borderId="8" xfId="0" applyNumberFormat="1" applyFill="1" applyBorder="1" applyAlignment="1">
      <alignment horizontal="right"/>
    </xf>
    <xf numFmtId="0" fontId="10" fillId="0" borderId="2" xfId="0" applyFont="1" applyBorder="1"/>
    <xf numFmtId="2" fontId="10" fillId="0" borderId="3" xfId="0" applyNumberFormat="1" applyFont="1" applyBorder="1" applyAlignment="1">
      <alignment wrapText="1"/>
    </xf>
    <xf numFmtId="0" fontId="10" fillId="0" borderId="3" xfId="0" applyFont="1" applyBorder="1"/>
    <xf numFmtId="0" fontId="10" fillId="0" borderId="5" xfId="0" applyFont="1" applyBorder="1"/>
    <xf numFmtId="0" fontId="10" fillId="0" borderId="8" xfId="0" applyFont="1" applyBorder="1"/>
    <xf numFmtId="169" fontId="0" fillId="13" borderId="11" xfId="0" applyNumberFormat="1" applyFill="1" applyBorder="1" applyAlignment="1">
      <alignment horizontal="right"/>
    </xf>
    <xf numFmtId="169" fontId="0" fillId="7" borderId="7" xfId="0" applyNumberFormat="1" applyFill="1" applyBorder="1" applyAlignment="1">
      <alignment horizontal="right"/>
    </xf>
    <xf numFmtId="0" fontId="0" fillId="13" borderId="14" xfId="0" applyFill="1" applyBorder="1" applyAlignment="1">
      <alignment horizontal="right"/>
    </xf>
    <xf numFmtId="166" fontId="0" fillId="7" borderId="20" xfId="0" applyNumberFormat="1" applyFill="1" applyBorder="1" applyAlignment="1">
      <alignment horizontal="right"/>
    </xf>
    <xf numFmtId="3" fontId="0" fillId="7" borderId="20" xfId="0" applyNumberFormat="1" applyFill="1" applyBorder="1" applyAlignment="1">
      <alignment horizontal="right"/>
    </xf>
    <xf numFmtId="3" fontId="0" fillId="8" borderId="20" xfId="0" applyNumberFormat="1" applyFill="1" applyBorder="1" applyAlignment="1">
      <alignment horizontal="right"/>
    </xf>
    <xf numFmtId="0" fontId="12" fillId="0" borderId="4" xfId="0" applyFont="1" applyBorder="1" applyAlignment="1">
      <alignment horizontal="right" vertical="justify" wrapText="1"/>
    </xf>
    <xf numFmtId="0" fontId="18" fillId="12" borderId="0" xfId="0" applyFont="1" applyFill="1"/>
    <xf numFmtId="0" fontId="19" fillId="12" borderId="0" xfId="0" applyFont="1" applyFill="1"/>
    <xf numFmtId="167" fontId="10" fillId="11" borderId="21" xfId="0" applyNumberFormat="1" applyFont="1" applyFill="1" applyBorder="1" applyAlignment="1">
      <alignment horizontal="right"/>
    </xf>
    <xf numFmtId="167" fontId="10" fillId="8" borderId="3" xfId="0" applyNumberFormat="1" applyFont="1" applyFill="1" applyBorder="1" applyAlignment="1">
      <alignment horizontal="right"/>
    </xf>
    <xf numFmtId="167" fontId="10" fillId="8" borderId="7" xfId="0" applyNumberFormat="1" applyFont="1" applyFill="1" applyBorder="1" applyAlignment="1">
      <alignment horizontal="right"/>
    </xf>
    <xf numFmtId="169" fontId="6" fillId="13" borderId="11" xfId="0" applyNumberFormat="1" applyFont="1" applyFill="1" applyBorder="1" applyAlignment="1">
      <alignment horizontal="right"/>
    </xf>
    <xf numFmtId="2" fontId="6" fillId="9" borderId="11" xfId="0" applyNumberFormat="1" applyFont="1" applyFill="1" applyBorder="1" applyAlignment="1">
      <alignment horizontal="right"/>
    </xf>
    <xf numFmtId="0" fontId="6" fillId="13" borderId="14" xfId="0" applyFont="1" applyFill="1" applyBorder="1" applyAlignment="1">
      <alignment horizontal="right"/>
    </xf>
    <xf numFmtId="165" fontId="6" fillId="9" borderId="14" xfId="0" applyNumberFormat="1" applyFont="1" applyFill="1" applyBorder="1" applyAlignment="1">
      <alignment horizontal="right"/>
    </xf>
    <xf numFmtId="169" fontId="6" fillId="7" borderId="7" xfId="0" applyNumberFormat="1" applyFont="1" applyFill="1" applyBorder="1" applyAlignment="1">
      <alignment horizontal="right"/>
    </xf>
    <xf numFmtId="167" fontId="6" fillId="13" borderId="11" xfId="0" applyNumberFormat="1" applyFont="1" applyFill="1" applyBorder="1" applyAlignment="1">
      <alignment horizontal="right"/>
    </xf>
    <xf numFmtId="3" fontId="6" fillId="7" borderId="7" xfId="0" applyNumberFormat="1" applyFont="1" applyFill="1" applyBorder="1" applyAlignment="1">
      <alignment horizontal="right"/>
    </xf>
    <xf numFmtId="167" fontId="6" fillId="11" borderId="11" xfId="0" applyNumberFormat="1" applyFont="1" applyFill="1" applyBorder="1" applyAlignment="1">
      <alignment horizontal="right"/>
    </xf>
    <xf numFmtId="169" fontId="6" fillId="13" borderId="14" xfId="0" applyNumberFormat="1" applyFont="1" applyFill="1" applyBorder="1" applyAlignment="1">
      <alignment horizontal="right"/>
    </xf>
    <xf numFmtId="169" fontId="6" fillId="7" borderId="20" xfId="0" applyNumberFormat="1" applyFont="1" applyFill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7" fillId="0" borderId="1" xfId="0" applyFont="1" applyBorder="1"/>
    <xf numFmtId="0" fontId="6" fillId="8" borderId="1" xfId="0" applyFont="1" applyFill="1" applyBorder="1" applyAlignment="1">
      <alignment horizontal="left"/>
    </xf>
    <xf numFmtId="2" fontId="10" fillId="0" borderId="1" xfId="0" applyNumberFormat="1" applyFont="1" applyBorder="1" applyAlignment="1">
      <alignment wrapText="1"/>
    </xf>
    <xf numFmtId="0" fontId="0" fillId="0" borderId="10" xfId="0" applyBorder="1" applyAlignment="1">
      <alignment horizontal="left"/>
    </xf>
    <xf numFmtId="164" fontId="0" fillId="5" borderId="6" xfId="0" applyNumberFormat="1" applyFill="1" applyBorder="1"/>
    <xf numFmtId="164" fontId="0" fillId="4" borderId="6" xfId="0" applyNumberFormat="1" applyFill="1" applyBorder="1"/>
    <xf numFmtId="0" fontId="10" fillId="0" borderId="22" xfId="0" applyFont="1" applyBorder="1" applyAlignment="1">
      <alignment horizontal="left"/>
    </xf>
    <xf numFmtId="164" fontId="0" fillId="6" borderId="23" xfId="0" applyNumberFormat="1" applyFill="1" applyBorder="1"/>
    <xf numFmtId="0" fontId="6" fillId="12" borderId="0" xfId="0" applyFont="1" applyFill="1"/>
    <xf numFmtId="167" fontId="6" fillId="7" borderId="1" xfId="0" applyNumberFormat="1" applyFont="1" applyFill="1" applyBorder="1" applyAlignment="1">
      <alignment horizontal="left"/>
    </xf>
    <xf numFmtId="167" fontId="6" fillId="0" borderId="0" xfId="0" applyNumberFormat="1" applyFont="1" applyAlignment="1">
      <alignment horizontal="left"/>
    </xf>
    <xf numFmtId="1" fontId="6" fillId="7" borderId="1" xfId="0" applyNumberFormat="1" applyFont="1" applyFill="1" applyBorder="1" applyAlignment="1">
      <alignment horizontal="left"/>
    </xf>
    <xf numFmtId="1" fontId="6" fillId="8" borderId="1" xfId="0" applyNumberFormat="1" applyFont="1" applyFill="1" applyBorder="1" applyAlignment="1">
      <alignment horizontal="left"/>
    </xf>
    <xf numFmtId="0" fontId="6" fillId="7" borderId="4" xfId="0" applyFont="1" applyFill="1" applyBorder="1"/>
    <xf numFmtId="0" fontId="6" fillId="7" borderId="24" xfId="0" applyFont="1" applyFill="1" applyBorder="1"/>
    <xf numFmtId="167" fontId="0" fillId="8" borderId="8" xfId="0" applyNumberFormat="1" applyFill="1" applyBorder="1" applyAlignment="1">
      <alignment horizontal="right"/>
    </xf>
    <xf numFmtId="167" fontId="0" fillId="11" borderId="6" xfId="0" applyNumberFormat="1" applyFill="1" applyBorder="1" applyAlignment="1">
      <alignment horizontal="right"/>
    </xf>
    <xf numFmtId="167" fontId="0" fillId="11" borderId="7" xfId="0" applyNumberFormat="1" applyFill="1" applyBorder="1" applyAlignment="1">
      <alignment horizontal="right"/>
    </xf>
    <xf numFmtId="0" fontId="6" fillId="0" borderId="4" xfId="0" applyFont="1" applyBorder="1"/>
    <xf numFmtId="0" fontId="12" fillId="0" borderId="2" xfId="0" applyFont="1" applyBorder="1" applyAlignment="1">
      <alignment horizontal="right" vertical="justify" wrapText="1"/>
    </xf>
    <xf numFmtId="167" fontId="10" fillId="11" borderId="6" xfId="0" applyNumberFormat="1" applyFont="1" applyFill="1" applyBorder="1" applyAlignment="1">
      <alignment horizontal="right"/>
    </xf>
    <xf numFmtId="167" fontId="6" fillId="8" borderId="7" xfId="0" applyNumberFormat="1" applyFont="1" applyFill="1" applyBorder="1"/>
    <xf numFmtId="167" fontId="10" fillId="11" borderId="25" xfId="0" applyNumberFormat="1" applyFont="1" applyFill="1" applyBorder="1" applyAlignment="1">
      <alignment horizontal="right"/>
    </xf>
    <xf numFmtId="167" fontId="6" fillId="8" borderId="20" xfId="0" applyNumberFormat="1" applyFont="1" applyFill="1" applyBorder="1"/>
    <xf numFmtId="167" fontId="12" fillId="8" borderId="1" xfId="0" applyNumberFormat="1" applyFont="1" applyFill="1" applyBorder="1" applyAlignment="1">
      <alignment horizontal="right" vertical="justify" wrapText="1"/>
    </xf>
    <xf numFmtId="0" fontId="0" fillId="0" borderId="20" xfId="0" applyBorder="1"/>
    <xf numFmtId="0" fontId="0" fillId="0" borderId="28" xfId="0" applyBorder="1"/>
    <xf numFmtId="0" fontId="0" fillId="0" borderId="26" xfId="0" applyBorder="1"/>
    <xf numFmtId="167" fontId="10" fillId="11" borderId="29" xfId="0" applyNumberFormat="1" applyFont="1" applyFill="1" applyBorder="1" applyAlignment="1">
      <alignment horizontal="right"/>
    </xf>
    <xf numFmtId="167" fontId="10" fillId="8" borderId="8" xfId="0" applyNumberFormat="1" applyFont="1" applyFill="1" applyBorder="1" applyAlignment="1">
      <alignment horizontal="right"/>
    </xf>
    <xf numFmtId="169" fontId="6" fillId="7" borderId="0" xfId="0" applyNumberFormat="1" applyFont="1" applyFill="1" applyAlignment="1">
      <alignment horizontal="right"/>
    </xf>
    <xf numFmtId="0" fontId="10" fillId="0" borderId="0" xfId="0" applyFont="1" applyAlignment="1">
      <alignment horizontal="left"/>
    </xf>
    <xf numFmtId="167" fontId="10" fillId="0" borderId="0" xfId="0" applyNumberFormat="1" applyFont="1" applyAlignment="1">
      <alignment horizontal="right"/>
    </xf>
    <xf numFmtId="167" fontId="6" fillId="7" borderId="1" xfId="0" applyNumberFormat="1" applyFont="1" applyFill="1" applyBorder="1" applyAlignment="1">
      <alignment horizontal="left" wrapText="1"/>
    </xf>
    <xf numFmtId="167" fontId="6" fillId="0" borderId="1" xfId="0" applyNumberFormat="1" applyFont="1" applyBorder="1"/>
    <xf numFmtId="167" fontId="6" fillId="13" borderId="25" xfId="0" applyNumberFormat="1" applyFont="1" applyFill="1" applyBorder="1" applyAlignment="1">
      <alignment horizontal="right"/>
    </xf>
    <xf numFmtId="0" fontId="10" fillId="0" borderId="0" xfId="0" applyFont="1"/>
    <xf numFmtId="167" fontId="6" fillId="13" borderId="20" xfId="0" applyNumberFormat="1" applyFont="1" applyFill="1" applyBorder="1" applyAlignment="1">
      <alignment horizontal="right"/>
    </xf>
    <xf numFmtId="167" fontId="0" fillId="11" borderId="21" xfId="0" applyNumberFormat="1" applyFill="1" applyBorder="1" applyAlignment="1">
      <alignment horizontal="right"/>
    </xf>
    <xf numFmtId="0" fontId="0" fillId="8" borderId="7" xfId="0" applyFill="1" applyBorder="1"/>
    <xf numFmtId="167" fontId="0" fillId="11" borderId="8" xfId="0" applyNumberFormat="1" applyFill="1" applyBorder="1" applyAlignment="1">
      <alignment horizontal="right"/>
    </xf>
    <xf numFmtId="167" fontId="0" fillId="8" borderId="3" xfId="0" applyNumberFormat="1" applyFill="1" applyBorder="1" applyAlignment="1">
      <alignment horizontal="right"/>
    </xf>
    <xf numFmtId="0" fontId="0" fillId="0" borderId="4" xfId="0" applyBorder="1"/>
    <xf numFmtId="0" fontId="0" fillId="12" borderId="7" xfId="0" applyFill="1" applyBorder="1"/>
    <xf numFmtId="0" fontId="0" fillId="12" borderId="8" xfId="0" applyFill="1" applyBorder="1"/>
    <xf numFmtId="0" fontId="1" fillId="12" borderId="7" xfId="0" applyFont="1" applyFill="1" applyBorder="1"/>
    <xf numFmtId="9" fontId="0" fillId="0" borderId="9" xfId="0" applyNumberFormat="1" applyBorder="1"/>
    <xf numFmtId="10" fontId="10" fillId="0" borderId="0" xfId="0" applyNumberFormat="1" applyFont="1"/>
    <xf numFmtId="0" fontId="6" fillId="8" borderId="6" xfId="0" applyFont="1" applyFill="1" applyBorder="1" applyAlignment="1">
      <alignment horizontal="left"/>
    </xf>
    <xf numFmtId="169" fontId="6" fillId="8" borderId="20" xfId="0" applyNumberFormat="1" applyFont="1" applyFill="1" applyBorder="1" applyAlignment="1">
      <alignment horizontal="right"/>
    </xf>
    <xf numFmtId="169" fontId="6" fillId="11" borderId="14" xfId="0" applyNumberFormat="1" applyFont="1" applyFill="1" applyBorder="1" applyAlignment="1">
      <alignment horizontal="right"/>
    </xf>
    <xf numFmtId="169" fontId="6" fillId="11" borderId="0" xfId="0" applyNumberFormat="1" applyFont="1" applyFill="1" applyAlignment="1">
      <alignment horizontal="right"/>
    </xf>
    <xf numFmtId="169" fontId="0" fillId="11" borderId="11" xfId="0" applyNumberFormat="1" applyFill="1" applyBorder="1" applyAlignment="1">
      <alignment horizontal="right"/>
    </xf>
    <xf numFmtId="0" fontId="6" fillId="16" borderId="1" xfId="0" applyFont="1" applyFill="1" applyBorder="1" applyAlignment="1">
      <alignment horizontal="left"/>
    </xf>
    <xf numFmtId="9" fontId="0" fillId="0" borderId="0" xfId="0" applyNumberFormat="1"/>
    <xf numFmtId="9" fontId="0" fillId="0" borderId="1" xfId="0" applyNumberFormat="1" applyBorder="1"/>
    <xf numFmtId="1" fontId="0" fillId="0" borderId="0" xfId="0" applyNumberFormat="1"/>
    <xf numFmtId="167" fontId="6" fillId="0" borderId="35" xfId="0" applyNumberFormat="1" applyFont="1" applyBorder="1"/>
    <xf numFmtId="171" fontId="6" fillId="0" borderId="1" xfId="0" applyNumberFormat="1" applyFont="1" applyBorder="1"/>
    <xf numFmtId="171" fontId="6" fillId="0" borderId="35" xfId="0" applyNumberFormat="1" applyFont="1" applyBorder="1"/>
    <xf numFmtId="168" fontId="6" fillId="0" borderId="32" xfId="0" applyNumberFormat="1" applyFont="1" applyBorder="1"/>
    <xf numFmtId="168" fontId="6" fillId="0" borderId="1" xfId="0" applyNumberFormat="1" applyFont="1" applyBorder="1"/>
    <xf numFmtId="168" fontId="6" fillId="0" borderId="33" xfId="0" applyNumberFormat="1" applyFont="1" applyBorder="1"/>
    <xf numFmtId="168" fontId="6" fillId="0" borderId="34" xfId="0" applyNumberFormat="1" applyFont="1" applyBorder="1"/>
    <xf numFmtId="168" fontId="6" fillId="0" borderId="35" xfId="0" applyNumberFormat="1" applyFont="1" applyBorder="1"/>
    <xf numFmtId="168" fontId="6" fillId="0" borderId="36" xfId="0" applyNumberFormat="1" applyFont="1" applyBorder="1"/>
    <xf numFmtId="0" fontId="18" fillId="12" borderId="30" xfId="0" applyFont="1" applyFill="1" applyBorder="1" applyAlignment="1">
      <alignment horizontal="left"/>
    </xf>
    <xf numFmtId="0" fontId="18" fillId="12" borderId="31" xfId="0" applyFont="1" applyFill="1" applyBorder="1" applyAlignment="1">
      <alignment horizontal="left"/>
    </xf>
    <xf numFmtId="0" fontId="18" fillId="12" borderId="32" xfId="0" applyFont="1" applyFill="1" applyBorder="1" applyAlignment="1">
      <alignment horizontal="left"/>
    </xf>
    <xf numFmtId="0" fontId="13" fillId="15" borderId="33" xfId="0" applyFont="1" applyFill="1" applyBorder="1" applyAlignment="1">
      <alignment horizontal="left"/>
    </xf>
    <xf numFmtId="168" fontId="10" fillId="15" borderId="33" xfId="0" applyNumberFormat="1" applyFont="1" applyFill="1" applyBorder="1" applyAlignment="1">
      <alignment horizontal="left"/>
    </xf>
    <xf numFmtId="0" fontId="18" fillId="12" borderId="34" xfId="0" applyFont="1" applyFill="1" applyBorder="1" applyAlignment="1">
      <alignment horizontal="left"/>
    </xf>
    <xf numFmtId="168" fontId="10" fillId="15" borderId="36" xfId="0" applyNumberFormat="1" applyFont="1" applyFill="1" applyBorder="1" applyAlignment="1">
      <alignment horizontal="left"/>
    </xf>
    <xf numFmtId="9" fontId="0" fillId="0" borderId="32" xfId="0" applyNumberFormat="1" applyBorder="1"/>
    <xf numFmtId="9" fontId="0" fillId="0" borderId="33" xfId="0" applyNumberFormat="1" applyBorder="1"/>
    <xf numFmtId="9" fontId="0" fillId="0" borderId="34" xfId="0" applyNumberFormat="1" applyBorder="1"/>
    <xf numFmtId="9" fontId="0" fillId="0" borderId="35" xfId="0" applyNumberFormat="1" applyBorder="1"/>
    <xf numFmtId="9" fontId="0" fillId="0" borderId="36" xfId="0" applyNumberFormat="1" applyBorder="1"/>
    <xf numFmtId="0" fontId="0" fillId="12" borderId="31" xfId="0" applyFill="1" applyBorder="1"/>
    <xf numFmtId="0" fontId="0" fillId="14" borderId="33" xfId="0" applyFill="1" applyBorder="1" applyAlignment="1">
      <alignment horizontal="left"/>
    </xf>
    <xf numFmtId="9" fontId="0" fillId="14" borderId="33" xfId="0" applyNumberFormat="1" applyFill="1" applyBorder="1" applyAlignment="1">
      <alignment horizontal="left"/>
    </xf>
    <xf numFmtId="9" fontId="0" fillId="14" borderId="36" xfId="0" applyNumberFormat="1" applyFill="1" applyBorder="1" applyAlignment="1">
      <alignment horizontal="left"/>
    </xf>
    <xf numFmtId="0" fontId="7" fillId="18" borderId="32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7" fillId="18" borderId="33" xfId="0" applyFont="1" applyFill="1" applyBorder="1" applyAlignment="1">
      <alignment horizontal="center"/>
    </xf>
    <xf numFmtId="0" fontId="6" fillId="18" borderId="32" xfId="0" applyFont="1" applyFill="1" applyBorder="1" applyAlignment="1">
      <alignment horizontal="center"/>
    </xf>
    <xf numFmtId="0" fontId="7" fillId="20" borderId="32" xfId="0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/>
    </xf>
    <xf numFmtId="0" fontId="7" fillId="20" borderId="33" xfId="0" applyFont="1" applyFill="1" applyBorder="1" applyAlignment="1">
      <alignment horizontal="center"/>
    </xf>
    <xf numFmtId="0" fontId="6" fillId="20" borderId="33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168" fontId="6" fillId="0" borderId="4" xfId="0" applyNumberFormat="1" applyFont="1" applyBorder="1"/>
    <xf numFmtId="168" fontId="6" fillId="0" borderId="40" xfId="0" applyNumberFormat="1" applyFont="1" applyBorder="1"/>
    <xf numFmtId="0" fontId="18" fillId="17" borderId="30" xfId="0" applyFont="1" applyFill="1" applyBorder="1" applyAlignment="1">
      <alignment horizontal="center"/>
    </xf>
    <xf numFmtId="0" fontId="18" fillId="19" borderId="31" xfId="0" applyFont="1" applyFill="1" applyBorder="1" applyAlignment="1">
      <alignment horizontal="center"/>
    </xf>
    <xf numFmtId="167" fontId="6" fillId="0" borderId="32" xfId="0" applyNumberFormat="1" applyFont="1" applyBorder="1"/>
    <xf numFmtId="167" fontId="6" fillId="0" borderId="33" xfId="0" applyNumberFormat="1" applyFont="1" applyBorder="1"/>
    <xf numFmtId="167" fontId="6" fillId="0" borderId="34" xfId="0" applyNumberFormat="1" applyFont="1" applyBorder="1"/>
    <xf numFmtId="167" fontId="6" fillId="0" borderId="36" xfId="0" applyNumberFormat="1" applyFont="1" applyBorder="1"/>
    <xf numFmtId="170" fontId="6" fillId="0" borderId="32" xfId="0" applyNumberFormat="1" applyFont="1" applyBorder="1"/>
    <xf numFmtId="170" fontId="6" fillId="0" borderId="33" xfId="0" applyNumberFormat="1" applyFont="1" applyBorder="1"/>
    <xf numFmtId="170" fontId="6" fillId="0" borderId="34" xfId="0" applyNumberFormat="1" applyFont="1" applyBorder="1"/>
    <xf numFmtId="170" fontId="6" fillId="0" borderId="36" xfId="0" applyNumberFormat="1" applyFont="1" applyBorder="1"/>
    <xf numFmtId="0" fontId="18" fillId="17" borderId="1" xfId="0" applyFont="1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168" fontId="0" fillId="0" borderId="32" xfId="0" applyNumberFormat="1" applyBorder="1"/>
    <xf numFmtId="168" fontId="0" fillId="0" borderId="33" xfId="0" applyNumberFormat="1" applyBorder="1"/>
    <xf numFmtId="168" fontId="0" fillId="0" borderId="34" xfId="0" applyNumberFormat="1" applyBorder="1"/>
    <xf numFmtId="168" fontId="0" fillId="0" borderId="36" xfId="0" applyNumberFormat="1" applyBorder="1"/>
    <xf numFmtId="0" fontId="0" fillId="7" borderId="0" xfId="0" applyFill="1"/>
    <xf numFmtId="0" fontId="0" fillId="7" borderId="20" xfId="0" applyFill="1" applyBorder="1"/>
    <xf numFmtId="0" fontId="0" fillId="17" borderId="27" xfId="0" applyFill="1" applyBorder="1"/>
    <xf numFmtId="0" fontId="1" fillId="17" borderId="0" xfId="0" applyFont="1" applyFill="1"/>
    <xf numFmtId="0" fontId="0" fillId="17" borderId="0" xfId="0" applyFill="1"/>
    <xf numFmtId="0" fontId="1" fillId="17" borderId="27" xfId="0" applyFont="1" applyFill="1" applyBorder="1" applyAlignment="1">
      <alignment horizontal="center"/>
    </xf>
    <xf numFmtId="0" fontId="1" fillId="17" borderId="25" xfId="0" applyFont="1" applyFill="1" applyBorder="1" applyAlignment="1">
      <alignment horizontal="center"/>
    </xf>
    <xf numFmtId="0" fontId="1" fillId="19" borderId="0" xfId="0" applyFont="1" applyFill="1"/>
    <xf numFmtId="0" fontId="0" fillId="19" borderId="0" xfId="0" applyFill="1"/>
    <xf numFmtId="0" fontId="0" fillId="19" borderId="28" xfId="0" applyFill="1" applyBorder="1"/>
    <xf numFmtId="0" fontId="1" fillId="19" borderId="0" xfId="0" applyFont="1" applyFill="1" applyAlignment="1">
      <alignment horizontal="center"/>
    </xf>
    <xf numFmtId="0" fontId="1" fillId="19" borderId="20" xfId="0" applyFont="1" applyFill="1" applyBorder="1" applyAlignment="1">
      <alignment horizontal="center"/>
    </xf>
    <xf numFmtId="0" fontId="0" fillId="20" borderId="0" xfId="0" applyFill="1"/>
    <xf numFmtId="0" fontId="0" fillId="20" borderId="20" xfId="0" applyFill="1" applyBorder="1"/>
    <xf numFmtId="1" fontId="0" fillId="0" borderId="1" xfId="0" applyNumberFormat="1" applyBorder="1"/>
    <xf numFmtId="0" fontId="13" fillId="0" borderId="18" xfId="0" applyFont="1" applyBorder="1" applyAlignment="1">
      <alignment horizontal="left"/>
    </xf>
    <xf numFmtId="168" fontId="13" fillId="10" borderId="19" xfId="0" applyNumberFormat="1" applyFont="1" applyFill="1" applyBorder="1" applyAlignment="1">
      <alignment horizontal="right"/>
    </xf>
    <xf numFmtId="167" fontId="13" fillId="10" borderId="4" xfId="0" applyNumberFormat="1" applyFont="1" applyFill="1" applyBorder="1" applyAlignment="1">
      <alignment horizontal="right"/>
    </xf>
    <xf numFmtId="167" fontId="13" fillId="10" borderId="1" xfId="0" applyNumberFormat="1" applyFont="1" applyFill="1" applyBorder="1" applyAlignment="1">
      <alignment horizontal="right"/>
    </xf>
    <xf numFmtId="167" fontId="13" fillId="10" borderId="41" xfId="0" applyNumberFormat="1" applyFont="1" applyFill="1" applyBorder="1" applyAlignment="1">
      <alignment horizontal="right"/>
    </xf>
    <xf numFmtId="167" fontId="13" fillId="10" borderId="42" xfId="0" applyNumberFormat="1" applyFont="1" applyFill="1" applyBorder="1" applyAlignment="1">
      <alignment horizontal="right"/>
    </xf>
    <xf numFmtId="167" fontId="13" fillId="10" borderId="19" xfId="0" applyNumberFormat="1" applyFont="1" applyFill="1" applyBorder="1" applyAlignment="1">
      <alignment horizontal="right"/>
    </xf>
    <xf numFmtId="0" fontId="13" fillId="0" borderId="15" xfId="0" applyFont="1" applyBorder="1" applyAlignment="1">
      <alignment horizontal="left"/>
    </xf>
    <xf numFmtId="167" fontId="10" fillId="8" borderId="24" xfId="0" applyNumberFormat="1" applyFont="1" applyFill="1" applyBorder="1" applyAlignment="1">
      <alignment horizontal="right"/>
    </xf>
    <xf numFmtId="167" fontId="10" fillId="8" borderId="4" xfId="0" applyNumberFormat="1" applyFont="1" applyFill="1" applyBorder="1" applyAlignment="1">
      <alignment horizontal="right"/>
    </xf>
    <xf numFmtId="167" fontId="14" fillId="8" borderId="15" xfId="0" applyNumberFormat="1" applyFont="1" applyFill="1" applyBorder="1"/>
    <xf numFmtId="3" fontId="10" fillId="10" borderId="24" xfId="0" applyNumberFormat="1" applyFont="1" applyFill="1" applyBorder="1" applyAlignment="1">
      <alignment horizontal="right"/>
    </xf>
    <xf numFmtId="0" fontId="12" fillId="0" borderId="1" xfId="0" applyFont="1" applyBorder="1" applyAlignment="1">
      <alignment horizontal="right" wrapText="1"/>
    </xf>
    <xf numFmtId="0" fontId="12" fillId="0" borderId="4" xfId="0" applyFont="1" applyBorder="1" applyAlignment="1">
      <alignment horizontal="right" wrapText="1"/>
    </xf>
    <xf numFmtId="167" fontId="0" fillId="8" borderId="6" xfId="0" applyNumberFormat="1" applyFill="1" applyBorder="1"/>
    <xf numFmtId="167" fontId="0" fillId="8" borderId="7" xfId="0" applyNumberFormat="1" applyFill="1" applyBorder="1"/>
    <xf numFmtId="167" fontId="0" fillId="8" borderId="8" xfId="0" applyNumberFormat="1" applyFill="1" applyBorder="1"/>
    <xf numFmtId="0" fontId="12" fillId="0" borderId="1" xfId="0" applyFont="1" applyBorder="1" applyAlignment="1">
      <alignment wrapText="1"/>
    </xf>
    <xf numFmtId="169" fontId="6" fillId="11" borderId="11" xfId="0" applyNumberFormat="1" applyFont="1" applyFill="1" applyBorder="1" applyAlignment="1">
      <alignment horizontal="right"/>
    </xf>
    <xf numFmtId="169" fontId="6" fillId="8" borderId="7" xfId="0" applyNumberFormat="1" applyFont="1" applyFill="1" applyBorder="1" applyAlignment="1">
      <alignment horizontal="right"/>
    </xf>
    <xf numFmtId="0" fontId="9" fillId="0" borderId="0" xfId="0" applyFont="1" applyAlignment="1">
      <alignment horizontal="right" vertical="justify" wrapText="1"/>
    </xf>
    <xf numFmtId="165" fontId="6" fillId="0" borderId="0" xfId="0" applyNumberFormat="1" applyFont="1" applyAlignment="1">
      <alignment horizontal="right"/>
    </xf>
    <xf numFmtId="167" fontId="14" fillId="0" borderId="0" xfId="0" applyNumberFormat="1" applyFont="1"/>
    <xf numFmtId="167" fontId="0" fillId="8" borderId="4" xfId="0" applyNumberFormat="1" applyFill="1" applyBorder="1"/>
    <xf numFmtId="166" fontId="10" fillId="0" borderId="1" xfId="0" applyNumberFormat="1" applyFont="1" applyBorder="1" applyAlignment="1">
      <alignment horizontal="right"/>
    </xf>
    <xf numFmtId="166" fontId="10" fillId="0" borderId="8" xfId="0" applyNumberFormat="1" applyFont="1" applyBorder="1" applyAlignment="1">
      <alignment horizontal="right"/>
    </xf>
    <xf numFmtId="0" fontId="13" fillId="0" borderId="17" xfId="0" applyFont="1" applyBorder="1" applyAlignment="1">
      <alignment horizontal="right"/>
    </xf>
    <xf numFmtId="168" fontId="10" fillId="10" borderId="15" xfId="0" applyNumberFormat="1" applyFont="1" applyFill="1" applyBorder="1" applyAlignment="1">
      <alignment horizontal="right"/>
    </xf>
    <xf numFmtId="3" fontId="6" fillId="7" borderId="20" xfId="0" applyNumberFormat="1" applyFont="1" applyFill="1" applyBorder="1" applyAlignment="1">
      <alignment horizontal="right"/>
    </xf>
    <xf numFmtId="168" fontId="13" fillId="8" borderId="19" xfId="0" applyNumberFormat="1" applyFont="1" applyFill="1" applyBorder="1" applyAlignment="1">
      <alignment horizontal="right"/>
    </xf>
    <xf numFmtId="0" fontId="6" fillId="0" borderId="7" xfId="0" applyFont="1" applyBorder="1"/>
    <xf numFmtId="167" fontId="13" fillId="8" borderId="42" xfId="0" applyNumberFormat="1" applyFont="1" applyFill="1" applyBorder="1" applyAlignment="1">
      <alignment horizontal="right"/>
    </xf>
    <xf numFmtId="167" fontId="13" fillId="8" borderId="19" xfId="0" applyNumberFormat="1" applyFont="1" applyFill="1" applyBorder="1" applyAlignment="1">
      <alignment horizontal="right"/>
    </xf>
    <xf numFmtId="0" fontId="6" fillId="0" borderId="6" xfId="0" applyFont="1" applyBorder="1"/>
    <xf numFmtId="0" fontId="6" fillId="8" borderId="6" xfId="0" applyFont="1" applyFill="1" applyBorder="1"/>
    <xf numFmtId="0" fontId="5" fillId="0" borderId="18" xfId="0" applyFont="1" applyBorder="1"/>
    <xf numFmtId="167" fontId="5" fillId="8" borderId="42" xfId="0" applyNumberFormat="1" applyFont="1" applyFill="1" applyBorder="1"/>
    <xf numFmtId="167" fontId="5" fillId="8" borderId="19" xfId="0" applyNumberFormat="1" applyFont="1" applyFill="1" applyBorder="1"/>
    <xf numFmtId="1" fontId="6" fillId="8" borderId="6" xfId="0" applyNumberFormat="1" applyFont="1" applyFill="1" applyBorder="1"/>
    <xf numFmtId="0" fontId="12" fillId="0" borderId="24" xfId="0" applyFont="1" applyBorder="1" applyAlignment="1">
      <alignment horizontal="right" vertical="justify" wrapText="1"/>
    </xf>
    <xf numFmtId="167" fontId="0" fillId="11" borderId="14" xfId="0" applyNumberFormat="1" applyFill="1" applyBorder="1" applyAlignment="1">
      <alignment horizontal="right"/>
    </xf>
    <xf numFmtId="167" fontId="6" fillId="0" borderId="0" xfId="0" applyNumberFormat="1" applyFont="1"/>
    <xf numFmtId="0" fontId="0" fillId="0" borderId="0" xfId="0" applyAlignment="1">
      <alignment wrapText="1"/>
    </xf>
    <xf numFmtId="0" fontId="25" fillId="0" borderId="0" xfId="0" applyFont="1"/>
    <xf numFmtId="0" fontId="0" fillId="0" borderId="0" xfId="0"/>
    <xf numFmtId="0" fontId="0" fillId="0" borderId="27" xfId="0" applyBorder="1"/>
    <xf numFmtId="0" fontId="1" fillId="21" borderId="8" xfId="0" applyFont="1" applyFill="1" applyBorder="1" applyAlignment="1">
      <alignment horizontal="center"/>
    </xf>
    <xf numFmtId="0" fontId="1" fillId="21" borderId="5" xfId="0" applyFont="1" applyFill="1" applyBorder="1" applyAlignment="1">
      <alignment horizontal="center"/>
    </xf>
    <xf numFmtId="0" fontId="1" fillId="19" borderId="26" xfId="0" applyFont="1" applyFill="1" applyBorder="1" applyAlignment="1">
      <alignment horizontal="center"/>
    </xf>
    <xf numFmtId="0" fontId="1" fillId="19" borderId="8" xfId="0" applyFont="1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20" fillId="0" borderId="6" xfId="0" applyFont="1" applyBorder="1" applyAlignment="1">
      <alignment horizontal="center" vertical="center" textRotation="90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" xfId="0" applyFont="1" applyBorder="1" applyAlignment="1">
      <alignment vertical="center" textRotation="90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22" fillId="17" borderId="37" xfId="0" applyFont="1" applyFill="1" applyBorder="1" applyAlignment="1">
      <alignment horizontal="center"/>
    </xf>
    <xf numFmtId="0" fontId="23" fillId="17" borderId="38" xfId="0" applyFont="1" applyFill="1" applyBorder="1" applyAlignment="1">
      <alignment horizontal="center"/>
    </xf>
    <xf numFmtId="0" fontId="23" fillId="17" borderId="39" xfId="0" applyFont="1" applyFill="1" applyBorder="1" applyAlignment="1">
      <alignment horizontal="center"/>
    </xf>
    <xf numFmtId="0" fontId="22" fillId="19" borderId="37" xfId="0" applyFont="1" applyFill="1" applyBorder="1" applyAlignment="1">
      <alignment horizontal="center"/>
    </xf>
    <xf numFmtId="0" fontId="23" fillId="19" borderId="38" xfId="0" applyFont="1" applyFill="1" applyBorder="1" applyAlignment="1">
      <alignment horizontal="center"/>
    </xf>
    <xf numFmtId="0" fontId="23" fillId="19" borderId="39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CCFFFF"/>
      <color rgb="FFC55A11"/>
      <color rgb="FFFFCC99"/>
      <color rgb="FF203864"/>
      <color rgb="FF2F5597"/>
      <color rgb="FF843C0C"/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 Year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DC-4B47-BBC9-3ED4C49F804B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DC-4B47-BBC9-3ED4C49F804B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DC-4B47-BBC9-3ED4C49F804B}"/>
              </c:ext>
            </c:extLst>
          </c:dPt>
          <c:dPt>
            <c:idx val="3"/>
            <c:bubble3D val="0"/>
            <c:spPr>
              <a:solidFill>
                <a:srgbClr val="C55A11">
                  <a:alpha val="89804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DC-4B47-BBC9-3ED4C49F804B}"/>
              </c:ext>
            </c:extLst>
          </c:dPt>
          <c:dPt>
            <c:idx val="4"/>
            <c:bubble3D val="0"/>
            <c:spPr>
              <a:solidFill>
                <a:srgbClr val="843C0C">
                  <a:alpha val="89804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DC-4B47-BBC9-3ED4C49F80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DC-4B47-BBC9-3ED4C49F80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DC-4B47-BBC9-3ED4C49F804B}"/>
              </c:ext>
            </c:extLst>
          </c:dPt>
          <c:dPt>
            <c:idx val="7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3DC-4B47-BBC9-3ED4C49F804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3DC-4B47-BBC9-3ED4C49F804B}"/>
              </c:ext>
            </c:extLst>
          </c:dPt>
          <c:dPt>
            <c:idx val="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3DC-4B47-BBC9-3ED4C49F804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3DC-4B47-BBC9-3ED4C49F804B}"/>
              </c:ext>
            </c:extLst>
          </c:dPt>
          <c:dPt>
            <c:idx val="11"/>
            <c:bubble3D val="0"/>
            <c:spPr>
              <a:solidFill>
                <a:srgbClr val="2F5597">
                  <a:alpha val="89804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3DC-4B47-BBC9-3ED4C49F804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3DC-4B47-BBC9-3ED4C49F804B}"/>
              </c:ext>
            </c:extLst>
          </c:dPt>
          <c:dPt>
            <c:idx val="13"/>
            <c:bubble3D val="0"/>
            <c:spPr>
              <a:solidFill>
                <a:srgbClr val="203864">
                  <a:alpha val="89804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3DC-4B47-BBC9-3ED4C49F804B}"/>
              </c:ext>
            </c:extLst>
          </c:dPt>
          <c:dLbls>
            <c:dLbl>
              <c:idx val="0"/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63DC-4B47-BBC9-3ED4C49F804B}"/>
                </c:ext>
              </c:extLst>
            </c:dLbl>
            <c:dLbl>
              <c:idx val="1"/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63DC-4B47-BBC9-3ED4C49F804B}"/>
                </c:ext>
              </c:extLst>
            </c:dLbl>
            <c:dLbl>
              <c:idx val="2"/>
              <c:layout>
                <c:manualLayout>
                  <c:x val="1.1394660031644716E-2"/>
                  <c:y val="5.5865921787709445E-2"/>
                </c:manualLayout>
              </c:layout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63DC-4B47-BBC9-3ED4C49F804B}"/>
                </c:ext>
              </c:extLst>
            </c:dLbl>
            <c:dLbl>
              <c:idx val="3"/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63DC-4B47-BBC9-3ED4C49F804B}"/>
                </c:ext>
              </c:extLst>
            </c:dLbl>
            <c:dLbl>
              <c:idx val="4"/>
              <c:layout>
                <c:manualLayout>
                  <c:x val="3.7982200105482852E-2"/>
                  <c:y val="8.3798882681564244E-3"/>
                </c:manualLayout>
              </c:layout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63DC-4B47-BBC9-3ED4C49F80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3DC-4B47-BBC9-3ED4C49F804B}"/>
                </c:ext>
              </c:extLst>
            </c:dLbl>
            <c:dLbl>
              <c:idx val="6"/>
              <c:layout>
                <c:manualLayout>
                  <c:x val="-3.4183980094934598E-2"/>
                  <c:y val="-6.42458100558659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3DC-4B47-BBC9-3ED4C49F804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10400274069985643"/>
                      <c:h val="0.159815246557867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63DC-4B47-BBC9-3ED4C49F804B}"/>
                </c:ext>
              </c:extLst>
            </c:dLbl>
            <c:dLbl>
              <c:idx val="9"/>
              <c:layout>
                <c:manualLayout>
                  <c:x val="-3.4183980094934563E-2"/>
                  <c:y val="3.63128491620111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DC-4B47-BBC9-3ED4C49F804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DC-4B47-BBC9-3ED4C49F804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DC-4B47-BBC9-3ED4C49F804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'Total collection  '!$D$21:$Q$21</c:f>
              <c:strCache>
                <c:ptCount val="14"/>
                <c:pt idx="0">
                  <c:v>cataloguing</c:v>
                </c:pt>
                <c:pt idx="1">
                  <c:v>rehousing</c:v>
                </c:pt>
                <c:pt idx="2">
                  <c:v>placing</c:v>
                </c:pt>
                <c:pt idx="3">
                  <c:v>storage</c:v>
                </c:pt>
                <c:pt idx="4">
                  <c:v>access rr</c:v>
                </c:pt>
                <c:pt idx="5">
                  <c:v>applications</c:v>
                </c:pt>
                <c:pt idx="6">
                  <c:v>selection</c:v>
                </c:pt>
                <c:pt idx="7">
                  <c:v>creation</c:v>
                </c:pt>
                <c:pt idx="8">
                  <c:v>metadata</c:v>
                </c:pt>
                <c:pt idx="9">
                  <c:v>control</c:v>
                </c:pt>
                <c:pt idx="10">
                  <c:v>ingest</c:v>
                </c:pt>
                <c:pt idx="11">
                  <c:v>digital storage</c:v>
                </c:pt>
                <c:pt idx="12">
                  <c:v>preservation </c:v>
                </c:pt>
                <c:pt idx="13">
                  <c:v>access online</c:v>
                </c:pt>
              </c:strCache>
            </c:strRef>
          </c:cat>
          <c:val>
            <c:numRef>
              <c:f>'Total collection  '!$D$22:$Q$22</c:f>
              <c:numCache>
                <c:formatCode>0%</c:formatCode>
                <c:ptCount val="14"/>
                <c:pt idx="0">
                  <c:v>0.19714063424678077</c:v>
                </c:pt>
                <c:pt idx="1">
                  <c:v>4.9728958831392778E-2</c:v>
                </c:pt>
                <c:pt idx="2">
                  <c:v>4.6769834988267804E-2</c:v>
                </c:pt>
                <c:pt idx="3">
                  <c:v>0.24464666520809109</c:v>
                </c:pt>
                <c:pt idx="4">
                  <c:v>9.9676817267468493E-2</c:v>
                </c:pt>
                <c:pt idx="5">
                  <c:v>3.8810665431767677E-3</c:v>
                </c:pt>
                <c:pt idx="6">
                  <c:v>1.9957688590191341E-2</c:v>
                </c:pt>
                <c:pt idx="7">
                  <c:v>0.12512558535201901</c:v>
                </c:pt>
                <c:pt idx="8">
                  <c:v>2.0500575904074791E-3</c:v>
                </c:pt>
                <c:pt idx="9">
                  <c:v>8.302009934540772E-3</c:v>
                </c:pt>
                <c:pt idx="10">
                  <c:v>0</c:v>
                </c:pt>
                <c:pt idx="11">
                  <c:v>4.1214676290912876E-2</c:v>
                </c:pt>
                <c:pt idx="12">
                  <c:v>0</c:v>
                </c:pt>
                <c:pt idx="13">
                  <c:v>0.16150600515675087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3DC-4B47-BBC9-3ED4C49F8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digital</a:t>
            </a:r>
            <a:r>
              <a:rPr lang="en-GB" baseline="0"/>
              <a:t> costs Year 1-10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88488723454198"/>
          <c:y val="0.11588861750442918"/>
          <c:w val="0.80035743517762858"/>
          <c:h val="0.6131403566228549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'Total collection  '!$J$7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'!$J$8:$J$17</c:f>
              <c:numCache>
                <c:formatCode>"€"\ #,##0</c:formatCode>
                <c:ptCount val="10"/>
                <c:pt idx="0">
                  <c:v>25711.603199999998</c:v>
                </c:pt>
                <c:pt idx="1">
                  <c:v>25711.603199999998</c:v>
                </c:pt>
                <c:pt idx="2">
                  <c:v>25711.603199999998</c:v>
                </c:pt>
                <c:pt idx="3">
                  <c:v>25711.603199999998</c:v>
                </c:pt>
                <c:pt idx="4">
                  <c:v>25711.603199999998</c:v>
                </c:pt>
                <c:pt idx="5">
                  <c:v>25711.603199999998</c:v>
                </c:pt>
                <c:pt idx="6">
                  <c:v>25711.603199999998</c:v>
                </c:pt>
                <c:pt idx="7">
                  <c:v>25711.603199999998</c:v>
                </c:pt>
                <c:pt idx="8">
                  <c:v>25711.603199999998</c:v>
                </c:pt>
                <c:pt idx="9">
                  <c:v>25711.603199999998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A-46B5-96DB-F7F3B39F1A19}"/>
            </c:ext>
          </c:extLst>
        </c:ser>
        <c:ser>
          <c:idx val="1"/>
          <c:order val="1"/>
          <c:tx>
            <c:strRef>
              <c:f>'Total collection  '!$K$7</c:f>
              <c:strCache>
                <c:ptCount val="1"/>
                <c:pt idx="0">
                  <c:v>creation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'!$K$8:$K$17</c:f>
              <c:numCache>
                <c:formatCode>"€"\ #,##0</c:formatCode>
                <c:ptCount val="10"/>
                <c:pt idx="0">
                  <c:v>161200</c:v>
                </c:pt>
                <c:pt idx="1">
                  <c:v>161200</c:v>
                </c:pt>
                <c:pt idx="2">
                  <c:v>161200</c:v>
                </c:pt>
                <c:pt idx="3">
                  <c:v>161200</c:v>
                </c:pt>
                <c:pt idx="4">
                  <c:v>161200</c:v>
                </c:pt>
                <c:pt idx="5">
                  <c:v>161200</c:v>
                </c:pt>
                <c:pt idx="6">
                  <c:v>161200</c:v>
                </c:pt>
                <c:pt idx="7">
                  <c:v>161200</c:v>
                </c:pt>
                <c:pt idx="8">
                  <c:v>161200</c:v>
                </c:pt>
                <c:pt idx="9">
                  <c:v>161200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A-46B5-96DB-F7F3B39F1A19}"/>
            </c:ext>
          </c:extLst>
        </c:ser>
        <c:ser>
          <c:idx val="2"/>
          <c:order val="2"/>
          <c:tx>
            <c:strRef>
              <c:f>'Total collection  '!$L$7</c:f>
              <c:strCache>
                <c:ptCount val="1"/>
                <c:pt idx="0">
                  <c:v>metadata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'!$L$8:$L$17</c:f>
              <c:numCache>
                <c:formatCode>"€"\ #,##0</c:formatCode>
                <c:ptCount val="10"/>
                <c:pt idx="0">
                  <c:v>2641.1007999999997</c:v>
                </c:pt>
                <c:pt idx="1">
                  <c:v>2641.1007999999997</c:v>
                </c:pt>
                <c:pt idx="2">
                  <c:v>2641.1007999999997</c:v>
                </c:pt>
                <c:pt idx="3">
                  <c:v>2641.1007999999997</c:v>
                </c:pt>
                <c:pt idx="4">
                  <c:v>2641.1007999999997</c:v>
                </c:pt>
                <c:pt idx="5">
                  <c:v>2641.1007999999997</c:v>
                </c:pt>
                <c:pt idx="6">
                  <c:v>2641.1007999999997</c:v>
                </c:pt>
                <c:pt idx="7">
                  <c:v>2641.1007999999997</c:v>
                </c:pt>
                <c:pt idx="8">
                  <c:v>2641.1007999999997</c:v>
                </c:pt>
                <c:pt idx="9">
                  <c:v>2641.1007999999997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4A-46B5-96DB-F7F3B39F1A19}"/>
            </c:ext>
          </c:extLst>
        </c:ser>
        <c:ser>
          <c:idx val="3"/>
          <c:order val="3"/>
          <c:tx>
            <c:strRef>
              <c:f>'Total collection  '!$M$7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'!$M$8:$M$17</c:f>
              <c:numCache>
                <c:formatCode>"€"\ #,##0</c:formatCode>
                <c:ptCount val="10"/>
                <c:pt idx="0">
                  <c:v>10695.526399999999</c:v>
                </c:pt>
                <c:pt idx="1">
                  <c:v>10695.526399999999</c:v>
                </c:pt>
                <c:pt idx="2">
                  <c:v>10695.526399999999</c:v>
                </c:pt>
                <c:pt idx="3">
                  <c:v>10695.526399999999</c:v>
                </c:pt>
                <c:pt idx="4">
                  <c:v>10695.526399999999</c:v>
                </c:pt>
                <c:pt idx="5">
                  <c:v>10695.526399999999</c:v>
                </c:pt>
                <c:pt idx="6">
                  <c:v>10695.526399999999</c:v>
                </c:pt>
                <c:pt idx="7">
                  <c:v>10695.526399999999</c:v>
                </c:pt>
                <c:pt idx="8">
                  <c:v>10695.526399999999</c:v>
                </c:pt>
                <c:pt idx="9">
                  <c:v>10695.526399999999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4A-46B5-96DB-F7F3B39F1A19}"/>
            </c:ext>
          </c:extLst>
        </c:ser>
        <c:ser>
          <c:idx val="4"/>
          <c:order val="4"/>
          <c:tx>
            <c:strRef>
              <c:f>'Total collection  '!$N$7</c:f>
              <c:strCache>
                <c:ptCount val="1"/>
                <c:pt idx="0">
                  <c:v>ingest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'!$N$8:$N$17</c:f>
              <c:numCache>
                <c:formatCode>"€"\ 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4A-46B5-96DB-F7F3B39F1A19}"/>
            </c:ext>
          </c:extLst>
        </c:ser>
        <c:ser>
          <c:idx val="5"/>
          <c:order val="5"/>
          <c:tx>
            <c:strRef>
              <c:f>'Total collection  '!$O$7</c:f>
              <c:strCache>
                <c:ptCount val="1"/>
                <c:pt idx="0">
                  <c:v>digital storage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'!$O$8:$O$17</c:f>
              <c:numCache>
                <c:formatCode>"€"\ #,##0</c:formatCode>
                <c:ptCount val="10"/>
                <c:pt idx="0">
                  <c:v>53097.1008</c:v>
                </c:pt>
                <c:pt idx="1">
                  <c:v>54553.1008</c:v>
                </c:pt>
                <c:pt idx="2">
                  <c:v>56009.1008</c:v>
                </c:pt>
                <c:pt idx="3">
                  <c:v>57465.1008</c:v>
                </c:pt>
                <c:pt idx="4">
                  <c:v>58921.1008</c:v>
                </c:pt>
                <c:pt idx="5">
                  <c:v>60377.100799999993</c:v>
                </c:pt>
                <c:pt idx="6">
                  <c:v>61833.100799999993</c:v>
                </c:pt>
                <c:pt idx="7">
                  <c:v>63289.100799999993</c:v>
                </c:pt>
                <c:pt idx="8">
                  <c:v>64745.100799999993</c:v>
                </c:pt>
                <c:pt idx="9">
                  <c:v>66201.100799999986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4A-46B5-96DB-F7F3B39F1A19}"/>
            </c:ext>
          </c:extLst>
        </c:ser>
        <c:ser>
          <c:idx val="6"/>
          <c:order val="6"/>
          <c:tx>
            <c:strRef>
              <c:f>'Total collection  '!$P$7</c:f>
              <c:strCache>
                <c:ptCount val="1"/>
                <c:pt idx="0">
                  <c:v>preservation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'!$P$8:$P$17</c:f>
              <c:numCache>
                <c:formatCode>"€"\ 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4A-46B5-96DB-F7F3B39F1A19}"/>
            </c:ext>
          </c:extLst>
        </c:ser>
        <c:ser>
          <c:idx val="7"/>
          <c:order val="7"/>
          <c:tx>
            <c:strRef>
              <c:f>'Total collection  '!$Q$7</c:f>
              <c:strCache>
                <c:ptCount val="1"/>
                <c:pt idx="0">
                  <c:v>access online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'!$Q$8:$Q$17</c:f>
              <c:numCache>
                <c:formatCode>"€"\ #,##0</c:formatCode>
                <c:ptCount val="10"/>
                <c:pt idx="0">
                  <c:v>208069.10079999999</c:v>
                </c:pt>
                <c:pt idx="1">
                  <c:v>213997.10079999999</c:v>
                </c:pt>
                <c:pt idx="2">
                  <c:v>219925.10079999999</c:v>
                </c:pt>
                <c:pt idx="3">
                  <c:v>225853.10079999999</c:v>
                </c:pt>
                <c:pt idx="4">
                  <c:v>231781.10079999999</c:v>
                </c:pt>
                <c:pt idx="5">
                  <c:v>237709.10079999999</c:v>
                </c:pt>
                <c:pt idx="6">
                  <c:v>243637.10079999999</c:v>
                </c:pt>
                <c:pt idx="7">
                  <c:v>249565.10079999999</c:v>
                </c:pt>
                <c:pt idx="8">
                  <c:v>255493.10079999999</c:v>
                </c:pt>
                <c:pt idx="9">
                  <c:v>261421.10079999999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4A-46B5-96DB-F7F3B39F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9711072"/>
        <c:axId val="396934192"/>
        <c:axId val="0"/>
      </c:bar3DChart>
      <c:catAx>
        <c:axId val="55971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6934192"/>
        <c:crosses val="autoZero"/>
        <c:auto val="1"/>
        <c:lblAlgn val="ctr"/>
        <c:lblOffset val="100"/>
        <c:noMultiLvlLbl val="0"/>
      </c:catAx>
      <c:valAx>
        <c:axId val="3969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97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73033480946269"/>
          <c:y val="0.83858540239713975"/>
          <c:w val="0.81822370329352989"/>
          <c:h val="0.13454246289946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rr requests vs digital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collection  '!$C$34</c:f>
              <c:strCache>
                <c:ptCount val="1"/>
                <c:pt idx="0">
                  <c:v>requested m /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'Total collection  '!$C$35:$C$44</c:f>
              <c:numCache>
                <c:formatCode>0</c:formatCode>
                <c:ptCount val="10"/>
                <c:pt idx="0">
                  <c:v>554.61181959370344</c:v>
                </c:pt>
                <c:pt idx="1">
                  <c:v>533.56378364577847</c:v>
                </c:pt>
                <c:pt idx="2">
                  <c:v>501.09445600650304</c:v>
                </c:pt>
                <c:pt idx="3">
                  <c:v>466.42267898460636</c:v>
                </c:pt>
                <c:pt idx="4">
                  <c:v>441.93411049889653</c:v>
                </c:pt>
                <c:pt idx="5">
                  <c:v>415.81745832712045</c:v>
                </c:pt>
                <c:pt idx="6">
                  <c:v>384.79679411155945</c:v>
                </c:pt>
                <c:pt idx="7">
                  <c:v>356.42532125485297</c:v>
                </c:pt>
                <c:pt idx="8">
                  <c:v>324.31856891551911</c:v>
                </c:pt>
                <c:pt idx="9">
                  <c:v>298.04994578543011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8-48FC-8144-200142E220AF}"/>
            </c:ext>
          </c:extLst>
        </c:ser>
        <c:ser>
          <c:idx val="1"/>
          <c:order val="1"/>
          <c:tx>
            <c:strRef>
              <c:f>'Total collection  '!$D$34</c:f>
              <c:strCache>
                <c:ptCount val="1"/>
                <c:pt idx="0">
                  <c:v>digitized m /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'Total collection  '!$D$35:$D$44</c:f>
              <c:numCache>
                <c:formatCode>0</c:formatCode>
                <c:ptCount val="10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208</c:v>
                </c:pt>
                <c:pt idx="7">
                  <c:v>208</c:v>
                </c:pt>
                <c:pt idx="8">
                  <c:v>208</c:v>
                </c:pt>
                <c:pt idx="9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8-48FC-8144-200142E22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449071"/>
        <c:axId val="1853894399"/>
      </c:lineChart>
      <c:catAx>
        <c:axId val="1912449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53894399"/>
        <c:crosses val="autoZero"/>
        <c:auto val="1"/>
        <c:lblAlgn val="ctr"/>
        <c:lblOffset val="100"/>
        <c:noMultiLvlLbl val="0"/>
      </c:catAx>
      <c:valAx>
        <c:axId val="185389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1244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 Year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0F-46A0-B724-F46F240C5B8A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0F-46A0-B724-F46F240C5B8A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0F-46A0-B724-F46F240C5B8A}"/>
              </c:ext>
            </c:extLst>
          </c:dPt>
          <c:dPt>
            <c:idx val="3"/>
            <c:bubble3D val="0"/>
            <c:spPr>
              <a:solidFill>
                <a:srgbClr val="C55A11">
                  <a:alpha val="89804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0F-46A0-B724-F46F240C5B8A}"/>
              </c:ext>
            </c:extLst>
          </c:dPt>
          <c:dPt>
            <c:idx val="4"/>
            <c:bubble3D val="0"/>
            <c:spPr>
              <a:solidFill>
                <a:srgbClr val="843C0C">
                  <a:alpha val="89804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A0F-46A0-B724-F46F240C5B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0F-46A0-B724-F46F240C5B8A}"/>
              </c:ext>
            </c:extLst>
          </c:dPt>
          <c:dPt>
            <c:idx val="6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A0F-46A0-B724-F46F240C5B8A}"/>
              </c:ext>
            </c:extLst>
          </c:dPt>
          <c:dPt>
            <c:idx val="7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A0F-46A0-B724-F46F240C5B8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A0F-46A0-B724-F46F240C5B8A}"/>
              </c:ext>
            </c:extLst>
          </c:dPt>
          <c:dPt>
            <c:idx val="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0F-46A0-B724-F46F240C5B8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0F-46A0-B724-F46F240C5B8A}"/>
              </c:ext>
            </c:extLst>
          </c:dPt>
          <c:dPt>
            <c:idx val="11"/>
            <c:bubble3D val="0"/>
            <c:spPr>
              <a:solidFill>
                <a:srgbClr val="2F5597">
                  <a:alpha val="89804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A0F-46A0-B724-F46F240C5B8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A0F-46A0-B724-F46F240C5B8A}"/>
              </c:ext>
            </c:extLst>
          </c:dPt>
          <c:dPt>
            <c:idx val="13"/>
            <c:bubble3D val="0"/>
            <c:spPr>
              <a:solidFill>
                <a:srgbClr val="203864">
                  <a:alpha val="89804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A0F-46A0-B724-F46F240C5B8A}"/>
              </c:ext>
            </c:extLst>
          </c:dPt>
          <c:dLbls>
            <c:dLbl>
              <c:idx val="0"/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5A0F-46A0-B724-F46F240C5B8A}"/>
                </c:ext>
              </c:extLst>
            </c:dLbl>
            <c:dLbl>
              <c:idx val="1"/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5A0F-46A0-B724-F46F240C5B8A}"/>
                </c:ext>
              </c:extLst>
            </c:dLbl>
            <c:dLbl>
              <c:idx val="2"/>
              <c:layout>
                <c:manualLayout>
                  <c:x val="1.1394660031644716E-2"/>
                  <c:y val="5.5865921787709445E-2"/>
                </c:manualLayout>
              </c:layout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5A0F-46A0-B724-F46F240C5B8A}"/>
                </c:ext>
              </c:extLst>
            </c:dLbl>
            <c:dLbl>
              <c:idx val="3"/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5A0F-46A0-B724-F46F240C5B8A}"/>
                </c:ext>
              </c:extLst>
            </c:dLbl>
            <c:dLbl>
              <c:idx val="4"/>
              <c:layout>
                <c:manualLayout>
                  <c:x val="3.7982200105482852E-2"/>
                  <c:y val="8.3798882681564244E-3"/>
                </c:manualLayout>
              </c:layout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5A0F-46A0-B724-F46F240C5B8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0F-46A0-B724-F46F240C5B8A}"/>
                </c:ext>
              </c:extLst>
            </c:dLbl>
            <c:dLbl>
              <c:idx val="6"/>
              <c:layout>
                <c:manualLayout>
                  <c:x val="-3.4183980094934598E-2"/>
                  <c:y val="-6.42458100558659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0F-46A0-B724-F46F240C5B8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10400274069985643"/>
                      <c:h val="0.159815246557867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5A0F-46A0-B724-F46F240C5B8A}"/>
                </c:ext>
              </c:extLst>
            </c:dLbl>
            <c:dLbl>
              <c:idx val="9"/>
              <c:layout>
                <c:manualLayout>
                  <c:x val="-3.4183980094934563E-2"/>
                  <c:y val="3.63128491620111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A0F-46A0-B724-F46F240C5B8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0F-46A0-B724-F46F240C5B8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0F-46A0-B724-F46F240C5B8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'Total collection  '!$D$21:$Q$21</c:f>
              <c:strCache>
                <c:ptCount val="14"/>
                <c:pt idx="0">
                  <c:v>cataloguing</c:v>
                </c:pt>
                <c:pt idx="1">
                  <c:v>rehousing</c:v>
                </c:pt>
                <c:pt idx="2">
                  <c:v>placing</c:v>
                </c:pt>
                <c:pt idx="3">
                  <c:v>storage</c:v>
                </c:pt>
                <c:pt idx="4">
                  <c:v>access rr</c:v>
                </c:pt>
                <c:pt idx="5">
                  <c:v>applications</c:v>
                </c:pt>
                <c:pt idx="6">
                  <c:v>selection</c:v>
                </c:pt>
                <c:pt idx="7">
                  <c:v>creation</c:v>
                </c:pt>
                <c:pt idx="8">
                  <c:v>metadata</c:v>
                </c:pt>
                <c:pt idx="9">
                  <c:v>control</c:v>
                </c:pt>
                <c:pt idx="10">
                  <c:v>ingest</c:v>
                </c:pt>
                <c:pt idx="11">
                  <c:v>digital storage</c:v>
                </c:pt>
                <c:pt idx="12">
                  <c:v>preservation </c:v>
                </c:pt>
                <c:pt idx="13">
                  <c:v>access online</c:v>
                </c:pt>
              </c:strCache>
            </c:strRef>
          </c:cat>
          <c:val>
            <c:numRef>
              <c:f>'Total collection  '!$D$22:$Q$22</c:f>
              <c:numCache>
                <c:formatCode>0%</c:formatCode>
                <c:ptCount val="14"/>
                <c:pt idx="0">
                  <c:v>0.19714063424678077</c:v>
                </c:pt>
                <c:pt idx="1">
                  <c:v>4.9728958831392778E-2</c:v>
                </c:pt>
                <c:pt idx="2">
                  <c:v>4.6769834988267804E-2</c:v>
                </c:pt>
                <c:pt idx="3">
                  <c:v>0.24464666520809109</c:v>
                </c:pt>
                <c:pt idx="4">
                  <c:v>9.9676817267468493E-2</c:v>
                </c:pt>
                <c:pt idx="5">
                  <c:v>3.8810665431767677E-3</c:v>
                </c:pt>
                <c:pt idx="6">
                  <c:v>1.9957688590191341E-2</c:v>
                </c:pt>
                <c:pt idx="7">
                  <c:v>0.12512558535201901</c:v>
                </c:pt>
                <c:pt idx="8">
                  <c:v>2.0500575904074791E-3</c:v>
                </c:pt>
                <c:pt idx="9">
                  <c:v>8.302009934540772E-3</c:v>
                </c:pt>
                <c:pt idx="10">
                  <c:v>0</c:v>
                </c:pt>
                <c:pt idx="11">
                  <c:v>4.1214676290912876E-2</c:v>
                </c:pt>
                <c:pt idx="12">
                  <c:v>0</c:v>
                </c:pt>
                <c:pt idx="13">
                  <c:v>0.16150600515675087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F-46A0-B724-F46F240C5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digital</a:t>
            </a:r>
            <a:r>
              <a:rPr lang="en-GB" baseline="0"/>
              <a:t> costs Year 1-10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287355442742177"/>
          <c:y val="0.12304742091594305"/>
          <c:w val="0.8840510625329826"/>
          <c:h val="0.724102449700141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'Total collection  '!$J$7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'!$J$8:$J$17</c:f>
              <c:numCache>
                <c:formatCode>"€"\ #,##0</c:formatCode>
                <c:ptCount val="10"/>
                <c:pt idx="0">
                  <c:v>25711.603199999998</c:v>
                </c:pt>
                <c:pt idx="1">
                  <c:v>25711.603199999998</c:v>
                </c:pt>
                <c:pt idx="2">
                  <c:v>25711.603199999998</c:v>
                </c:pt>
                <c:pt idx="3">
                  <c:v>25711.603199999998</c:v>
                </c:pt>
                <c:pt idx="4">
                  <c:v>25711.603199999998</c:v>
                </c:pt>
                <c:pt idx="5">
                  <c:v>25711.603199999998</c:v>
                </c:pt>
                <c:pt idx="6">
                  <c:v>25711.603199999998</c:v>
                </c:pt>
                <c:pt idx="7">
                  <c:v>25711.603199999998</c:v>
                </c:pt>
                <c:pt idx="8">
                  <c:v>25711.603199999998</c:v>
                </c:pt>
                <c:pt idx="9">
                  <c:v>25711.603199999998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2-48D0-ABA7-F65CB89829DE}"/>
            </c:ext>
          </c:extLst>
        </c:ser>
        <c:ser>
          <c:idx val="1"/>
          <c:order val="1"/>
          <c:tx>
            <c:strRef>
              <c:f>'Total collection  '!$K$7</c:f>
              <c:strCache>
                <c:ptCount val="1"/>
                <c:pt idx="0">
                  <c:v>creation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'!$K$8:$K$17</c:f>
              <c:numCache>
                <c:formatCode>"€"\ #,##0</c:formatCode>
                <c:ptCount val="10"/>
                <c:pt idx="0">
                  <c:v>161200</c:v>
                </c:pt>
                <c:pt idx="1">
                  <c:v>161200</c:v>
                </c:pt>
                <c:pt idx="2">
                  <c:v>161200</c:v>
                </c:pt>
                <c:pt idx="3">
                  <c:v>161200</c:v>
                </c:pt>
                <c:pt idx="4">
                  <c:v>161200</c:v>
                </c:pt>
                <c:pt idx="5">
                  <c:v>161200</c:v>
                </c:pt>
                <c:pt idx="6">
                  <c:v>161200</c:v>
                </c:pt>
                <c:pt idx="7">
                  <c:v>161200</c:v>
                </c:pt>
                <c:pt idx="8">
                  <c:v>161200</c:v>
                </c:pt>
                <c:pt idx="9">
                  <c:v>161200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2-48D0-ABA7-F65CB89829DE}"/>
            </c:ext>
          </c:extLst>
        </c:ser>
        <c:ser>
          <c:idx val="2"/>
          <c:order val="2"/>
          <c:tx>
            <c:strRef>
              <c:f>'Total collection  '!$L$7</c:f>
              <c:strCache>
                <c:ptCount val="1"/>
                <c:pt idx="0">
                  <c:v>metadata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'!$L$8:$L$17</c:f>
              <c:numCache>
                <c:formatCode>"€"\ #,##0</c:formatCode>
                <c:ptCount val="10"/>
                <c:pt idx="0">
                  <c:v>2641.1007999999997</c:v>
                </c:pt>
                <c:pt idx="1">
                  <c:v>2641.1007999999997</c:v>
                </c:pt>
                <c:pt idx="2">
                  <c:v>2641.1007999999997</c:v>
                </c:pt>
                <c:pt idx="3">
                  <c:v>2641.1007999999997</c:v>
                </c:pt>
                <c:pt idx="4">
                  <c:v>2641.1007999999997</c:v>
                </c:pt>
                <c:pt idx="5">
                  <c:v>2641.1007999999997</c:v>
                </c:pt>
                <c:pt idx="6">
                  <c:v>2641.1007999999997</c:v>
                </c:pt>
                <c:pt idx="7">
                  <c:v>2641.1007999999997</c:v>
                </c:pt>
                <c:pt idx="8">
                  <c:v>2641.1007999999997</c:v>
                </c:pt>
                <c:pt idx="9">
                  <c:v>2641.1007999999997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2-48D0-ABA7-F65CB89829DE}"/>
            </c:ext>
          </c:extLst>
        </c:ser>
        <c:ser>
          <c:idx val="3"/>
          <c:order val="3"/>
          <c:tx>
            <c:strRef>
              <c:f>'Total collection  '!$M$7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'!$M$8:$M$17</c:f>
              <c:numCache>
                <c:formatCode>"€"\ #,##0</c:formatCode>
                <c:ptCount val="10"/>
                <c:pt idx="0">
                  <c:v>10695.526399999999</c:v>
                </c:pt>
                <c:pt idx="1">
                  <c:v>10695.526399999999</c:v>
                </c:pt>
                <c:pt idx="2">
                  <c:v>10695.526399999999</c:v>
                </c:pt>
                <c:pt idx="3">
                  <c:v>10695.526399999999</c:v>
                </c:pt>
                <c:pt idx="4">
                  <c:v>10695.526399999999</c:v>
                </c:pt>
                <c:pt idx="5">
                  <c:v>10695.526399999999</c:v>
                </c:pt>
                <c:pt idx="6">
                  <c:v>10695.526399999999</c:v>
                </c:pt>
                <c:pt idx="7">
                  <c:v>10695.526399999999</c:v>
                </c:pt>
                <c:pt idx="8">
                  <c:v>10695.526399999999</c:v>
                </c:pt>
                <c:pt idx="9">
                  <c:v>10695.526399999999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62-48D0-ABA7-F65CB89829DE}"/>
            </c:ext>
          </c:extLst>
        </c:ser>
        <c:ser>
          <c:idx val="4"/>
          <c:order val="4"/>
          <c:tx>
            <c:strRef>
              <c:f>'Total collection  '!$N$7</c:f>
              <c:strCache>
                <c:ptCount val="1"/>
                <c:pt idx="0">
                  <c:v>ingest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'!$N$8:$N$17</c:f>
              <c:numCache>
                <c:formatCode>"€"\ 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62-48D0-ABA7-F65CB89829DE}"/>
            </c:ext>
          </c:extLst>
        </c:ser>
        <c:ser>
          <c:idx val="5"/>
          <c:order val="5"/>
          <c:tx>
            <c:strRef>
              <c:f>'Total collection  '!$O$7</c:f>
              <c:strCache>
                <c:ptCount val="1"/>
                <c:pt idx="0">
                  <c:v>digital storage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'!$O$8:$O$17</c:f>
              <c:numCache>
                <c:formatCode>"€"\ #,##0</c:formatCode>
                <c:ptCount val="10"/>
                <c:pt idx="0">
                  <c:v>53097.1008</c:v>
                </c:pt>
                <c:pt idx="1">
                  <c:v>54553.1008</c:v>
                </c:pt>
                <c:pt idx="2">
                  <c:v>56009.1008</c:v>
                </c:pt>
                <c:pt idx="3">
                  <c:v>57465.1008</c:v>
                </c:pt>
                <c:pt idx="4">
                  <c:v>58921.1008</c:v>
                </c:pt>
                <c:pt idx="5">
                  <c:v>60377.100799999993</c:v>
                </c:pt>
                <c:pt idx="6">
                  <c:v>61833.100799999993</c:v>
                </c:pt>
                <c:pt idx="7">
                  <c:v>63289.100799999993</c:v>
                </c:pt>
                <c:pt idx="8">
                  <c:v>64745.100799999993</c:v>
                </c:pt>
                <c:pt idx="9">
                  <c:v>66201.100799999986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62-48D0-ABA7-F65CB89829DE}"/>
            </c:ext>
          </c:extLst>
        </c:ser>
        <c:ser>
          <c:idx val="6"/>
          <c:order val="6"/>
          <c:tx>
            <c:strRef>
              <c:f>'Total collection  '!$P$7</c:f>
              <c:strCache>
                <c:ptCount val="1"/>
                <c:pt idx="0">
                  <c:v>preservation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'!$P$8:$P$17</c:f>
              <c:numCache>
                <c:formatCode>"€"\ 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62-48D0-ABA7-F65CB89829DE}"/>
            </c:ext>
          </c:extLst>
        </c:ser>
        <c:ser>
          <c:idx val="7"/>
          <c:order val="7"/>
          <c:tx>
            <c:strRef>
              <c:f>'Total collection  '!$Q$7</c:f>
              <c:strCache>
                <c:ptCount val="1"/>
                <c:pt idx="0">
                  <c:v>access online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'!$Q$8:$Q$17</c:f>
              <c:numCache>
                <c:formatCode>"€"\ #,##0</c:formatCode>
                <c:ptCount val="10"/>
                <c:pt idx="0">
                  <c:v>208069.10079999999</c:v>
                </c:pt>
                <c:pt idx="1">
                  <c:v>213997.10079999999</c:v>
                </c:pt>
                <c:pt idx="2">
                  <c:v>219925.10079999999</c:v>
                </c:pt>
                <c:pt idx="3">
                  <c:v>225853.10079999999</c:v>
                </c:pt>
                <c:pt idx="4">
                  <c:v>231781.10079999999</c:v>
                </c:pt>
                <c:pt idx="5">
                  <c:v>237709.10079999999</c:v>
                </c:pt>
                <c:pt idx="6">
                  <c:v>243637.10079999999</c:v>
                </c:pt>
                <c:pt idx="7">
                  <c:v>249565.10079999999</c:v>
                </c:pt>
                <c:pt idx="8">
                  <c:v>255493.10079999999</c:v>
                </c:pt>
                <c:pt idx="9">
                  <c:v>261421.10079999999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62-48D0-ABA7-F65CB8982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9711072"/>
        <c:axId val="396934192"/>
        <c:axId val="0"/>
      </c:bar3DChart>
      <c:catAx>
        <c:axId val="55971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6934192"/>
        <c:crosses val="autoZero"/>
        <c:auto val="1"/>
        <c:lblAlgn val="ctr"/>
        <c:lblOffset val="100"/>
        <c:noMultiLvlLbl val="0"/>
      </c:catAx>
      <c:valAx>
        <c:axId val="3969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97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rr requests vs digital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collection  '!$C$34</c:f>
              <c:strCache>
                <c:ptCount val="1"/>
                <c:pt idx="0">
                  <c:v>requested m /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'Total collection  '!$C$35:$C$44</c:f>
              <c:numCache>
                <c:formatCode>0</c:formatCode>
                <c:ptCount val="10"/>
                <c:pt idx="0">
                  <c:v>554.61181959370344</c:v>
                </c:pt>
                <c:pt idx="1">
                  <c:v>533.56378364577847</c:v>
                </c:pt>
                <c:pt idx="2">
                  <c:v>501.09445600650304</c:v>
                </c:pt>
                <c:pt idx="3">
                  <c:v>466.42267898460636</c:v>
                </c:pt>
                <c:pt idx="4">
                  <c:v>441.93411049889653</c:v>
                </c:pt>
                <c:pt idx="5">
                  <c:v>415.81745832712045</c:v>
                </c:pt>
                <c:pt idx="6">
                  <c:v>384.79679411155945</c:v>
                </c:pt>
                <c:pt idx="7">
                  <c:v>356.42532125485297</c:v>
                </c:pt>
                <c:pt idx="8">
                  <c:v>324.31856891551911</c:v>
                </c:pt>
                <c:pt idx="9">
                  <c:v>298.04994578543011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7-4D5D-A86D-FD6FA6C6FC50}"/>
            </c:ext>
          </c:extLst>
        </c:ser>
        <c:ser>
          <c:idx val="1"/>
          <c:order val="1"/>
          <c:tx>
            <c:strRef>
              <c:f>'Total collection  '!$D$34</c:f>
              <c:strCache>
                <c:ptCount val="1"/>
                <c:pt idx="0">
                  <c:v>digitized m /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'Total collection  '!$D$35:$D$44</c:f>
              <c:numCache>
                <c:formatCode>0</c:formatCode>
                <c:ptCount val="10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208</c:v>
                </c:pt>
                <c:pt idx="7">
                  <c:v>208</c:v>
                </c:pt>
                <c:pt idx="8">
                  <c:v>208</c:v>
                </c:pt>
                <c:pt idx="9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7-4D5D-A86D-FD6FA6C6F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449071"/>
        <c:axId val="1853894399"/>
      </c:lineChart>
      <c:catAx>
        <c:axId val="1912449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53894399"/>
        <c:crosses val="autoZero"/>
        <c:auto val="1"/>
        <c:lblAlgn val="ctr"/>
        <c:lblOffset val="100"/>
        <c:noMultiLvlLbl val="0"/>
      </c:catAx>
      <c:valAx>
        <c:axId val="185389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1244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cycle 1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'Total meter (2)'!$D$7</c:f>
              <c:strCache>
                <c:ptCount val="1"/>
                <c:pt idx="0">
                  <c:v>cataloguing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'Total meter (2)'!$D$8:$D$17</c:f>
              <c:numCache>
                <c:formatCode>"€"\ #,##0</c:formatCode>
                <c:ptCount val="10"/>
                <c:pt idx="0">
                  <c:v>279.34719999999999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1-4AEC-B983-F4F2F3095188}"/>
            </c:ext>
          </c:extLst>
        </c:ser>
        <c:ser>
          <c:idx val="1"/>
          <c:order val="1"/>
          <c:tx>
            <c:strRef>
              <c:f>'Total meter (2)'!$E$7</c:f>
              <c:strCache>
                <c:ptCount val="1"/>
                <c:pt idx="0">
                  <c:v>rehousing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'Total meter (2)'!$E$8:$E$17</c:f>
              <c:numCache>
                <c:formatCode>"€"\ #,##0.00</c:formatCode>
                <c:ptCount val="10"/>
                <c:pt idx="0" formatCode="&quot;€&quot;\ #,##0">
                  <c:v>64.051199999999994</c:v>
                </c:pt>
                <c:pt idx="1">
                  <c:v>3.2025599999999996</c:v>
                </c:pt>
                <c:pt idx="2">
                  <c:v>3.2025599999999996</c:v>
                </c:pt>
                <c:pt idx="3">
                  <c:v>3.2025599999999996</c:v>
                </c:pt>
                <c:pt idx="4">
                  <c:v>3.2025599999999996</c:v>
                </c:pt>
                <c:pt idx="5">
                  <c:v>3.2025599999999996</c:v>
                </c:pt>
                <c:pt idx="6">
                  <c:v>3.2025599999999996</c:v>
                </c:pt>
                <c:pt idx="7">
                  <c:v>3.2025599999999996</c:v>
                </c:pt>
                <c:pt idx="8">
                  <c:v>3.2025599999999996</c:v>
                </c:pt>
                <c:pt idx="9">
                  <c:v>3.2025599999999996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1-4AEC-B983-F4F2F3095188}"/>
            </c:ext>
          </c:extLst>
        </c:ser>
        <c:ser>
          <c:idx val="2"/>
          <c:order val="2"/>
          <c:tx>
            <c:strRef>
              <c:f>'Total meter (2)'!$F$7</c:f>
              <c:strCache>
                <c:ptCount val="1"/>
                <c:pt idx="0">
                  <c:v>placing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'Total meter (2)'!$F$8:$F$17</c:f>
              <c:numCache>
                <c:formatCode>"€"\ #,##0.0</c:formatCode>
                <c:ptCount val="10"/>
                <c:pt idx="0" formatCode="&quot;€&quot;\ #,##0">
                  <c:v>58.956800000000001</c:v>
                </c:pt>
                <c:pt idx="1">
                  <c:v>2.9478400000000002</c:v>
                </c:pt>
                <c:pt idx="2">
                  <c:v>2.9478400000000002</c:v>
                </c:pt>
                <c:pt idx="3">
                  <c:v>2.9478400000000002</c:v>
                </c:pt>
                <c:pt idx="4">
                  <c:v>2.9478400000000002</c:v>
                </c:pt>
                <c:pt idx="5">
                  <c:v>2.9478400000000002</c:v>
                </c:pt>
                <c:pt idx="6">
                  <c:v>2.9478400000000002</c:v>
                </c:pt>
                <c:pt idx="7">
                  <c:v>2.9478400000000002</c:v>
                </c:pt>
                <c:pt idx="8">
                  <c:v>2.9478400000000002</c:v>
                </c:pt>
                <c:pt idx="9">
                  <c:v>2.9478400000000002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71-4AEC-B983-F4F2F3095188}"/>
            </c:ext>
          </c:extLst>
        </c:ser>
        <c:ser>
          <c:idx val="3"/>
          <c:order val="3"/>
          <c:tx>
            <c:strRef>
              <c:f>'Total meter (2)'!$G$7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'Total meter (2)'!$G$8:$G$17</c:f>
              <c:numCache>
                <c:formatCode>"€"\ #,##0</c:formatCode>
                <c:ptCount val="10"/>
                <c:pt idx="0">
                  <c:v>7.6873093619512201</c:v>
                </c:pt>
                <c:pt idx="1">
                  <c:v>7.5042781866666672</c:v>
                </c:pt>
                <c:pt idx="2">
                  <c:v>7.3297600893023258</c:v>
                </c:pt>
                <c:pt idx="3">
                  <c:v>7.163174632727273</c:v>
                </c:pt>
                <c:pt idx="4">
                  <c:v>7.0039929742222222</c:v>
                </c:pt>
                <c:pt idx="5">
                  <c:v>6.8517322573913049</c:v>
                </c:pt>
                <c:pt idx="6">
                  <c:v>6.7059507200000006</c:v>
                </c:pt>
                <c:pt idx="7">
                  <c:v>6.5662434133333338</c:v>
                </c:pt>
                <c:pt idx="8">
                  <c:v>6.4322384457142858</c:v>
                </c:pt>
                <c:pt idx="9">
                  <c:v>6.3035936768000003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71-4AEC-B983-F4F2F3095188}"/>
            </c:ext>
          </c:extLst>
        </c:ser>
        <c:ser>
          <c:idx val="4"/>
          <c:order val="4"/>
          <c:tx>
            <c:strRef>
              <c:f>'Total meter (2)'!$H$7</c:f>
              <c:strCache>
                <c:ptCount val="1"/>
                <c:pt idx="0">
                  <c:v>access rr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'Total meter (2)'!$H$8:$H$17</c:f>
              <c:numCache>
                <c:formatCode>"€"\ #,##0</c:formatCode>
                <c:ptCount val="10"/>
                <c:pt idx="0">
                  <c:v>212.49061169726639</c:v>
                </c:pt>
                <c:pt idx="1">
                  <c:v>220.87294605107223</c:v>
                </c:pt>
                <c:pt idx="2">
                  <c:v>235.18481074248919</c:v>
                </c:pt>
                <c:pt idx="3">
                  <c:v>252.66739828465646</c:v>
                </c:pt>
                <c:pt idx="4">
                  <c:v>266.66827022462718</c:v>
                </c:pt>
                <c:pt idx="5">
                  <c:v>283.41716404626868</c:v>
                </c:pt>
                <c:pt idx="6">
                  <c:v>306.26503807574147</c:v>
                </c:pt>
                <c:pt idx="7">
                  <c:v>330.64374995887135</c:v>
                </c:pt>
                <c:pt idx="8">
                  <c:v>363.37667989247444</c:v>
                </c:pt>
                <c:pt idx="9">
                  <c:v>395.40287279515746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71-4AEC-B983-F4F2F3095188}"/>
            </c:ext>
          </c:extLst>
        </c:ser>
        <c:ser>
          <c:idx val="5"/>
          <c:order val="5"/>
          <c:tx>
            <c:strRef>
              <c:f>'Total meter (2)'!$I$7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'Total meter (2)'!$I$8:$I$17</c:f>
              <c:numCache>
                <c:formatCode>"€"\ #,##0</c:formatCode>
                <c:ptCount val="10"/>
                <c:pt idx="0">
                  <c:v>123.6134769230769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71-4AEC-B983-F4F2F3095188}"/>
            </c:ext>
          </c:extLst>
        </c:ser>
        <c:ser>
          <c:idx val="6"/>
          <c:order val="6"/>
          <c:tx>
            <c:strRef>
              <c:f>'Total meter (2)'!$J$7</c:f>
              <c:strCache>
                <c:ptCount val="1"/>
                <c:pt idx="0">
                  <c:v>creation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'Total meter (2)'!$J$8:$J$17</c:f>
              <c:numCache>
                <c:formatCode>"€"\ #,##0</c:formatCode>
                <c:ptCount val="10"/>
                <c:pt idx="0">
                  <c:v>775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71-4AEC-B983-F4F2F3095188}"/>
            </c:ext>
          </c:extLst>
        </c:ser>
        <c:ser>
          <c:idx val="7"/>
          <c:order val="7"/>
          <c:tx>
            <c:strRef>
              <c:f>'Total meter (2)'!$K$7</c:f>
              <c:strCache>
                <c:ptCount val="1"/>
                <c:pt idx="0">
                  <c:v>metadata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'Total meter (2)'!$K$8:$K$17</c:f>
              <c:numCache>
                <c:formatCode>"€"\ #,##0</c:formatCode>
                <c:ptCount val="10"/>
                <c:pt idx="0">
                  <c:v>12.697599999999998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71-4AEC-B983-F4F2F3095188}"/>
            </c:ext>
          </c:extLst>
        </c:ser>
        <c:ser>
          <c:idx val="8"/>
          <c:order val="8"/>
          <c:tx>
            <c:strRef>
              <c:f>'Total meter (2)'!$L$7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'Total meter (2)'!$L$8:$L$17</c:f>
              <c:numCache>
                <c:formatCode>"€"\ #,##0</c:formatCode>
                <c:ptCount val="10"/>
                <c:pt idx="0">
                  <c:v>51.420799999999993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71-4AEC-B983-F4F2F3095188}"/>
            </c:ext>
          </c:extLst>
        </c:ser>
        <c:ser>
          <c:idx val="9"/>
          <c:order val="9"/>
          <c:tx>
            <c:strRef>
              <c:f>'Total meter (2)'!$M$7</c:f>
              <c:strCache>
                <c:ptCount val="1"/>
                <c:pt idx="0">
                  <c:v>ingest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'Total meter (2)'!$M$8:$M$17</c:f>
              <c:numCache>
                <c:formatCode>"€"\ 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71-4AEC-B983-F4F2F3095188}"/>
            </c:ext>
          </c:extLst>
        </c:ser>
        <c:ser>
          <c:idx val="10"/>
          <c:order val="10"/>
          <c:tx>
            <c:strRef>
              <c:f>'Total meter (2)'!$N$7</c:f>
              <c:strCache>
                <c:ptCount val="1"/>
                <c:pt idx="0">
                  <c:v>digital storage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'Total meter (2)'!$N$8:$N$17</c:f>
              <c:numCache>
                <c:formatCode>"€"\ #,##0</c:formatCode>
                <c:ptCount val="10"/>
                <c:pt idx="0">
                  <c:v>19.697599999999998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71-4AEC-B983-F4F2F3095188}"/>
            </c:ext>
          </c:extLst>
        </c:ser>
        <c:ser>
          <c:idx val="11"/>
          <c:order val="11"/>
          <c:tx>
            <c:strRef>
              <c:f>'Total meter (2)'!$O$7</c:f>
              <c:strCache>
                <c:ptCount val="1"/>
                <c:pt idx="0">
                  <c:v>preservation 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'Total meter (2)'!$O$8:$O$17</c:f>
              <c:numCache>
                <c:formatCode>"€"\ 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71-4AEC-B983-F4F2F3095188}"/>
            </c:ext>
          </c:extLst>
        </c:ser>
        <c:ser>
          <c:idx val="12"/>
          <c:order val="12"/>
          <c:tx>
            <c:strRef>
              <c:f>'Total meter (2)'!$P$7</c:f>
              <c:strCache>
                <c:ptCount val="1"/>
                <c:pt idx="0">
                  <c:v>access online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'Total meter (2)'!$P$8:$P$17</c:f>
              <c:numCache>
                <c:formatCode>"€"\ #,##0</c:formatCode>
                <c:ptCount val="10"/>
                <c:pt idx="0">
                  <c:v>41.197599999999994</c:v>
                </c:pt>
                <c:pt idx="1">
                  <c:v>28.5</c:v>
                </c:pt>
                <c:pt idx="2">
                  <c:v>28.5</c:v>
                </c:pt>
                <c:pt idx="3">
                  <c:v>28.5</c:v>
                </c:pt>
                <c:pt idx="4">
                  <c:v>28.5</c:v>
                </c:pt>
                <c:pt idx="5">
                  <c:v>28.5</c:v>
                </c:pt>
                <c:pt idx="6">
                  <c:v>28.5</c:v>
                </c:pt>
                <c:pt idx="7">
                  <c:v>28.5</c:v>
                </c:pt>
                <c:pt idx="8">
                  <c:v>28.5</c:v>
                </c:pt>
                <c:pt idx="9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71-4AEC-B983-F4F2F3095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47111568"/>
        <c:axId val="1595195136"/>
      </c:barChart>
      <c:catAx>
        <c:axId val="174711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95195136"/>
        <c:crosses val="autoZero"/>
        <c:auto val="1"/>
        <c:lblAlgn val="ctr"/>
        <c:lblOffset val="100"/>
        <c:noMultiLvlLbl val="0"/>
      </c:catAx>
      <c:valAx>
        <c:axId val="15951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711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access rr vs access</a:t>
            </a:r>
            <a:r>
              <a:rPr lang="en-GB" baseline="0"/>
              <a:t> online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meter (2)'!$U$6</c:f>
              <c:strCache>
                <c:ptCount val="1"/>
                <c:pt idx="0">
                  <c:v>access 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'Total meter (2)'!$U$8:$U$17</c:f>
              <c:numCache>
                <c:formatCode>"€"\ #,##0.00</c:formatCode>
                <c:ptCount val="10"/>
                <c:pt idx="0">
                  <c:v>212.49061169726639</c:v>
                </c:pt>
                <c:pt idx="1">
                  <c:v>433.36355774833862</c:v>
                </c:pt>
                <c:pt idx="2">
                  <c:v>668.54836849082778</c:v>
                </c:pt>
                <c:pt idx="3">
                  <c:v>921.21576677548421</c:v>
                </c:pt>
                <c:pt idx="4">
                  <c:v>1187.8840370001114</c:v>
                </c:pt>
                <c:pt idx="5">
                  <c:v>1471.3012010463801</c:v>
                </c:pt>
                <c:pt idx="6">
                  <c:v>1777.5662391221217</c:v>
                </c:pt>
                <c:pt idx="7">
                  <c:v>2108.2099890809932</c:v>
                </c:pt>
                <c:pt idx="8">
                  <c:v>2471.5866689734676</c:v>
                </c:pt>
                <c:pt idx="9">
                  <c:v>2866.9895417686248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0-4046-8847-95B24A4328A0}"/>
            </c:ext>
          </c:extLst>
        </c:ser>
        <c:ser>
          <c:idx val="1"/>
          <c:order val="1"/>
          <c:tx>
            <c:strRef>
              <c:f>'Total meter (2)'!$V$6</c:f>
              <c:strCache>
                <c:ptCount val="1"/>
                <c:pt idx="0">
                  <c:v>access digital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'Total meter (2)'!$V$8:$V$17</c:f>
              <c:numCache>
                <c:formatCode>"€"\ #,##0.00</c:formatCode>
                <c:ptCount val="10"/>
                <c:pt idx="0">
                  <c:v>1023.6270769230767</c:v>
                </c:pt>
                <c:pt idx="1">
                  <c:v>1059.1270769230769</c:v>
                </c:pt>
                <c:pt idx="2">
                  <c:v>1094.6270769230769</c:v>
                </c:pt>
                <c:pt idx="3">
                  <c:v>1130.1270769230769</c:v>
                </c:pt>
                <c:pt idx="4">
                  <c:v>1165.6270769230769</c:v>
                </c:pt>
                <c:pt idx="5">
                  <c:v>1201.1270769230769</c:v>
                </c:pt>
                <c:pt idx="6">
                  <c:v>1236.6270769230769</c:v>
                </c:pt>
                <c:pt idx="7">
                  <c:v>1272.1270769230769</c:v>
                </c:pt>
                <c:pt idx="8">
                  <c:v>1307.6270769230769</c:v>
                </c:pt>
                <c:pt idx="9">
                  <c:v>1343.1270769230769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0-4046-8847-95B24A432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983280"/>
        <c:axId val="1595203040"/>
      </c:lineChart>
      <c:catAx>
        <c:axId val="171098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95203040"/>
        <c:crosses val="autoZero"/>
        <c:auto val="1"/>
        <c:lblAlgn val="ctr"/>
        <c:lblOffset val="100"/>
        <c:noMultiLvlLbl val="0"/>
      </c:catAx>
      <c:valAx>
        <c:axId val="15952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1098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54876</xdr:rowOff>
    </xdr:from>
    <xdr:to>
      <xdr:col>6</xdr:col>
      <xdr:colOff>7839</xdr:colOff>
      <xdr:row>8</xdr:row>
      <xdr:rowOff>62716</xdr:rowOff>
    </xdr:to>
    <xdr:cxnSp macro="">
      <xdr:nvCxnSpPr>
        <xdr:cNvPr id="3" name="Rechte verbindingslijn met pijl 2">
          <a:extLst>
            <a:ext uri="{FF2B5EF4-FFF2-40B4-BE49-F238E27FC236}">
              <a16:creationId xmlns:a16="http://schemas.microsoft.com/office/drawing/2014/main" id="{A876137C-CDDA-4236-A8DB-90404242C3FD}"/>
            </a:ext>
          </a:extLst>
        </xdr:cNvPr>
        <xdr:cNvCxnSpPr/>
      </xdr:nvCxnSpPr>
      <xdr:spPr>
        <a:xfrm flipV="1">
          <a:off x="3449383" y="1583580"/>
          <a:ext cx="2963333" cy="784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878025</xdr:colOff>
      <xdr:row>9</xdr:row>
      <xdr:rowOff>70555</xdr:rowOff>
    </xdr:from>
    <xdr:to>
      <xdr:col>5</xdr:col>
      <xdr:colOff>744753</xdr:colOff>
      <xdr:row>11</xdr:row>
      <xdr:rowOff>62718</xdr:rowOff>
    </xdr:to>
    <xdr:cxnSp macro="">
      <xdr:nvCxnSpPr>
        <xdr:cNvPr id="8" name="Verbindingslijn: gebogen 7">
          <a:extLst>
            <a:ext uri="{FF2B5EF4-FFF2-40B4-BE49-F238E27FC236}">
              <a16:creationId xmlns:a16="http://schemas.microsoft.com/office/drawing/2014/main" id="{4D04F989-53F4-4392-B681-432776387561}"/>
            </a:ext>
          </a:extLst>
        </xdr:cNvPr>
        <xdr:cNvCxnSpPr/>
      </xdr:nvCxnSpPr>
      <xdr:spPr>
        <a:xfrm flipV="1">
          <a:off x="3441544" y="1756049"/>
          <a:ext cx="2955493" cy="305743"/>
        </a:xfrm>
        <a:prstGeom prst="bentConnector3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878025</xdr:colOff>
      <xdr:row>8</xdr:row>
      <xdr:rowOff>62716</xdr:rowOff>
    </xdr:from>
    <xdr:to>
      <xdr:col>4</xdr:col>
      <xdr:colOff>501728</xdr:colOff>
      <xdr:row>9</xdr:row>
      <xdr:rowOff>54876</xdr:rowOff>
    </xdr:to>
    <xdr:cxnSp macro="">
      <xdr:nvCxnSpPr>
        <xdr:cNvPr id="11" name="Verbindingslijn: gebogen 10">
          <a:extLst>
            <a:ext uri="{FF2B5EF4-FFF2-40B4-BE49-F238E27FC236}">
              <a16:creationId xmlns:a16="http://schemas.microsoft.com/office/drawing/2014/main" id="{6BB8F5AB-9851-48D4-B640-721D105F25B1}"/>
            </a:ext>
          </a:extLst>
        </xdr:cNvPr>
        <xdr:cNvCxnSpPr/>
      </xdr:nvCxnSpPr>
      <xdr:spPr>
        <a:xfrm flipV="1">
          <a:off x="3441544" y="1591420"/>
          <a:ext cx="1928517" cy="148950"/>
        </a:xfrm>
        <a:prstGeom prst="bentConnector3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15679</xdr:colOff>
      <xdr:row>11</xdr:row>
      <xdr:rowOff>62717</xdr:rowOff>
    </xdr:from>
    <xdr:to>
      <xdr:col>3</xdr:col>
      <xdr:colOff>650679</xdr:colOff>
      <xdr:row>12</xdr:row>
      <xdr:rowOff>70556</xdr:rowOff>
    </xdr:to>
    <xdr:cxnSp macro="">
      <xdr:nvCxnSpPr>
        <xdr:cNvPr id="17" name="Verbindingslijn: gebogen 16">
          <a:extLst>
            <a:ext uri="{FF2B5EF4-FFF2-40B4-BE49-F238E27FC236}">
              <a16:creationId xmlns:a16="http://schemas.microsoft.com/office/drawing/2014/main" id="{13EAB986-E911-44B2-BAE0-B20F08A0082E}"/>
            </a:ext>
          </a:extLst>
        </xdr:cNvPr>
        <xdr:cNvCxnSpPr/>
      </xdr:nvCxnSpPr>
      <xdr:spPr>
        <a:xfrm flipV="1">
          <a:off x="3284753" y="2061791"/>
          <a:ext cx="635000" cy="164629"/>
        </a:xfrm>
        <a:prstGeom prst="bentConnector3">
          <a:avLst>
            <a:gd name="adj1" fmla="val 129012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7840</xdr:colOff>
      <xdr:row>11</xdr:row>
      <xdr:rowOff>94074</xdr:rowOff>
    </xdr:from>
    <xdr:to>
      <xdr:col>5</xdr:col>
      <xdr:colOff>744753</xdr:colOff>
      <xdr:row>18</xdr:row>
      <xdr:rowOff>94078</xdr:rowOff>
    </xdr:to>
    <xdr:cxnSp macro="">
      <xdr:nvCxnSpPr>
        <xdr:cNvPr id="36" name="Verbindingslijn: gebogen 35">
          <a:extLst>
            <a:ext uri="{FF2B5EF4-FFF2-40B4-BE49-F238E27FC236}">
              <a16:creationId xmlns:a16="http://schemas.microsoft.com/office/drawing/2014/main" id="{0CC8B194-A183-4995-A9EC-9DDD039928B4}"/>
            </a:ext>
          </a:extLst>
        </xdr:cNvPr>
        <xdr:cNvCxnSpPr/>
      </xdr:nvCxnSpPr>
      <xdr:spPr>
        <a:xfrm flipV="1">
          <a:off x="3457223" y="2093148"/>
          <a:ext cx="2939814" cy="1152411"/>
        </a:xfrm>
        <a:prstGeom prst="bentConnector3">
          <a:avLst>
            <a:gd name="adj1" fmla="val 70267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878025</xdr:colOff>
      <xdr:row>12</xdr:row>
      <xdr:rowOff>70556</xdr:rowOff>
    </xdr:from>
    <xdr:to>
      <xdr:col>3</xdr:col>
      <xdr:colOff>595803</xdr:colOff>
      <xdr:row>13</xdr:row>
      <xdr:rowOff>101914</xdr:rowOff>
    </xdr:to>
    <xdr:cxnSp macro="">
      <xdr:nvCxnSpPr>
        <xdr:cNvPr id="5" name="Verbindingslijn: gebogen 4">
          <a:extLst>
            <a:ext uri="{FF2B5EF4-FFF2-40B4-BE49-F238E27FC236}">
              <a16:creationId xmlns:a16="http://schemas.microsoft.com/office/drawing/2014/main" id="{DB76A313-AC9C-4941-B749-5CCA327A7DDD}"/>
            </a:ext>
          </a:extLst>
        </xdr:cNvPr>
        <xdr:cNvCxnSpPr/>
      </xdr:nvCxnSpPr>
      <xdr:spPr>
        <a:xfrm flipV="1">
          <a:off x="3441544" y="2226420"/>
          <a:ext cx="603642" cy="188148"/>
        </a:xfrm>
        <a:prstGeom prst="bentConnector3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746126</xdr:colOff>
      <xdr:row>68</xdr:row>
      <xdr:rowOff>142876</xdr:rowOff>
    </xdr:from>
    <xdr:to>
      <xdr:col>10</xdr:col>
      <xdr:colOff>206377</xdr:colOff>
      <xdr:row>90</xdr:row>
      <xdr:rowOff>158750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C4E3B4BD-1F03-4EA2-881D-74E774F8F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460374</xdr:colOff>
      <xdr:row>68</xdr:row>
      <xdr:rowOff>150812</xdr:rowOff>
    </xdr:from>
    <xdr:to>
      <xdr:col>18</xdr:col>
      <xdr:colOff>404813</xdr:colOff>
      <xdr:row>90</xdr:row>
      <xdr:rowOff>166687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32B32BFB-7A41-435A-9F8F-A0B176AE2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746124</xdr:colOff>
      <xdr:row>91</xdr:row>
      <xdr:rowOff>111125</xdr:rowOff>
    </xdr:from>
    <xdr:to>
      <xdr:col>10</xdr:col>
      <xdr:colOff>190500</xdr:colOff>
      <xdr:row>105</xdr:row>
      <xdr:rowOff>166234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44C45196-FC1C-4351-A942-426840379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362839</xdr:colOff>
      <xdr:row>5</xdr:row>
      <xdr:rowOff>-1</xdr:rowOff>
    </xdr:from>
    <xdr:to>
      <xdr:col>34</xdr:col>
      <xdr:colOff>484735</xdr:colOff>
      <xdr:row>30</xdr:row>
      <xdr:rowOff>181427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75CB8CF7-839D-491F-9858-06A8278E4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285749</xdr:colOff>
      <xdr:row>5</xdr:row>
      <xdr:rowOff>31750</xdr:rowOff>
    </xdr:from>
    <xdr:to>
      <xdr:col>46</xdr:col>
      <xdr:colOff>512518</xdr:colOff>
      <xdr:row>30</xdr:row>
      <xdr:rowOff>158750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8D4AF4AF-7851-4959-BB23-FC490F78E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866322</xdr:colOff>
      <xdr:row>31</xdr:row>
      <xdr:rowOff>170542</xdr:rowOff>
    </xdr:from>
    <xdr:to>
      <xdr:col>11</xdr:col>
      <xdr:colOff>18143</xdr:colOff>
      <xdr:row>47</xdr:row>
      <xdr:rowOff>154213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35502C8-FEA0-47BF-829F-8D14AF554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107155</xdr:colOff>
      <xdr:row>4</xdr:row>
      <xdr:rowOff>160336</xdr:rowOff>
    </xdr:from>
    <xdr:to>
      <xdr:col>33</xdr:col>
      <xdr:colOff>285750</xdr:colOff>
      <xdr:row>30</xdr:row>
      <xdr:rowOff>182562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71A602D9-59BB-4491-A5CC-F4E1CC5E4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99219</xdr:colOff>
      <xdr:row>5</xdr:row>
      <xdr:rowOff>17461</xdr:rowOff>
    </xdr:from>
    <xdr:to>
      <xdr:col>43</xdr:col>
      <xdr:colOff>428625</xdr:colOff>
      <xdr:row>31</xdr:row>
      <xdr:rowOff>15875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A6935E4C-0C41-4140-9760-F72DA0933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D2B1-1996-43AB-AFA9-9C81C4BE2A90}">
  <dimension ref="A1:A4"/>
  <sheetViews>
    <sheetView workbookViewId="0">
      <selection activeCell="A4" sqref="A4"/>
    </sheetView>
  </sheetViews>
  <sheetFormatPr defaultRowHeight="14.5" x14ac:dyDescent="0.35"/>
  <cols>
    <col min="1" max="1" width="217" customWidth="1"/>
  </cols>
  <sheetData>
    <row r="1" spans="1:1" ht="26" x14ac:dyDescent="0.6">
      <c r="A1" s="280" t="s">
        <v>234</v>
      </c>
    </row>
    <row r="2" spans="1:1" x14ac:dyDescent="0.35">
      <c r="A2" t="s">
        <v>235</v>
      </c>
    </row>
    <row r="4" spans="1:1" x14ac:dyDescent="0.35">
      <c r="A4" s="279" t="s">
        <v>236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E4A5-2FA5-4A2D-A843-76B57EAA6CB5}">
  <dimension ref="A3:G16"/>
  <sheetViews>
    <sheetView workbookViewId="0">
      <selection activeCell="A2" sqref="A2"/>
    </sheetView>
  </sheetViews>
  <sheetFormatPr defaultRowHeight="14.5" x14ac:dyDescent="0.35"/>
  <cols>
    <col min="2" max="2" width="11.1796875" customWidth="1"/>
    <col min="3" max="3" width="13.54296875" customWidth="1"/>
    <col min="4" max="4" width="1.7265625" customWidth="1"/>
    <col min="5" max="5" width="11.54296875" customWidth="1"/>
    <col min="6" max="6" width="13.7265625" customWidth="1"/>
  </cols>
  <sheetData>
    <row r="3" spans="1:7" x14ac:dyDescent="0.35">
      <c r="A3" s="281"/>
      <c r="B3" s="281"/>
      <c r="C3" s="281"/>
      <c r="D3" s="281"/>
      <c r="E3" s="281"/>
      <c r="F3" s="281"/>
      <c r="G3" s="281"/>
    </row>
    <row r="4" spans="1:7" x14ac:dyDescent="0.35">
      <c r="A4" s="281"/>
      <c r="B4" s="281"/>
      <c r="C4" s="281"/>
      <c r="D4" s="281"/>
      <c r="E4" s="281"/>
      <c r="F4" s="281"/>
      <c r="G4" s="281"/>
    </row>
    <row r="5" spans="1:7" x14ac:dyDescent="0.35">
      <c r="A5" s="281"/>
      <c r="B5" s="283" t="s">
        <v>202</v>
      </c>
      <c r="C5" s="284"/>
      <c r="D5" s="158"/>
      <c r="E5" s="285" t="s">
        <v>201</v>
      </c>
      <c r="F5" s="286"/>
      <c r="G5" s="281"/>
    </row>
    <row r="6" spans="1:7" x14ac:dyDescent="0.35">
      <c r="A6" s="281"/>
      <c r="B6" s="287" t="s">
        <v>164</v>
      </c>
      <c r="C6" s="155" t="s">
        <v>196</v>
      </c>
      <c r="D6" s="156"/>
      <c r="E6" s="287" t="s">
        <v>111</v>
      </c>
      <c r="F6" s="64" t="s">
        <v>0</v>
      </c>
      <c r="G6" s="281"/>
    </row>
    <row r="7" spans="1:7" x14ac:dyDescent="0.35">
      <c r="A7" s="281"/>
      <c r="B7" s="288"/>
      <c r="C7" s="155" t="s">
        <v>197</v>
      </c>
      <c r="D7" s="156"/>
      <c r="E7" s="288"/>
      <c r="F7" s="64" t="s">
        <v>111</v>
      </c>
      <c r="G7" s="281"/>
    </row>
    <row r="8" spans="1:7" x14ac:dyDescent="0.35">
      <c r="A8" s="281"/>
      <c r="B8" s="288"/>
      <c r="C8" s="155" t="s">
        <v>198</v>
      </c>
      <c r="D8" s="156"/>
      <c r="E8" s="288"/>
      <c r="F8" s="64" t="s">
        <v>119</v>
      </c>
      <c r="G8" s="281"/>
    </row>
    <row r="9" spans="1:7" x14ac:dyDescent="0.35">
      <c r="A9" s="281"/>
      <c r="B9" s="288"/>
      <c r="C9" s="155"/>
      <c r="D9" s="156"/>
      <c r="E9" s="288"/>
      <c r="F9" s="64" t="s">
        <v>199</v>
      </c>
      <c r="G9" s="281"/>
    </row>
    <row r="10" spans="1:7" x14ac:dyDescent="0.35">
      <c r="A10" s="281"/>
      <c r="B10" s="289"/>
      <c r="C10" s="155"/>
      <c r="D10" s="156"/>
      <c r="E10" s="289"/>
      <c r="F10" s="64" t="s">
        <v>132</v>
      </c>
      <c r="G10" s="281"/>
    </row>
    <row r="11" spans="1:7" x14ac:dyDescent="0.35">
      <c r="A11" s="281"/>
      <c r="B11" s="287" t="s">
        <v>165</v>
      </c>
      <c r="C11" s="155" t="s">
        <v>134</v>
      </c>
      <c r="D11" s="156"/>
      <c r="E11" s="287" t="s">
        <v>165</v>
      </c>
      <c r="F11" s="64" t="s">
        <v>134</v>
      </c>
      <c r="G11" s="281"/>
    </row>
    <row r="12" spans="1:7" x14ac:dyDescent="0.35">
      <c r="A12" s="281"/>
      <c r="B12" s="288"/>
      <c r="C12" s="155" t="s">
        <v>3</v>
      </c>
      <c r="D12" s="156"/>
      <c r="E12" s="288"/>
      <c r="F12" s="64" t="s">
        <v>133</v>
      </c>
      <c r="G12" s="281"/>
    </row>
    <row r="13" spans="1:7" x14ac:dyDescent="0.35">
      <c r="A13" s="281"/>
      <c r="B13" s="289"/>
      <c r="C13" s="155" t="s">
        <v>200</v>
      </c>
      <c r="D13" s="157"/>
      <c r="E13" s="289"/>
      <c r="F13" s="64" t="s">
        <v>200</v>
      </c>
      <c r="G13" s="281"/>
    </row>
    <row r="14" spans="1:7" x14ac:dyDescent="0.35">
      <c r="A14" s="281"/>
      <c r="B14" s="282"/>
      <c r="C14" s="282"/>
      <c r="D14" s="282"/>
      <c r="E14" s="282"/>
      <c r="F14" s="282"/>
      <c r="G14" s="281"/>
    </row>
    <row r="15" spans="1:7" x14ac:dyDescent="0.35">
      <c r="A15" s="281"/>
      <c r="B15" s="281"/>
      <c r="C15" s="281"/>
      <c r="D15" s="281"/>
      <c r="E15" s="281"/>
      <c r="F15" s="281"/>
      <c r="G15" s="281"/>
    </row>
    <row r="16" spans="1:7" x14ac:dyDescent="0.35">
      <c r="A16" s="281"/>
      <c r="B16" s="281"/>
      <c r="C16" s="281"/>
      <c r="D16" s="281"/>
      <c r="E16" s="281"/>
      <c r="F16" s="281"/>
      <c r="G16" s="281"/>
    </row>
  </sheetData>
  <mergeCells count="10">
    <mergeCell ref="A3:A16"/>
    <mergeCell ref="G3:G16"/>
    <mergeCell ref="B14:F16"/>
    <mergeCell ref="B3:F4"/>
    <mergeCell ref="B5:C5"/>
    <mergeCell ref="E5:F5"/>
    <mergeCell ref="B6:B10"/>
    <mergeCell ref="B11:B13"/>
    <mergeCell ref="E6:E10"/>
    <mergeCell ref="E11:E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43BEE-BA92-4293-B1E2-F29C5558E3DA}">
  <dimension ref="A1:BM35"/>
  <sheetViews>
    <sheetView topLeftCell="A4" zoomScale="60" zoomScaleNormal="60" workbookViewId="0">
      <selection activeCell="D37" sqref="D37"/>
    </sheetView>
  </sheetViews>
  <sheetFormatPr defaultRowHeight="14.5" x14ac:dyDescent="0.35"/>
  <cols>
    <col min="1" max="1" width="5.26953125" customWidth="1"/>
    <col min="2" max="2" width="12.26953125" bestFit="1" customWidth="1"/>
    <col min="3" max="3" width="25.54296875" bestFit="1" customWidth="1"/>
    <col min="4" max="4" width="20.54296875" bestFit="1" customWidth="1"/>
    <col min="5" max="5" width="17.26953125" customWidth="1"/>
    <col min="6" max="6" width="20.81640625" bestFit="1" customWidth="1"/>
    <col min="7" max="7" width="21.54296875" bestFit="1" customWidth="1"/>
    <col min="8" max="8" width="16.54296875" bestFit="1" customWidth="1"/>
    <col min="9" max="9" width="11.81640625" bestFit="1" customWidth="1"/>
    <col min="10" max="10" width="9" bestFit="1" customWidth="1"/>
    <col min="11" max="11" width="38.26953125" bestFit="1" customWidth="1"/>
  </cols>
  <sheetData>
    <row r="1" spans="1:65" s="3" customFormat="1" ht="30" x14ac:dyDescent="0.6">
      <c r="B1" s="2" t="s">
        <v>169</v>
      </c>
    </row>
    <row r="4" spans="1:65" x14ac:dyDescent="0.35">
      <c r="A4" s="290" t="s">
        <v>166</v>
      </c>
      <c r="B4" s="224"/>
      <c r="C4" s="227" t="s">
        <v>0</v>
      </c>
      <c r="D4" s="227" t="s">
        <v>110</v>
      </c>
      <c r="E4" s="227" t="s">
        <v>1</v>
      </c>
      <c r="F4" s="227" t="s">
        <v>2</v>
      </c>
      <c r="G4" s="227" t="s">
        <v>7</v>
      </c>
      <c r="H4" s="227" t="s">
        <v>134</v>
      </c>
      <c r="I4" s="227" t="s">
        <v>3</v>
      </c>
      <c r="J4" s="227" t="s">
        <v>4</v>
      </c>
      <c r="K4" s="228" t="s">
        <v>5</v>
      </c>
    </row>
    <row r="5" spans="1:65" x14ac:dyDescent="0.35">
      <c r="A5" s="291"/>
      <c r="B5" s="225" t="s">
        <v>164</v>
      </c>
      <c r="E5" t="s">
        <v>6</v>
      </c>
      <c r="F5" t="s">
        <v>9</v>
      </c>
      <c r="G5" t="s">
        <v>10</v>
      </c>
      <c r="K5" s="138"/>
    </row>
    <row r="6" spans="1:65" x14ac:dyDescent="0.35">
      <c r="A6" s="291"/>
      <c r="B6" s="226"/>
      <c r="G6" t="s">
        <v>8</v>
      </c>
      <c r="K6" s="138"/>
    </row>
    <row r="7" spans="1:65" x14ac:dyDescent="0.35">
      <c r="A7" s="291"/>
      <c r="B7" s="226"/>
      <c r="G7" t="s">
        <v>11</v>
      </c>
      <c r="K7" s="138"/>
    </row>
    <row r="8" spans="1:65" x14ac:dyDescent="0.35">
      <c r="A8" s="291"/>
      <c r="B8" s="226"/>
      <c r="G8" t="s">
        <v>20</v>
      </c>
      <c r="K8" s="138"/>
    </row>
    <row r="9" spans="1:65" x14ac:dyDescent="0.35">
      <c r="A9" s="291"/>
      <c r="B9" s="226"/>
      <c r="K9" s="138"/>
    </row>
    <row r="10" spans="1:65" x14ac:dyDescent="0.35">
      <c r="A10" s="291"/>
      <c r="B10" s="226"/>
      <c r="K10" s="138"/>
    </row>
    <row r="11" spans="1:65" s="1" customFormat="1" x14ac:dyDescent="0.35">
      <c r="A11" s="291"/>
      <c r="B11" s="222"/>
      <c r="C11" s="222"/>
      <c r="D11" s="222"/>
      <c r="E11" s="222"/>
      <c r="F11" s="222"/>
      <c r="G11" s="222"/>
      <c r="H11" s="222"/>
      <c r="I11" s="222"/>
      <c r="J11" s="222"/>
      <c r="K11" s="223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35">
      <c r="A12" s="291"/>
      <c r="B12" s="225" t="s">
        <v>165</v>
      </c>
      <c r="F12" t="s">
        <v>9</v>
      </c>
      <c r="G12" t="s">
        <v>16</v>
      </c>
      <c r="H12" t="s">
        <v>18</v>
      </c>
      <c r="K12" s="138" t="s">
        <v>13</v>
      </c>
    </row>
    <row r="13" spans="1:65" x14ac:dyDescent="0.35">
      <c r="A13" s="291"/>
      <c r="B13" s="226"/>
      <c r="H13" t="s">
        <v>12</v>
      </c>
      <c r="K13" s="138" t="s">
        <v>14</v>
      </c>
    </row>
    <row r="14" spans="1:65" x14ac:dyDescent="0.35">
      <c r="A14" s="291"/>
      <c r="B14" s="226"/>
      <c r="K14" s="138"/>
    </row>
    <row r="15" spans="1:65" x14ac:dyDescent="0.35">
      <c r="A15" s="291"/>
      <c r="B15" s="226"/>
      <c r="K15" s="138" t="s">
        <v>15</v>
      </c>
    </row>
    <row r="16" spans="1:65" x14ac:dyDescent="0.35">
      <c r="A16" s="291"/>
      <c r="B16" s="226"/>
      <c r="K16" s="138"/>
    </row>
    <row r="17" spans="1:11" x14ac:dyDescent="0.35">
      <c r="A17" s="291"/>
      <c r="B17" s="226"/>
      <c r="K17" s="138" t="s">
        <v>17</v>
      </c>
    </row>
    <row r="18" spans="1:11" x14ac:dyDescent="0.35">
      <c r="A18" s="292"/>
      <c r="B18" s="226"/>
      <c r="K18" s="138"/>
    </row>
    <row r="19" spans="1:11" ht="14.65" customHeight="1" x14ac:dyDescent="0.35">
      <c r="A19" s="293" t="s">
        <v>163</v>
      </c>
      <c r="B19" s="230"/>
      <c r="C19" s="232" t="s">
        <v>0</v>
      </c>
      <c r="D19" s="232" t="s">
        <v>111</v>
      </c>
      <c r="E19" s="232" t="s">
        <v>119</v>
      </c>
      <c r="F19" s="232" t="s">
        <v>120</v>
      </c>
      <c r="G19" s="232" t="s">
        <v>132</v>
      </c>
      <c r="H19" s="232" t="s">
        <v>134</v>
      </c>
      <c r="I19" s="232" t="s">
        <v>133</v>
      </c>
      <c r="J19" s="232"/>
      <c r="K19" s="233" t="s">
        <v>5</v>
      </c>
    </row>
    <row r="20" spans="1:11" ht="14.65" customHeight="1" x14ac:dyDescent="0.35">
      <c r="A20" s="294"/>
      <c r="B20" s="229" t="s">
        <v>111</v>
      </c>
      <c r="C20" t="s">
        <v>0</v>
      </c>
      <c r="D20" t="s">
        <v>117</v>
      </c>
      <c r="F20" t="s">
        <v>121</v>
      </c>
      <c r="K20" s="138"/>
    </row>
    <row r="21" spans="1:11" ht="14.65" customHeight="1" x14ac:dyDescent="0.35">
      <c r="A21" s="294"/>
      <c r="B21" s="230"/>
      <c r="C21" t="s">
        <v>112</v>
      </c>
      <c r="D21" t="s">
        <v>118</v>
      </c>
      <c r="K21" s="138"/>
    </row>
    <row r="22" spans="1:11" ht="14.65" customHeight="1" x14ac:dyDescent="0.35">
      <c r="A22" s="294"/>
      <c r="B22" s="230"/>
      <c r="C22" t="s">
        <v>3</v>
      </c>
      <c r="K22" s="138"/>
    </row>
    <row r="23" spans="1:11" ht="14.65" customHeight="1" x14ac:dyDescent="0.35">
      <c r="A23" s="294"/>
      <c r="B23" s="230"/>
      <c r="C23" t="s">
        <v>113</v>
      </c>
      <c r="K23" s="138"/>
    </row>
    <row r="24" spans="1:11" ht="14.65" customHeight="1" x14ac:dyDescent="0.35">
      <c r="A24" s="294"/>
      <c r="B24" s="230"/>
      <c r="C24" t="s">
        <v>114</v>
      </c>
      <c r="K24" s="138"/>
    </row>
    <row r="25" spans="1:11" ht="14.65" customHeight="1" x14ac:dyDescent="0.35">
      <c r="A25" s="294"/>
      <c r="B25" s="230"/>
      <c r="C25" t="s">
        <v>115</v>
      </c>
      <c r="K25" s="138"/>
    </row>
    <row r="26" spans="1:11" ht="14.65" customHeight="1" x14ac:dyDescent="0.35">
      <c r="A26" s="294"/>
      <c r="B26" s="230"/>
      <c r="C26" t="s">
        <v>116</v>
      </c>
      <c r="K26" s="138"/>
    </row>
    <row r="27" spans="1:11" x14ac:dyDescent="0.35">
      <c r="A27" s="294"/>
      <c r="B27" s="230"/>
      <c r="K27" s="138"/>
    </row>
    <row r="28" spans="1:11" x14ac:dyDescent="0.35">
      <c r="A28" s="294"/>
      <c r="B28" s="234"/>
      <c r="C28" s="234"/>
      <c r="D28" s="234"/>
      <c r="E28" s="234"/>
      <c r="F28" s="234"/>
      <c r="G28" s="234"/>
      <c r="H28" s="234"/>
      <c r="I28" s="234"/>
      <c r="J28" s="234"/>
      <c r="K28" s="235"/>
    </row>
    <row r="29" spans="1:11" x14ac:dyDescent="0.35">
      <c r="A29" s="294"/>
      <c r="B29" s="229" t="s">
        <v>165</v>
      </c>
      <c r="H29" t="s">
        <v>141</v>
      </c>
      <c r="K29" s="138" t="s">
        <v>167</v>
      </c>
    </row>
    <row r="30" spans="1:11" x14ac:dyDescent="0.35">
      <c r="A30" s="294"/>
      <c r="B30" s="230"/>
      <c r="K30" s="138"/>
    </row>
    <row r="31" spans="1:11" x14ac:dyDescent="0.35">
      <c r="A31" s="294"/>
      <c r="B31" s="230"/>
      <c r="K31" s="138"/>
    </row>
    <row r="32" spans="1:11" x14ac:dyDescent="0.35">
      <c r="A32" s="294"/>
      <c r="B32" s="230"/>
      <c r="K32" s="138"/>
    </row>
    <row r="33" spans="1:11" x14ac:dyDescent="0.35">
      <c r="A33" s="294"/>
      <c r="B33" s="230"/>
      <c r="K33" s="138"/>
    </row>
    <row r="34" spans="1:11" x14ac:dyDescent="0.35">
      <c r="A34" s="294"/>
      <c r="B34" s="230"/>
      <c r="K34" s="138"/>
    </row>
    <row r="35" spans="1:11" x14ac:dyDescent="0.35">
      <c r="A35" s="295"/>
      <c r="B35" s="231"/>
      <c r="C35" s="139"/>
      <c r="D35" s="139"/>
      <c r="E35" s="139"/>
      <c r="F35" s="139"/>
      <c r="G35" s="139"/>
      <c r="H35" s="139"/>
      <c r="I35" s="139"/>
      <c r="J35" s="139"/>
      <c r="K35" s="140"/>
    </row>
  </sheetData>
  <mergeCells count="2">
    <mergeCell ref="A4:A18"/>
    <mergeCell ref="A19:A3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F1C1-3E03-4CC9-A507-EAB8D8A44880}">
  <dimension ref="B1:R113"/>
  <sheetViews>
    <sheetView tabSelected="1" zoomScale="80" zoomScaleNormal="80" workbookViewId="0">
      <selection activeCell="B72" sqref="B72"/>
    </sheetView>
  </sheetViews>
  <sheetFormatPr defaultColWidth="8.7265625" defaultRowHeight="14" x14ac:dyDescent="0.3"/>
  <cols>
    <col min="1" max="1" width="8.7265625" style="3"/>
    <col min="2" max="2" width="28" style="3" customWidth="1"/>
    <col min="3" max="3" width="12.54296875" style="3" customWidth="1"/>
    <col min="4" max="4" width="20.26953125" style="3" bestFit="1" customWidth="1"/>
    <col min="5" max="5" width="11.26953125" style="3" customWidth="1"/>
    <col min="6" max="6" width="10.81640625" style="3" customWidth="1"/>
    <col min="7" max="7" width="24.7265625" style="3" customWidth="1"/>
    <col min="8" max="8" width="9.26953125" style="3" bestFit="1" customWidth="1"/>
    <col min="9" max="9" width="11" style="3" customWidth="1"/>
    <col min="10" max="10" width="9" style="3" customWidth="1"/>
    <col min="11" max="17" width="9" style="3" bestFit="1" customWidth="1"/>
    <col min="18" max="16384" width="8.7265625" style="3"/>
  </cols>
  <sheetData>
    <row r="1" spans="2:18" ht="30" x14ac:dyDescent="0.6">
      <c r="B1" s="2" t="s">
        <v>19</v>
      </c>
    </row>
    <row r="2" spans="2:18" s="5" customFormat="1" ht="12.5" x14ac:dyDescent="0.25"/>
    <row r="3" spans="2:18" s="5" customFormat="1" ht="12.5" x14ac:dyDescent="0.25"/>
    <row r="4" spans="2:18" s="5" customFormat="1" ht="12.5" x14ac:dyDescent="0.25"/>
    <row r="5" spans="2:18" s="5" customFormat="1" ht="12.5" x14ac:dyDescent="0.25"/>
    <row r="6" spans="2:18" s="5" customFormat="1" ht="12.5" x14ac:dyDescent="0.25"/>
    <row r="7" spans="2:18" s="5" customFormat="1" ht="15.5" x14ac:dyDescent="0.35">
      <c r="B7" s="75" t="s">
        <v>28</v>
      </c>
      <c r="E7" s="5" t="s">
        <v>45</v>
      </c>
    </row>
    <row r="8" spans="2:18" s="5" customFormat="1" ht="13" x14ac:dyDescent="0.3">
      <c r="B8" s="4" t="s">
        <v>34</v>
      </c>
      <c r="G8" s="32"/>
      <c r="H8" s="32" t="s">
        <v>64</v>
      </c>
      <c r="I8" s="32" t="s">
        <v>66</v>
      </c>
      <c r="J8" s="32" t="s">
        <v>67</v>
      </c>
      <c r="K8" s="32" t="s">
        <v>68</v>
      </c>
      <c r="L8" s="32" t="s">
        <v>69</v>
      </c>
      <c r="M8" s="32" t="s">
        <v>70</v>
      </c>
      <c r="N8" s="32" t="s">
        <v>71</v>
      </c>
      <c r="O8" s="32" t="s">
        <v>72</v>
      </c>
      <c r="P8" s="32" t="s">
        <v>73</v>
      </c>
      <c r="Q8" s="32" t="s">
        <v>74</v>
      </c>
    </row>
    <row r="9" spans="2:18" s="5" customFormat="1" ht="12.5" x14ac:dyDescent="0.25">
      <c r="B9" s="32" t="s">
        <v>36</v>
      </c>
      <c r="C9" s="33">
        <v>40000</v>
      </c>
      <c r="G9" s="32" t="s">
        <v>65</v>
      </c>
      <c r="H9" s="76">
        <f>C9+C10</f>
        <v>41000</v>
      </c>
      <c r="I9" s="76">
        <f>H9+$C$10</f>
        <v>42000</v>
      </c>
      <c r="J9" s="76">
        <f t="shared" ref="J9:Q9" si="0">I9+$C$10</f>
        <v>43000</v>
      </c>
      <c r="K9" s="76">
        <f t="shared" si="0"/>
        <v>44000</v>
      </c>
      <c r="L9" s="76">
        <f t="shared" si="0"/>
        <v>45000</v>
      </c>
      <c r="M9" s="76">
        <f t="shared" si="0"/>
        <v>46000</v>
      </c>
      <c r="N9" s="76">
        <f t="shared" si="0"/>
        <v>47000</v>
      </c>
      <c r="O9" s="76">
        <f t="shared" si="0"/>
        <v>48000</v>
      </c>
      <c r="P9" s="76">
        <f t="shared" si="0"/>
        <v>49000</v>
      </c>
      <c r="Q9" s="76">
        <f t="shared" si="0"/>
        <v>50000</v>
      </c>
    </row>
    <row r="10" spans="2:18" s="5" customFormat="1" ht="14.5" x14ac:dyDescent="0.35">
      <c r="B10" s="32" t="s">
        <v>123</v>
      </c>
      <c r="C10" s="33">
        <v>1000</v>
      </c>
      <c r="G10" s="32" t="s">
        <v>76</v>
      </c>
      <c r="H10">
        <v>13865.295489842587</v>
      </c>
      <c r="I10">
        <v>13339.094591144461</v>
      </c>
      <c r="J10">
        <v>12527.361400162576</v>
      </c>
      <c r="K10">
        <v>11660.56697461516</v>
      </c>
      <c r="L10">
        <v>11048.352762472414</v>
      </c>
      <c r="M10">
        <v>10395.436458178012</v>
      </c>
      <c r="N10">
        <v>9619.9198527889857</v>
      </c>
      <c r="O10">
        <v>8910.6330313713243</v>
      </c>
      <c r="P10">
        <v>8107.9642228879775</v>
      </c>
      <c r="Q10">
        <v>7451.2486446357525</v>
      </c>
      <c r="R10">
        <v>6405.59695507575</v>
      </c>
    </row>
    <row r="11" spans="2:18" s="5" customFormat="1" ht="12.5" x14ac:dyDescent="0.25">
      <c r="B11" s="32"/>
      <c r="C11" s="32"/>
      <c r="G11" s="32" t="s">
        <v>75</v>
      </c>
      <c r="H11" s="34">
        <f t="shared" ref="H11:Q11" si="1">H10/$C$12</f>
        <v>554.61181959370344</v>
      </c>
      <c r="I11" s="34">
        <f t="shared" si="1"/>
        <v>533.56378364577847</v>
      </c>
      <c r="J11" s="34">
        <f t="shared" si="1"/>
        <v>501.09445600650304</v>
      </c>
      <c r="K11" s="34">
        <f t="shared" si="1"/>
        <v>466.42267898460636</v>
      </c>
      <c r="L11" s="34">
        <f t="shared" si="1"/>
        <v>441.93411049889653</v>
      </c>
      <c r="M11" s="34">
        <f t="shared" si="1"/>
        <v>415.81745832712045</v>
      </c>
      <c r="N11" s="34">
        <f t="shared" si="1"/>
        <v>384.79679411155945</v>
      </c>
      <c r="O11" s="34">
        <f t="shared" si="1"/>
        <v>356.42532125485297</v>
      </c>
      <c r="P11" s="34">
        <f t="shared" si="1"/>
        <v>324.31856891551911</v>
      </c>
      <c r="Q11" s="34">
        <f t="shared" si="1"/>
        <v>298.04994578543011</v>
      </c>
    </row>
    <row r="12" spans="2:18" s="5" customFormat="1" ht="12.5" x14ac:dyDescent="0.25">
      <c r="B12" s="32" t="s">
        <v>31</v>
      </c>
      <c r="C12" s="33">
        <v>25</v>
      </c>
      <c r="E12" s="77"/>
      <c r="G12" s="32" t="s">
        <v>78</v>
      </c>
      <c r="H12" s="76">
        <f t="shared" ref="H12:Q12" si="2">H9*$C$19</f>
        <v>41</v>
      </c>
      <c r="I12" s="76">
        <f t="shared" si="2"/>
        <v>42</v>
      </c>
      <c r="J12" s="76">
        <f t="shared" si="2"/>
        <v>43</v>
      </c>
      <c r="K12" s="76">
        <f t="shared" si="2"/>
        <v>44</v>
      </c>
      <c r="L12" s="76">
        <f t="shared" si="2"/>
        <v>45</v>
      </c>
      <c r="M12" s="76">
        <f t="shared" si="2"/>
        <v>46</v>
      </c>
      <c r="N12" s="76">
        <f t="shared" si="2"/>
        <v>47</v>
      </c>
      <c r="O12" s="76">
        <f t="shared" si="2"/>
        <v>48</v>
      </c>
      <c r="P12" s="76">
        <f t="shared" si="2"/>
        <v>49</v>
      </c>
      <c r="Q12" s="76">
        <f t="shared" si="2"/>
        <v>50</v>
      </c>
    </row>
    <row r="13" spans="2:18" s="5" customFormat="1" ht="12.5" x14ac:dyDescent="0.25">
      <c r="B13" s="32" t="s">
        <v>32</v>
      </c>
      <c r="C13" s="33">
        <v>15000</v>
      </c>
    </row>
    <row r="14" spans="2:18" s="5" customFormat="1" ht="12.5" x14ac:dyDescent="0.25">
      <c r="B14" s="32" t="s">
        <v>33</v>
      </c>
      <c r="C14" s="166">
        <v>1000</v>
      </c>
    </row>
    <row r="15" spans="2:18" s="5" customFormat="1" ht="12.5" x14ac:dyDescent="0.25">
      <c r="F15" s="5" t="s">
        <v>35</v>
      </c>
    </row>
    <row r="16" spans="2:18" s="7" customFormat="1" ht="13.5" customHeight="1" x14ac:dyDescent="0.25">
      <c r="B16" s="5"/>
      <c r="C16" s="28"/>
      <c r="D16" s="28"/>
      <c r="E16" s="5"/>
      <c r="F16" s="5"/>
    </row>
    <row r="17" spans="2:4" s="5" customFormat="1" ht="15.5" x14ac:dyDescent="0.35">
      <c r="B17" s="75" t="s">
        <v>42</v>
      </c>
    </row>
    <row r="18" spans="2:4" s="5" customFormat="1" ht="12.5" x14ac:dyDescent="0.25"/>
    <row r="19" spans="2:4" s="5" customFormat="1" ht="12.5" x14ac:dyDescent="0.25">
      <c r="B19" s="32" t="s">
        <v>77</v>
      </c>
      <c r="C19" s="72">
        <v>1E-3</v>
      </c>
    </row>
    <row r="20" spans="2:4" s="5" customFormat="1" ht="12.5" x14ac:dyDescent="0.25"/>
    <row r="21" spans="2:4" s="5" customFormat="1" ht="12.5" x14ac:dyDescent="0.25"/>
    <row r="22" spans="2:4" s="5" customFormat="1" ht="12.5" x14ac:dyDescent="0.25"/>
    <row r="23" spans="2:4" s="5" customFormat="1" ht="12.5" x14ac:dyDescent="0.25"/>
    <row r="24" spans="2:4" s="5" customFormat="1" ht="13" x14ac:dyDescent="0.25">
      <c r="B24" s="6" t="s">
        <v>21</v>
      </c>
      <c r="C24" s="24" t="s">
        <v>29</v>
      </c>
      <c r="D24" s="24" t="s">
        <v>30</v>
      </c>
    </row>
    <row r="25" spans="2:4" s="5" customFormat="1" ht="12.5" x14ac:dyDescent="0.25">
      <c r="B25" s="21" t="s">
        <v>22</v>
      </c>
      <c r="C25" s="25">
        <v>12</v>
      </c>
      <c r="D25" s="40">
        <v>1</v>
      </c>
    </row>
    <row r="26" spans="2:4" s="5" customFormat="1" ht="12.5" x14ac:dyDescent="0.25">
      <c r="B26" s="22"/>
      <c r="C26" s="26"/>
      <c r="D26" s="26"/>
    </row>
    <row r="27" spans="2:4" s="5" customFormat="1" ht="12.5" x14ac:dyDescent="0.25">
      <c r="B27" s="22"/>
      <c r="C27" s="26"/>
      <c r="D27" s="26"/>
    </row>
    <row r="28" spans="2:4" s="5" customFormat="1" ht="12.5" x14ac:dyDescent="0.25">
      <c r="B28" s="23"/>
      <c r="C28" s="27"/>
      <c r="D28" s="27"/>
    </row>
    <row r="29" spans="2:4" s="5" customFormat="1" ht="12.5" x14ac:dyDescent="0.25">
      <c r="C29" s="28"/>
      <c r="D29" s="28"/>
    </row>
    <row r="30" spans="2:4" s="5" customFormat="1" ht="12.5" x14ac:dyDescent="0.25"/>
    <row r="31" spans="2:4" s="5" customFormat="1" ht="12.5" x14ac:dyDescent="0.25"/>
    <row r="32" spans="2:4" s="5" customFormat="1" ht="15.5" x14ac:dyDescent="0.35">
      <c r="B32" s="75" t="s">
        <v>60</v>
      </c>
    </row>
    <row r="33" spans="2:4" s="5" customFormat="1" ht="12.5" x14ac:dyDescent="0.25"/>
    <row r="34" spans="2:4" s="5" customFormat="1" ht="14.5" x14ac:dyDescent="0.35">
      <c r="B34" s="64" t="s">
        <v>61</v>
      </c>
      <c r="C34" s="71">
        <v>0.22</v>
      </c>
    </row>
    <row r="35" spans="2:4" s="5" customFormat="1" ht="12.5" x14ac:dyDescent="0.25"/>
    <row r="36" spans="2:4" s="5" customFormat="1" ht="27" x14ac:dyDescent="0.25">
      <c r="B36" s="73" t="s">
        <v>62</v>
      </c>
      <c r="C36" s="74">
        <v>77.5</v>
      </c>
    </row>
    <row r="37" spans="2:4" s="5" customFormat="1" ht="12.5" x14ac:dyDescent="0.25"/>
    <row r="38" spans="2:4" s="5" customFormat="1" ht="16" x14ac:dyDescent="0.45">
      <c r="B38" s="32" t="s">
        <v>209</v>
      </c>
      <c r="C38" s="72">
        <v>400</v>
      </c>
    </row>
    <row r="39" spans="2:4" s="5" customFormat="1" ht="14.5" x14ac:dyDescent="0.25">
      <c r="B39" s="32" t="s">
        <v>63</v>
      </c>
      <c r="C39" s="76">
        <f>C38*C9/1000</f>
        <v>16000</v>
      </c>
    </row>
    <row r="40" spans="2:4" s="5" customFormat="1" ht="12.5" x14ac:dyDescent="0.25"/>
    <row r="41" spans="2:4" s="5" customFormat="1" ht="12.5" x14ac:dyDescent="0.25"/>
    <row r="42" spans="2:4" s="5" customFormat="1" ht="12.5" x14ac:dyDescent="0.25"/>
    <row r="43" spans="2:4" s="5" customFormat="1" ht="12.5" x14ac:dyDescent="0.25"/>
    <row r="44" spans="2:4" s="5" customFormat="1" ht="12.5" x14ac:dyDescent="0.25"/>
    <row r="45" spans="2:4" s="5" customFormat="1" ht="15.5" x14ac:dyDescent="0.35">
      <c r="B45" s="75" t="s">
        <v>101</v>
      </c>
      <c r="C45" s="28"/>
      <c r="D45" s="28"/>
    </row>
    <row r="46" spans="2:4" s="5" customFormat="1" ht="12.5" x14ac:dyDescent="0.25">
      <c r="C46" s="28"/>
      <c r="D46" s="28"/>
    </row>
    <row r="47" spans="2:4" s="5" customFormat="1" ht="13" x14ac:dyDescent="0.25">
      <c r="B47" s="24" t="s">
        <v>25</v>
      </c>
      <c r="C47" s="24" t="s">
        <v>26</v>
      </c>
      <c r="D47" s="24" t="s">
        <v>27</v>
      </c>
    </row>
    <row r="48" spans="2:4" s="5" customFormat="1" ht="12.5" x14ac:dyDescent="0.25">
      <c r="B48" s="29">
        <v>4</v>
      </c>
      <c r="C48" s="25">
        <v>7</v>
      </c>
      <c r="D48" s="161">
        <f>B48*C48</f>
        <v>28</v>
      </c>
    </row>
    <row r="49" spans="2:17" s="5" customFormat="1" ht="12.5" x14ac:dyDescent="0.25">
      <c r="B49" s="30"/>
      <c r="C49" s="26"/>
      <c r="D49" s="26"/>
    </row>
    <row r="50" spans="2:17" s="5" customFormat="1" ht="12.5" x14ac:dyDescent="0.25">
      <c r="B50" s="30"/>
      <c r="C50" s="26"/>
      <c r="D50" s="26"/>
    </row>
    <row r="51" spans="2:17" s="5" customFormat="1" ht="12.5" x14ac:dyDescent="0.25">
      <c r="B51" s="31"/>
      <c r="C51" s="27"/>
      <c r="D51" s="27"/>
    </row>
    <row r="52" spans="2:17" s="5" customFormat="1" ht="12.5" x14ac:dyDescent="0.25"/>
    <row r="53" spans="2:17" s="5" customFormat="1" ht="12.5" x14ac:dyDescent="0.25"/>
    <row r="54" spans="2:17" s="5" customFormat="1" ht="13" x14ac:dyDescent="0.3">
      <c r="B54" s="113" t="s">
        <v>102</v>
      </c>
      <c r="C54" s="113" t="s">
        <v>103</v>
      </c>
      <c r="D54" s="113" t="s">
        <v>106</v>
      </c>
    </row>
    <row r="55" spans="2:17" s="5" customFormat="1" ht="12.5" x14ac:dyDescent="0.25">
      <c r="B55" s="32" t="s">
        <v>104</v>
      </c>
      <c r="C55" s="72">
        <v>1</v>
      </c>
      <c r="D55" s="114">
        <f>D48</f>
        <v>28</v>
      </c>
    </row>
    <row r="56" spans="2:17" s="5" customFormat="1" ht="12.5" x14ac:dyDescent="0.25">
      <c r="B56" s="32" t="s">
        <v>105</v>
      </c>
      <c r="C56" s="72">
        <v>2</v>
      </c>
      <c r="D56" s="114">
        <f>D48</f>
        <v>28</v>
      </c>
    </row>
    <row r="57" spans="2:17" s="5" customFormat="1" ht="12.5" x14ac:dyDescent="0.25">
      <c r="B57" s="32" t="s">
        <v>100</v>
      </c>
      <c r="C57" s="72">
        <v>1</v>
      </c>
      <c r="D57" s="33">
        <v>8</v>
      </c>
    </row>
    <row r="58" spans="2:17" s="5" customFormat="1" ht="12.5" x14ac:dyDescent="0.25"/>
    <row r="59" spans="2:17" s="5" customFormat="1" ht="12.5" x14ac:dyDescent="0.25"/>
    <row r="60" spans="2:17" s="5" customFormat="1" ht="15.5" x14ac:dyDescent="0.35">
      <c r="B60" s="75" t="s">
        <v>122</v>
      </c>
    </row>
    <row r="61" spans="2:17" s="5" customFormat="1" ht="17.25" customHeight="1" x14ac:dyDescent="0.35">
      <c r="B61" s="75"/>
      <c r="F61" s="5" t="s">
        <v>35</v>
      </c>
    </row>
    <row r="62" spans="2:17" s="5" customFormat="1" ht="12.5" x14ac:dyDescent="0.25"/>
    <row r="63" spans="2:17" s="5" customFormat="1" ht="12.5" x14ac:dyDescent="0.25">
      <c r="B63" s="32" t="s">
        <v>153</v>
      </c>
      <c r="C63" s="124">
        <v>35000000</v>
      </c>
      <c r="G63" s="32"/>
      <c r="H63" s="32" t="s">
        <v>64</v>
      </c>
      <c r="I63" s="32" t="s">
        <v>66</v>
      </c>
      <c r="J63" s="32" t="s">
        <v>67</v>
      </c>
      <c r="K63" s="32" t="s">
        <v>68</v>
      </c>
      <c r="L63" s="32" t="s">
        <v>69</v>
      </c>
      <c r="M63" s="32" t="s">
        <v>70</v>
      </c>
      <c r="N63" s="32" t="s">
        <v>71</v>
      </c>
      <c r="O63" s="32" t="s">
        <v>72</v>
      </c>
      <c r="P63" s="32" t="s">
        <v>73</v>
      </c>
      <c r="Q63" s="32" t="s">
        <v>74</v>
      </c>
    </row>
    <row r="64" spans="2:17" s="5" customFormat="1" ht="12.5" x14ac:dyDescent="0.25">
      <c r="G64" s="32" t="s">
        <v>153</v>
      </c>
      <c r="H64" s="34">
        <f>C63+(C66*52)</f>
        <v>36040000</v>
      </c>
      <c r="I64" s="34">
        <f>H64+($C$66*52)</f>
        <v>37080000</v>
      </c>
      <c r="J64" s="34">
        <f t="shared" ref="J64:Q64" si="3">I64+($C$66*52)</f>
        <v>38120000</v>
      </c>
      <c r="K64" s="34">
        <f t="shared" si="3"/>
        <v>39160000</v>
      </c>
      <c r="L64" s="34">
        <f t="shared" si="3"/>
        <v>40200000</v>
      </c>
      <c r="M64" s="34">
        <f t="shared" si="3"/>
        <v>41240000</v>
      </c>
      <c r="N64" s="34">
        <f t="shared" si="3"/>
        <v>42280000</v>
      </c>
      <c r="O64" s="34">
        <f t="shared" si="3"/>
        <v>43320000</v>
      </c>
      <c r="P64" s="34">
        <f t="shared" si="3"/>
        <v>44360000</v>
      </c>
      <c r="Q64" s="34">
        <f t="shared" si="3"/>
        <v>45400000</v>
      </c>
    </row>
    <row r="65" spans="2:17" s="5" customFormat="1" ht="12.5" x14ac:dyDescent="0.25">
      <c r="C65" s="123"/>
      <c r="G65" s="32" t="s">
        <v>210</v>
      </c>
      <c r="H65" s="76">
        <f>H64*$C$72</f>
        <v>72080</v>
      </c>
      <c r="I65" s="76">
        <f t="shared" ref="I65:Q65" si="4">I64*$C$72</f>
        <v>74160</v>
      </c>
      <c r="J65" s="76">
        <f t="shared" si="4"/>
        <v>76240</v>
      </c>
      <c r="K65" s="76">
        <f t="shared" si="4"/>
        <v>78320</v>
      </c>
      <c r="L65" s="76">
        <f t="shared" si="4"/>
        <v>80400</v>
      </c>
      <c r="M65" s="76">
        <f t="shared" si="4"/>
        <v>82480</v>
      </c>
      <c r="N65" s="76">
        <f t="shared" si="4"/>
        <v>84560</v>
      </c>
      <c r="O65" s="76">
        <f t="shared" si="4"/>
        <v>86640</v>
      </c>
      <c r="P65" s="76">
        <f t="shared" si="4"/>
        <v>88720</v>
      </c>
      <c r="Q65" s="76">
        <f t="shared" si="4"/>
        <v>90800</v>
      </c>
    </row>
    <row r="66" spans="2:17" s="5" customFormat="1" ht="12.5" x14ac:dyDescent="0.25">
      <c r="B66" s="32" t="s">
        <v>154</v>
      </c>
      <c r="C66" s="124">
        <v>20000</v>
      </c>
      <c r="G66" s="32" t="s">
        <v>211</v>
      </c>
      <c r="H66" s="34">
        <f>H64/$C$71</f>
        <v>7208</v>
      </c>
      <c r="I66" s="34">
        <f t="shared" ref="I66:Q66" si="5">I64/$C$71</f>
        <v>7416</v>
      </c>
      <c r="J66" s="34">
        <f t="shared" si="5"/>
        <v>7624</v>
      </c>
      <c r="K66" s="34">
        <f t="shared" si="5"/>
        <v>7832</v>
      </c>
      <c r="L66" s="34">
        <f t="shared" si="5"/>
        <v>8040</v>
      </c>
      <c r="M66" s="34">
        <f t="shared" si="5"/>
        <v>8248</v>
      </c>
      <c r="N66" s="34">
        <f t="shared" si="5"/>
        <v>8456</v>
      </c>
      <c r="O66" s="34">
        <f t="shared" si="5"/>
        <v>8664</v>
      </c>
      <c r="P66" s="34">
        <f t="shared" si="5"/>
        <v>8872</v>
      </c>
      <c r="Q66" s="34">
        <f t="shared" si="5"/>
        <v>9080</v>
      </c>
    </row>
    <row r="67" spans="2:17" s="5" customFormat="1" ht="12.5" x14ac:dyDescent="0.25">
      <c r="B67" s="32" t="s">
        <v>128</v>
      </c>
      <c r="C67" s="125">
        <f>C66/C71</f>
        <v>4</v>
      </c>
    </row>
    <row r="68" spans="2:17" s="5" customFormat="1" ht="12.5" x14ac:dyDescent="0.25">
      <c r="B68" s="32" t="s">
        <v>129</v>
      </c>
      <c r="C68" s="125">
        <f>C67*52</f>
        <v>208</v>
      </c>
    </row>
    <row r="69" spans="2:17" s="5" customFormat="1" ht="12.5" x14ac:dyDescent="0.25">
      <c r="B69" s="32" t="s">
        <v>226</v>
      </c>
      <c r="C69" s="114">
        <f>C68*C12</f>
        <v>5200</v>
      </c>
    </row>
    <row r="70" spans="2:17" s="5" customFormat="1" ht="12.5" x14ac:dyDescent="0.25"/>
    <row r="71" spans="2:17" s="5" customFormat="1" ht="12.5" x14ac:dyDescent="0.25">
      <c r="B71" s="32" t="s">
        <v>124</v>
      </c>
      <c r="C71" s="33">
        <v>5000</v>
      </c>
    </row>
    <row r="72" spans="2:17" s="5" customFormat="1" ht="12.5" x14ac:dyDescent="0.25">
      <c r="B72" s="32" t="s">
        <v>175</v>
      </c>
      <c r="C72" s="33">
        <v>2E-3</v>
      </c>
    </row>
    <row r="73" spans="2:17" s="5" customFormat="1" ht="12.5" x14ac:dyDescent="0.25">
      <c r="B73" s="32" t="s">
        <v>125</v>
      </c>
      <c r="C73" s="122">
        <v>0.15</v>
      </c>
    </row>
    <row r="74" spans="2:17" s="5" customFormat="1" ht="12.5" x14ac:dyDescent="0.25">
      <c r="B74" s="32" t="s">
        <v>178</v>
      </c>
      <c r="C74" s="122">
        <v>2.85</v>
      </c>
    </row>
    <row r="75" spans="2:17" s="5" customFormat="1" ht="12.5" x14ac:dyDescent="0.25">
      <c r="B75" s="32" t="s">
        <v>179</v>
      </c>
      <c r="C75" s="122">
        <v>0.7</v>
      </c>
    </row>
    <row r="76" spans="2:17" s="5" customFormat="1" ht="12.5" x14ac:dyDescent="0.25"/>
    <row r="77" spans="2:17" s="5" customFormat="1" ht="12.5" x14ac:dyDescent="0.25"/>
    <row r="78" spans="2:17" s="5" customFormat="1" ht="12.5" x14ac:dyDescent="0.25">
      <c r="B78" s="32" t="s">
        <v>126</v>
      </c>
      <c r="C78" s="33">
        <v>1</v>
      </c>
    </row>
    <row r="79" spans="2:17" s="5" customFormat="1" ht="12.5" x14ac:dyDescent="0.25">
      <c r="B79" s="131" t="s">
        <v>152</v>
      </c>
      <c r="C79" s="146">
        <v>100</v>
      </c>
    </row>
    <row r="80" spans="2:17" s="5" customFormat="1" ht="12.5" x14ac:dyDescent="0.25"/>
    <row r="81" spans="2:6" s="5" customFormat="1" ht="12.5" x14ac:dyDescent="0.25"/>
    <row r="82" spans="2:6" s="5" customFormat="1" ht="12.5" x14ac:dyDescent="0.25">
      <c r="B82" s="32" t="s">
        <v>176</v>
      </c>
      <c r="C82" s="126">
        <v>1E-3</v>
      </c>
      <c r="D82" s="127" t="s">
        <v>177</v>
      </c>
    </row>
    <row r="83" spans="2:6" s="5" customFormat="1" ht="12.5" x14ac:dyDescent="0.25"/>
    <row r="84" spans="2:6" s="5" customFormat="1" ht="12.5" x14ac:dyDescent="0.25"/>
    <row r="85" spans="2:6" s="5" customFormat="1" ht="12.5" x14ac:dyDescent="0.25"/>
    <row r="86" spans="2:6" s="5" customFormat="1" ht="12.5" x14ac:dyDescent="0.25"/>
    <row r="87" spans="2:6" s="5" customFormat="1" ht="12.5" x14ac:dyDescent="0.25"/>
    <row r="88" spans="2:6" s="5" customFormat="1" ht="12.5" x14ac:dyDescent="0.25"/>
    <row r="89" spans="2:6" s="5" customFormat="1" ht="12.5" x14ac:dyDescent="0.25"/>
    <row r="90" spans="2:6" s="5" customFormat="1" ht="15.5" x14ac:dyDescent="0.35">
      <c r="B90" s="8" t="s">
        <v>203</v>
      </c>
      <c r="C90"/>
      <c r="D90"/>
      <c r="E90"/>
      <c r="F90"/>
    </row>
    <row r="91" spans="2:6" s="5" customFormat="1" ht="15.5" x14ac:dyDescent="0.35">
      <c r="B91" s="8"/>
      <c r="C91"/>
      <c r="D91"/>
      <c r="E91"/>
      <c r="F91"/>
    </row>
    <row r="92" spans="2:6" s="5" customFormat="1" ht="14.5" x14ac:dyDescent="0.35">
      <c r="B92" s="9"/>
      <c r="C92" s="159"/>
      <c r="D92"/>
      <c r="E92"/>
      <c r="F92"/>
    </row>
    <row r="93" spans="2:6" s="5" customFormat="1" ht="14.5" x14ac:dyDescent="0.35">
      <c r="B93" s="9" t="s">
        <v>208</v>
      </c>
      <c r="C93" s="10">
        <v>1875</v>
      </c>
      <c r="D93"/>
      <c r="E93"/>
      <c r="F93"/>
    </row>
    <row r="94" spans="2:6" s="5" customFormat="1" ht="13" x14ac:dyDescent="0.3">
      <c r="B94" s="11" t="s">
        <v>204</v>
      </c>
      <c r="C94" s="12" t="s">
        <v>38</v>
      </c>
      <c r="D94" s="17" t="s">
        <v>205</v>
      </c>
      <c r="E94" s="16" t="s">
        <v>206</v>
      </c>
    </row>
    <row r="95" spans="2:6" s="5" customFormat="1" ht="14.5" x14ac:dyDescent="0.35">
      <c r="B95" s="13">
        <v>2</v>
      </c>
      <c r="C95" s="20">
        <f t="shared" ref="C95:C108" si="6">D95/($C$93/12)</f>
        <v>14.3552</v>
      </c>
      <c r="D95" s="18">
        <v>2243</v>
      </c>
      <c r="E95" s="19">
        <f>D95*12</f>
        <v>26916</v>
      </c>
      <c r="F95" s="15"/>
    </row>
    <row r="96" spans="2:6" s="5" customFormat="1" ht="14.5" x14ac:dyDescent="0.35">
      <c r="B96" s="14">
        <v>3</v>
      </c>
      <c r="C96" s="20">
        <f t="shared" si="6"/>
        <v>15.6288</v>
      </c>
      <c r="D96" s="18">
        <v>2442</v>
      </c>
      <c r="E96" s="19">
        <f t="shared" ref="E96:E108" si="7">D96*12</f>
        <v>29304</v>
      </c>
      <c r="F96" s="15"/>
    </row>
    <row r="97" spans="2:6" s="5" customFormat="1" ht="14.5" x14ac:dyDescent="0.35">
      <c r="B97" s="14">
        <v>4</v>
      </c>
      <c r="C97" s="20">
        <f t="shared" si="6"/>
        <v>16.48</v>
      </c>
      <c r="D97" s="18">
        <v>2575</v>
      </c>
      <c r="E97" s="19">
        <f t="shared" si="7"/>
        <v>30900</v>
      </c>
      <c r="F97" s="15"/>
    </row>
    <row r="98" spans="2:6" s="5" customFormat="1" ht="14.5" x14ac:dyDescent="0.35">
      <c r="B98" s="14">
        <v>5</v>
      </c>
      <c r="C98" s="20">
        <f t="shared" si="6"/>
        <v>17.3504</v>
      </c>
      <c r="D98" s="18">
        <v>2711</v>
      </c>
      <c r="E98" s="19">
        <f t="shared" si="7"/>
        <v>32532</v>
      </c>
      <c r="F98" s="15"/>
    </row>
    <row r="99" spans="2:6" s="5" customFormat="1" ht="14.5" x14ac:dyDescent="0.35">
      <c r="B99" s="14">
        <v>6</v>
      </c>
      <c r="C99" s="20">
        <f t="shared" si="6"/>
        <v>18.214400000000001</v>
      </c>
      <c r="D99" s="18">
        <v>2846</v>
      </c>
      <c r="E99" s="19">
        <f t="shared" si="7"/>
        <v>34152</v>
      </c>
      <c r="F99" s="15"/>
    </row>
    <row r="100" spans="2:6" s="5" customFormat="1" ht="14.5" x14ac:dyDescent="0.35">
      <c r="B100" s="14">
        <v>7</v>
      </c>
      <c r="C100" s="20">
        <f t="shared" si="6"/>
        <v>19.929600000000001</v>
      </c>
      <c r="D100" s="18">
        <v>3114</v>
      </c>
      <c r="E100" s="19">
        <f t="shared" si="7"/>
        <v>37368</v>
      </c>
      <c r="F100" s="15"/>
    </row>
    <row r="101" spans="2:6" s="5" customFormat="1" ht="14.5" x14ac:dyDescent="0.35">
      <c r="B101" s="14">
        <v>8</v>
      </c>
      <c r="C101" s="20">
        <f t="shared" si="6"/>
        <v>22.527999999999999</v>
      </c>
      <c r="D101" s="18">
        <v>3520</v>
      </c>
      <c r="E101" s="19">
        <f t="shared" si="7"/>
        <v>42240</v>
      </c>
      <c r="F101" s="15"/>
    </row>
    <row r="102" spans="2:6" s="5" customFormat="1" ht="14.5" x14ac:dyDescent="0.35">
      <c r="B102" s="14">
        <v>9</v>
      </c>
      <c r="C102" s="20">
        <f t="shared" si="6"/>
        <v>25.395199999999999</v>
      </c>
      <c r="D102" s="18">
        <v>3968</v>
      </c>
      <c r="E102" s="19">
        <f t="shared" si="7"/>
        <v>47616</v>
      </c>
      <c r="F102" s="15"/>
    </row>
    <row r="103" spans="2:6" s="5" customFormat="1" ht="14.5" x14ac:dyDescent="0.35">
      <c r="B103" s="14">
        <v>10</v>
      </c>
      <c r="C103" s="20">
        <f t="shared" si="6"/>
        <v>28.198399999999999</v>
      </c>
      <c r="D103" s="18">
        <v>4406</v>
      </c>
      <c r="E103" s="19">
        <f t="shared" si="7"/>
        <v>52872</v>
      </c>
      <c r="F103" s="15"/>
    </row>
    <row r="104" spans="2:6" s="5" customFormat="1" ht="14.5" x14ac:dyDescent="0.35">
      <c r="B104" s="14" t="s">
        <v>23</v>
      </c>
      <c r="C104" s="20">
        <f t="shared" si="6"/>
        <v>30.303999999999998</v>
      </c>
      <c r="D104" s="18">
        <v>4735</v>
      </c>
      <c r="E104" s="19">
        <f t="shared" si="7"/>
        <v>56820</v>
      </c>
      <c r="F104" s="15"/>
    </row>
    <row r="105" spans="2:6" s="5" customFormat="1" ht="14.5" x14ac:dyDescent="0.35">
      <c r="B105" s="14">
        <v>11</v>
      </c>
      <c r="C105" s="20">
        <f t="shared" si="6"/>
        <v>32.428800000000003</v>
      </c>
      <c r="D105" s="18">
        <v>5067</v>
      </c>
      <c r="E105" s="19">
        <f t="shared" si="7"/>
        <v>60804</v>
      </c>
      <c r="F105" s="15"/>
    </row>
    <row r="106" spans="2:6" s="5" customFormat="1" ht="14.5" x14ac:dyDescent="0.35">
      <c r="B106" s="14" t="s">
        <v>24</v>
      </c>
      <c r="C106" s="20">
        <f t="shared" si="6"/>
        <v>34.624000000000002</v>
      </c>
      <c r="D106" s="18">
        <v>5410</v>
      </c>
      <c r="E106" s="19">
        <f t="shared" si="7"/>
        <v>64920</v>
      </c>
      <c r="F106" s="15"/>
    </row>
    <row r="107" spans="2:6" s="5" customFormat="1" ht="14.5" x14ac:dyDescent="0.35">
      <c r="B107" s="116">
        <v>12</v>
      </c>
      <c r="C107" s="20">
        <f t="shared" si="6"/>
        <v>36.8384</v>
      </c>
      <c r="D107" s="117">
        <v>5756</v>
      </c>
      <c r="E107" s="118">
        <f t="shared" si="7"/>
        <v>69072</v>
      </c>
      <c r="F107" s="15"/>
    </row>
    <row r="108" spans="2:6" s="5" customFormat="1" ht="14.5" x14ac:dyDescent="0.35">
      <c r="B108" s="119">
        <v>0</v>
      </c>
      <c r="C108" s="120">
        <f t="shared" si="6"/>
        <v>0</v>
      </c>
      <c r="D108" s="18">
        <v>0</v>
      </c>
      <c r="E108" s="19">
        <f t="shared" si="7"/>
        <v>0</v>
      </c>
      <c r="F108" s="15"/>
    </row>
    <row r="109" spans="2:6" s="5" customFormat="1" ht="12.5" x14ac:dyDescent="0.25"/>
    <row r="110" spans="2:6" s="5" customFormat="1" ht="12.5" x14ac:dyDescent="0.25"/>
    <row r="111" spans="2:6" s="5" customFormat="1" ht="12.5" x14ac:dyDescent="0.25"/>
    <row r="112" spans="2:6" s="5" customFormat="1" ht="12.5" x14ac:dyDescent="0.25">
      <c r="C112" s="160"/>
    </row>
    <row r="113" s="5" customFormat="1" ht="12.5" x14ac:dyDescent="0.25"/>
  </sheetData>
  <phoneticPr fontId="17" type="noConversion"/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8EF4A-4FDD-46C4-A40F-B0AC55BB1F59}">
  <dimension ref="B2:AK44"/>
  <sheetViews>
    <sheetView zoomScale="70" zoomScaleNormal="70" workbookViewId="0">
      <selection activeCell="AH35" sqref="AH35"/>
    </sheetView>
  </sheetViews>
  <sheetFormatPr defaultRowHeight="14.5" x14ac:dyDescent="0.35"/>
  <cols>
    <col min="2" max="2" width="21.54296875" customWidth="1"/>
    <col min="3" max="3" width="21.26953125" bestFit="1" customWidth="1"/>
    <col min="4" max="4" width="14.54296875" customWidth="1"/>
    <col min="5" max="5" width="12.453125" customWidth="1"/>
    <col min="6" max="6" width="10.453125" bestFit="1" customWidth="1"/>
    <col min="7" max="8" width="11.54296875" bestFit="1" customWidth="1"/>
    <col min="9" max="9" width="11.54296875" customWidth="1"/>
    <col min="10" max="10" width="10.453125" bestFit="1" customWidth="1"/>
    <col min="11" max="11" width="11.54296875" bestFit="1" customWidth="1"/>
    <col min="12" max="12" width="9.453125" bestFit="1" customWidth="1"/>
    <col min="13" max="13" width="10.453125" bestFit="1" customWidth="1"/>
    <col min="15" max="15" width="12.54296875" bestFit="1" customWidth="1"/>
    <col min="16" max="16" width="11.26953125" bestFit="1" customWidth="1"/>
    <col min="17" max="17" width="11.54296875" bestFit="1" customWidth="1"/>
    <col min="19" max="20" width="12.26953125" bestFit="1" customWidth="1"/>
    <col min="22" max="22" width="10.26953125" bestFit="1" customWidth="1"/>
    <col min="23" max="23" width="13.453125" bestFit="1" customWidth="1"/>
  </cols>
  <sheetData>
    <row r="2" spans="2:37" ht="30" x14ac:dyDescent="0.6">
      <c r="B2" s="2" t="s">
        <v>170</v>
      </c>
      <c r="C2" s="3"/>
      <c r="D2" s="3"/>
    </row>
    <row r="5" spans="2:37" ht="15" thickBot="1" x14ac:dyDescent="0.4"/>
    <row r="6" spans="2:37" x14ac:dyDescent="0.35">
      <c r="B6" s="179" t="s">
        <v>171</v>
      </c>
      <c r="C6" s="180" t="s">
        <v>172</v>
      </c>
      <c r="D6" s="296" t="s">
        <v>214</v>
      </c>
      <c r="E6" s="297"/>
      <c r="F6" s="297"/>
      <c r="G6" s="297"/>
      <c r="H6" s="297"/>
      <c r="I6" s="298"/>
      <c r="J6" s="299" t="s">
        <v>215</v>
      </c>
      <c r="K6" s="300"/>
      <c r="L6" s="300"/>
      <c r="M6" s="300"/>
      <c r="N6" s="300"/>
      <c r="O6" s="300"/>
      <c r="P6" s="300"/>
      <c r="Q6" s="301"/>
      <c r="S6" s="206" t="s">
        <v>214</v>
      </c>
      <c r="T6" s="207" t="s">
        <v>221</v>
      </c>
      <c r="V6" s="206" t="s">
        <v>217</v>
      </c>
      <c r="W6" s="207" t="s">
        <v>224</v>
      </c>
    </row>
    <row r="7" spans="2:37" x14ac:dyDescent="0.35">
      <c r="B7" s="181"/>
      <c r="C7" s="182"/>
      <c r="D7" s="195" t="s">
        <v>213</v>
      </c>
      <c r="E7" s="196" t="s">
        <v>9</v>
      </c>
      <c r="F7" s="196" t="s">
        <v>57</v>
      </c>
      <c r="G7" s="196" t="s">
        <v>141</v>
      </c>
      <c r="H7" s="196" t="s">
        <v>217</v>
      </c>
      <c r="I7" s="197" t="s">
        <v>220</v>
      </c>
      <c r="J7" s="199" t="s">
        <v>144</v>
      </c>
      <c r="K7" s="200" t="s">
        <v>145</v>
      </c>
      <c r="L7" s="200" t="s">
        <v>146</v>
      </c>
      <c r="M7" s="200" t="s">
        <v>147</v>
      </c>
      <c r="N7" s="200" t="s">
        <v>148</v>
      </c>
      <c r="O7" s="200" t="s">
        <v>219</v>
      </c>
      <c r="P7" s="200" t="s">
        <v>216</v>
      </c>
      <c r="Q7" s="201" t="s">
        <v>218</v>
      </c>
      <c r="S7" s="198" t="s">
        <v>222</v>
      </c>
      <c r="T7" s="202" t="s">
        <v>222</v>
      </c>
      <c r="V7" s="198" t="s">
        <v>225</v>
      </c>
      <c r="W7" s="202" t="s">
        <v>225</v>
      </c>
    </row>
    <row r="8" spans="2:37" x14ac:dyDescent="0.35">
      <c r="B8" s="181">
        <v>1</v>
      </c>
      <c r="C8" s="183">
        <f>SUM(D8:Q8)</f>
        <v>1288305.6614399999</v>
      </c>
      <c r="D8" s="173">
        <f>'acquisition year '!$M$11</f>
        <v>253977.3952</v>
      </c>
      <c r="E8" s="174">
        <f>'acquisition year '!$M$23+'acquisition year '!$J$28+'retention years'!K9</f>
        <v>64066.099199999997</v>
      </c>
      <c r="F8" s="174">
        <f>'acquisition year '!$M$41+'retention years'!K19</f>
        <v>60253.843200000003</v>
      </c>
      <c r="G8" s="174">
        <f>'retention years'!K$34</f>
        <v>315179.68384000001</v>
      </c>
      <c r="H8" s="174">
        <f>'retention years'!K$50</f>
        <v>128414.208</v>
      </c>
      <c r="I8" s="175">
        <f>'retention years'!$C$76</f>
        <v>5000</v>
      </c>
      <c r="J8" s="173">
        <f>digitization!$C$145+digitization!$D$145</f>
        <v>25711.603199999998</v>
      </c>
      <c r="K8" s="174">
        <f>digitization!$C$146+digitization!$D$146</f>
        <v>161200</v>
      </c>
      <c r="L8" s="174">
        <f>digitization!$C$147+digitization!$D$147</f>
        <v>2641.1007999999997</v>
      </c>
      <c r="M8" s="174">
        <f>digitization!$C$148+digitization!$D$148</f>
        <v>10695.526399999999</v>
      </c>
      <c r="N8" s="174">
        <f>digitization!$C$149+digitization!$D$149</f>
        <v>0</v>
      </c>
      <c r="O8" s="174">
        <f>digitization!$F$100+digitization!$C$105+digitization!I$105</f>
        <v>53097.1008</v>
      </c>
      <c r="P8" s="174">
        <f>digitization!$C$151+digitization!$D$151</f>
        <v>0</v>
      </c>
      <c r="Q8" s="175">
        <f>digitization!$F$133+digitization!$C$138+digitization!I$138</f>
        <v>208069.10079999999</v>
      </c>
      <c r="S8" s="208">
        <f>SUM(D8:H8)</f>
        <v>821891.22944000002</v>
      </c>
      <c r="T8" s="209">
        <f>SUM(J8:Q8)</f>
        <v>461414.43200000003</v>
      </c>
      <c r="V8" s="218">
        <f>H8</f>
        <v>128414.208</v>
      </c>
      <c r="W8" s="219">
        <f>T8</f>
        <v>461414.43200000003</v>
      </c>
      <c r="AK8" s="169"/>
    </row>
    <row r="9" spans="2:37" x14ac:dyDescent="0.35">
      <c r="B9" s="181">
        <v>2</v>
      </c>
      <c r="C9" s="183">
        <f t="shared" ref="C9:C17" si="0">SUM(D9:Q9)</f>
        <v>1295753.7126399998</v>
      </c>
      <c r="D9" s="173">
        <f>'acquisition year '!$M$11</f>
        <v>253977.3952</v>
      </c>
      <c r="E9" s="174">
        <f>'acquisition year '!$M$23+'acquisition year '!$J$28+'retention years'!L9</f>
        <v>64130.150399999999</v>
      </c>
      <c r="F9" s="174">
        <f>'acquisition year '!$M$41+'retention years'!L19</f>
        <v>60253.843200000003</v>
      </c>
      <c r="G9" s="174">
        <f>'retention years'!K$34</f>
        <v>315179.68384000001</v>
      </c>
      <c r="H9" s="174">
        <f>'retention years'!K$50</f>
        <v>128414.208</v>
      </c>
      <c r="I9" s="175">
        <f>'retention years'!$C$76</f>
        <v>5000</v>
      </c>
      <c r="J9" s="173">
        <f>digitization!$C$145+digitization!$D$145</f>
        <v>25711.603199999998</v>
      </c>
      <c r="K9" s="174">
        <f>digitization!$C$146+digitization!$D$146</f>
        <v>161200</v>
      </c>
      <c r="L9" s="174">
        <f>digitization!$C$147+digitization!$D$147</f>
        <v>2641.1007999999997</v>
      </c>
      <c r="M9" s="174">
        <f>digitization!$C$148+digitization!$D$148</f>
        <v>10695.526399999999</v>
      </c>
      <c r="N9" s="174">
        <f>digitization!$C$149+digitization!$D$149</f>
        <v>0</v>
      </c>
      <c r="O9" s="174">
        <f>digitization!$F$100+digitization!$C$105+digitization!J105</f>
        <v>54553.1008</v>
      </c>
      <c r="P9" s="174">
        <f>digitization!$C$151+digitization!$D$151</f>
        <v>0</v>
      </c>
      <c r="Q9" s="175">
        <f>digitization!$F$133+digitization!$C$138+digitization!J$138</f>
        <v>213997.10079999999</v>
      </c>
      <c r="S9" s="208">
        <f t="shared" ref="S9:S17" si="1">SUM(D9:H9)</f>
        <v>821955.28064000001</v>
      </c>
      <c r="T9" s="209">
        <f t="shared" ref="T9:T17" si="2">SUM(J9:Q9)</f>
        <v>468798.43200000003</v>
      </c>
      <c r="V9" s="218">
        <f>V8+H9</f>
        <v>256828.416</v>
      </c>
      <c r="W9" s="219">
        <f>W8+T9</f>
        <v>930212.86400000006</v>
      </c>
    </row>
    <row r="10" spans="2:37" x14ac:dyDescent="0.35">
      <c r="B10" s="181">
        <v>3</v>
      </c>
      <c r="C10" s="183">
        <f t="shared" si="0"/>
        <v>1303201.7638399999</v>
      </c>
      <c r="D10" s="173">
        <f>'acquisition year '!$M$11</f>
        <v>253977.3952</v>
      </c>
      <c r="E10" s="174">
        <f>'acquisition year '!$M$23+'acquisition year '!$J$28+'retention years'!M9</f>
        <v>64194.2016</v>
      </c>
      <c r="F10" s="174">
        <f>'acquisition year '!$M$41+'retention years'!M19</f>
        <v>60253.843200000003</v>
      </c>
      <c r="G10" s="174">
        <f>'retention years'!K$34</f>
        <v>315179.68384000001</v>
      </c>
      <c r="H10" s="174">
        <f>'retention years'!K$50</f>
        <v>128414.208</v>
      </c>
      <c r="I10" s="175">
        <f>'retention years'!$C$76</f>
        <v>5000</v>
      </c>
      <c r="J10" s="173">
        <f>digitization!$C$145+digitization!$D$145</f>
        <v>25711.603199999998</v>
      </c>
      <c r="K10" s="174">
        <f>digitization!$C$146+digitization!$D$146</f>
        <v>161200</v>
      </c>
      <c r="L10" s="174">
        <f>digitization!$C$147+digitization!$D$147</f>
        <v>2641.1007999999997</v>
      </c>
      <c r="M10" s="174">
        <f>digitization!$C$148+digitization!$D$148</f>
        <v>10695.526399999999</v>
      </c>
      <c r="N10" s="174">
        <f>digitization!$C$149+digitization!$D$149</f>
        <v>0</v>
      </c>
      <c r="O10" s="174">
        <f>digitization!$F$100+digitization!$C$105+digitization!K$105</f>
        <v>56009.1008</v>
      </c>
      <c r="P10" s="174">
        <f>digitization!$C$151+digitization!$D$151</f>
        <v>0</v>
      </c>
      <c r="Q10" s="175">
        <f>digitization!$F$133+digitization!$C$138+digitization!K$138</f>
        <v>219925.10079999999</v>
      </c>
      <c r="S10" s="208">
        <f t="shared" si="1"/>
        <v>822019.33184</v>
      </c>
      <c r="T10" s="209">
        <f t="shared" si="2"/>
        <v>476182.43200000003</v>
      </c>
      <c r="V10" s="218">
        <f t="shared" ref="V10:V17" si="3">V9+H10</f>
        <v>385242.62400000001</v>
      </c>
      <c r="W10" s="219">
        <f t="shared" ref="W10:W17" si="4">W9+T10</f>
        <v>1406395.2960000001</v>
      </c>
    </row>
    <row r="11" spans="2:37" x14ac:dyDescent="0.35">
      <c r="B11" s="181">
        <v>4</v>
      </c>
      <c r="C11" s="183">
        <f t="shared" si="0"/>
        <v>1310649.8150399998</v>
      </c>
      <c r="D11" s="173">
        <f>'acquisition year '!$M$11</f>
        <v>253977.3952</v>
      </c>
      <c r="E11" s="174">
        <f>'acquisition year '!$M$23+'acquisition year '!$J$28+'retention years'!N9</f>
        <v>64258.252800000002</v>
      </c>
      <c r="F11" s="174">
        <f>'acquisition year '!$M$41+'retention years'!N19</f>
        <v>60253.843200000003</v>
      </c>
      <c r="G11" s="174">
        <f>'retention years'!K$34</f>
        <v>315179.68384000001</v>
      </c>
      <c r="H11" s="174">
        <f>'retention years'!K$50</f>
        <v>128414.208</v>
      </c>
      <c r="I11" s="175">
        <f>'retention years'!$C$76</f>
        <v>5000</v>
      </c>
      <c r="J11" s="173">
        <f>digitization!$C$145+digitization!$D$145</f>
        <v>25711.603199999998</v>
      </c>
      <c r="K11" s="174">
        <f>digitization!$C$146+digitization!$D$146</f>
        <v>161200</v>
      </c>
      <c r="L11" s="174">
        <f>digitization!$C$147+digitization!$D$147</f>
        <v>2641.1007999999997</v>
      </c>
      <c r="M11" s="174">
        <f>digitization!$C$148+digitization!$D$148</f>
        <v>10695.526399999999</v>
      </c>
      <c r="N11" s="174">
        <f>digitization!$C$149+digitization!$D$149</f>
        <v>0</v>
      </c>
      <c r="O11" s="174">
        <f>digitization!$F$100+digitization!$C$105+digitization!L$105</f>
        <v>57465.1008</v>
      </c>
      <c r="P11" s="174">
        <f>digitization!$C$151+digitization!$D$151</f>
        <v>0</v>
      </c>
      <c r="Q11" s="175">
        <f>digitization!$F$133+digitization!$C$138+digitization!L$138</f>
        <v>225853.10079999999</v>
      </c>
      <c r="S11" s="208">
        <f t="shared" si="1"/>
        <v>822083.38303999999</v>
      </c>
      <c r="T11" s="209">
        <f t="shared" si="2"/>
        <v>483566.43200000003</v>
      </c>
      <c r="V11" s="218">
        <f t="shared" si="3"/>
        <v>513656.83199999999</v>
      </c>
      <c r="W11" s="219">
        <f t="shared" si="4"/>
        <v>1889961.7280000001</v>
      </c>
    </row>
    <row r="12" spans="2:37" x14ac:dyDescent="0.35">
      <c r="B12" s="181">
        <v>5</v>
      </c>
      <c r="C12" s="183">
        <f t="shared" si="0"/>
        <v>1318097.8662399999</v>
      </c>
      <c r="D12" s="173">
        <f>'acquisition year '!$M$11</f>
        <v>253977.3952</v>
      </c>
      <c r="E12" s="174">
        <f>'acquisition year '!$M$23+'acquisition year '!$J$28+'retention years'!O9</f>
        <v>64322.304000000004</v>
      </c>
      <c r="F12" s="174">
        <f>'acquisition year '!$M$41+'retention years'!O19</f>
        <v>60253.843200000003</v>
      </c>
      <c r="G12" s="174">
        <f>'retention years'!K$34</f>
        <v>315179.68384000001</v>
      </c>
      <c r="H12" s="174">
        <f>'retention years'!K$50</f>
        <v>128414.208</v>
      </c>
      <c r="I12" s="175">
        <f>'retention years'!$C$76</f>
        <v>5000</v>
      </c>
      <c r="J12" s="173">
        <f>digitization!$C$145+digitization!$D$145</f>
        <v>25711.603199999998</v>
      </c>
      <c r="K12" s="174">
        <f>digitization!$C$146+digitization!$D$146</f>
        <v>161200</v>
      </c>
      <c r="L12" s="174">
        <f>digitization!$C$147+digitization!$D$147</f>
        <v>2641.1007999999997</v>
      </c>
      <c r="M12" s="174">
        <f>digitization!$C$148+digitization!$D$148</f>
        <v>10695.526399999999</v>
      </c>
      <c r="N12" s="174">
        <f>digitization!$C$149+digitization!$D$149</f>
        <v>0</v>
      </c>
      <c r="O12" s="174">
        <f>digitization!$F$100+digitization!$C$105+digitization!M$105</f>
        <v>58921.1008</v>
      </c>
      <c r="P12" s="174">
        <f>digitization!$C$151+digitization!$D$151</f>
        <v>0</v>
      </c>
      <c r="Q12" s="175">
        <f>digitization!$F$133+digitization!$C$138+digitization!M$138</f>
        <v>231781.10079999999</v>
      </c>
      <c r="S12" s="208">
        <f t="shared" si="1"/>
        <v>822147.43423999997</v>
      </c>
      <c r="T12" s="209">
        <f t="shared" si="2"/>
        <v>490950.43200000003</v>
      </c>
      <c r="V12" s="218">
        <f t="shared" si="3"/>
        <v>642071.04000000004</v>
      </c>
      <c r="W12" s="219">
        <f t="shared" si="4"/>
        <v>2380912.16</v>
      </c>
    </row>
    <row r="13" spans="2:37" x14ac:dyDescent="0.35">
      <c r="B13" s="181">
        <v>6</v>
      </c>
      <c r="C13" s="183">
        <f t="shared" si="0"/>
        <v>1325545.91744</v>
      </c>
      <c r="D13" s="173">
        <f>'acquisition year '!$M$11</f>
        <v>253977.3952</v>
      </c>
      <c r="E13" s="174">
        <f>'acquisition year '!$M$23+'acquisition year '!$J$28+'retention years'!P9</f>
        <v>64386.355199999998</v>
      </c>
      <c r="F13" s="174">
        <f>'acquisition year '!$M$41+'retention years'!P19</f>
        <v>60253.843200000003</v>
      </c>
      <c r="G13" s="174">
        <f>'retention years'!K$34</f>
        <v>315179.68384000001</v>
      </c>
      <c r="H13" s="174">
        <f>'retention years'!K$50</f>
        <v>128414.208</v>
      </c>
      <c r="I13" s="175">
        <f>'retention years'!$C$76</f>
        <v>5000</v>
      </c>
      <c r="J13" s="173">
        <f>digitization!$C$145+digitization!$D$145</f>
        <v>25711.603199999998</v>
      </c>
      <c r="K13" s="174">
        <f>digitization!$C$146+digitization!$D$146</f>
        <v>161200</v>
      </c>
      <c r="L13" s="174">
        <f>digitization!$C$147+digitization!$D$147</f>
        <v>2641.1007999999997</v>
      </c>
      <c r="M13" s="174">
        <f>digitization!$C$148+digitization!$D$148</f>
        <v>10695.526399999999</v>
      </c>
      <c r="N13" s="174">
        <f>digitization!$C$149+digitization!$D$149</f>
        <v>0</v>
      </c>
      <c r="O13" s="174">
        <f>digitization!$F$100+digitization!$C$105+digitization!N$105</f>
        <v>60377.100799999993</v>
      </c>
      <c r="P13" s="174">
        <f>digitization!$C$151+digitization!$D$151</f>
        <v>0</v>
      </c>
      <c r="Q13" s="175">
        <f>digitization!$F$133+digitization!$C$138+digitization!N$138</f>
        <v>237709.10079999999</v>
      </c>
      <c r="S13" s="208">
        <f t="shared" si="1"/>
        <v>822211.48544000008</v>
      </c>
      <c r="T13" s="209">
        <f t="shared" si="2"/>
        <v>498334.43199999997</v>
      </c>
      <c r="V13" s="218">
        <f t="shared" si="3"/>
        <v>770485.24800000002</v>
      </c>
      <c r="W13" s="219">
        <f t="shared" si="4"/>
        <v>2879246.5920000002</v>
      </c>
    </row>
    <row r="14" spans="2:37" x14ac:dyDescent="0.35">
      <c r="B14" s="181">
        <v>7</v>
      </c>
      <c r="C14" s="183">
        <f t="shared" si="0"/>
        <v>1332993.9686399999</v>
      </c>
      <c r="D14" s="173">
        <f>'acquisition year '!$M$11</f>
        <v>253977.3952</v>
      </c>
      <c r="E14" s="174">
        <f>'acquisition year '!$M$23+'acquisition year '!$J$28+'retention years'!Q9</f>
        <v>64450.4064</v>
      </c>
      <c r="F14" s="174">
        <f>'acquisition year '!$M$41+'retention years'!Q19</f>
        <v>60253.843200000003</v>
      </c>
      <c r="G14" s="174">
        <f>'retention years'!K$34</f>
        <v>315179.68384000001</v>
      </c>
      <c r="H14" s="174">
        <f>'retention years'!K$50</f>
        <v>128414.208</v>
      </c>
      <c r="I14" s="175">
        <f>'retention years'!$C$76</f>
        <v>5000</v>
      </c>
      <c r="J14" s="173">
        <f>digitization!$C$145+digitization!$D$145</f>
        <v>25711.603199999998</v>
      </c>
      <c r="K14" s="174">
        <f>digitization!$C$146+digitization!$D$146</f>
        <v>161200</v>
      </c>
      <c r="L14" s="174">
        <f>digitization!$C$147+digitization!$D$147</f>
        <v>2641.1007999999997</v>
      </c>
      <c r="M14" s="174">
        <f>digitization!$C$148+digitization!$D$148</f>
        <v>10695.526399999999</v>
      </c>
      <c r="N14" s="174">
        <f>digitization!$C$149+digitization!$D$149</f>
        <v>0</v>
      </c>
      <c r="O14" s="174">
        <f>digitization!$F$100+digitization!$C$105+digitization!O$105</f>
        <v>61833.100799999993</v>
      </c>
      <c r="P14" s="174">
        <f>digitization!$C$151+digitization!$D$151</f>
        <v>0</v>
      </c>
      <c r="Q14" s="175">
        <f>digitization!$F$133+digitization!$C$138+digitization!O$138</f>
        <v>243637.10079999999</v>
      </c>
      <c r="S14" s="208">
        <f t="shared" si="1"/>
        <v>822275.53663999995</v>
      </c>
      <c r="T14" s="209">
        <f t="shared" si="2"/>
        <v>505718.43199999997</v>
      </c>
      <c r="V14" s="218">
        <f t="shared" si="3"/>
        <v>898899.45600000001</v>
      </c>
      <c r="W14" s="219">
        <f t="shared" si="4"/>
        <v>3384965.0240000002</v>
      </c>
    </row>
    <row r="15" spans="2:37" x14ac:dyDescent="0.35">
      <c r="B15" s="181">
        <v>8</v>
      </c>
      <c r="C15" s="183">
        <f t="shared" si="0"/>
        <v>1340442.01984</v>
      </c>
      <c r="D15" s="173">
        <f>'acquisition year '!$M$11</f>
        <v>253977.3952</v>
      </c>
      <c r="E15" s="174">
        <f>'acquisition year '!$M$23+'acquisition year '!$J$28+'retention years'!R9</f>
        <v>64514.457600000002</v>
      </c>
      <c r="F15" s="174">
        <f>'acquisition year '!$M$41+'retention years'!R19</f>
        <v>60253.843200000003</v>
      </c>
      <c r="G15" s="174">
        <f>'retention years'!K$34</f>
        <v>315179.68384000001</v>
      </c>
      <c r="H15" s="174">
        <f>'retention years'!K$50</f>
        <v>128414.208</v>
      </c>
      <c r="I15" s="175">
        <f>'retention years'!$C$76</f>
        <v>5000</v>
      </c>
      <c r="J15" s="173">
        <f>digitization!$C$145+digitization!$D$145</f>
        <v>25711.603199999998</v>
      </c>
      <c r="K15" s="174">
        <f>digitization!$C$146+digitization!$D$146</f>
        <v>161200</v>
      </c>
      <c r="L15" s="174">
        <f>digitization!$C$147+digitization!$D$147</f>
        <v>2641.1007999999997</v>
      </c>
      <c r="M15" s="174">
        <f>digitization!$C$148+digitization!$D$148</f>
        <v>10695.526399999999</v>
      </c>
      <c r="N15" s="174">
        <f>digitization!$C$149+digitization!$D$149</f>
        <v>0</v>
      </c>
      <c r="O15" s="174">
        <f>digitization!$F$100+digitization!$C$105+digitization!P$105</f>
        <v>63289.100799999993</v>
      </c>
      <c r="P15" s="174">
        <f>digitization!$C$151+digitization!$D$151</f>
        <v>0</v>
      </c>
      <c r="Q15" s="175">
        <f>digitization!$F$133+digitization!$C$138+digitization!P$138</f>
        <v>249565.10079999999</v>
      </c>
      <c r="S15" s="208">
        <f t="shared" si="1"/>
        <v>822339.58784000005</v>
      </c>
      <c r="T15" s="209">
        <f t="shared" si="2"/>
        <v>513102.43200000003</v>
      </c>
      <c r="V15" s="218">
        <f t="shared" si="3"/>
        <v>1027313.664</v>
      </c>
      <c r="W15" s="219">
        <f t="shared" si="4"/>
        <v>3898067.4560000002</v>
      </c>
    </row>
    <row r="16" spans="2:37" x14ac:dyDescent="0.35">
      <c r="B16" s="181">
        <v>9</v>
      </c>
      <c r="C16" s="183">
        <f t="shared" si="0"/>
        <v>1347890.0710399998</v>
      </c>
      <c r="D16" s="173">
        <f>'acquisition year '!$M$11</f>
        <v>253977.3952</v>
      </c>
      <c r="E16" s="174">
        <f>'acquisition year '!$M$23+'acquisition year '!$J$28+'retention years'!S9</f>
        <v>64578.508800000003</v>
      </c>
      <c r="F16" s="174">
        <f>'acquisition year '!$M$41+'retention years'!S19</f>
        <v>60253.843200000003</v>
      </c>
      <c r="G16" s="174">
        <f>'retention years'!K$34</f>
        <v>315179.68384000001</v>
      </c>
      <c r="H16" s="174">
        <f>'retention years'!K$50</f>
        <v>128414.208</v>
      </c>
      <c r="I16" s="175">
        <f>'retention years'!$C$76</f>
        <v>5000</v>
      </c>
      <c r="J16" s="173">
        <f>digitization!$C$145+digitization!$D$145</f>
        <v>25711.603199999998</v>
      </c>
      <c r="K16" s="174">
        <f>digitization!$C$146+digitization!$D$146</f>
        <v>161200</v>
      </c>
      <c r="L16" s="174">
        <f>digitization!$C$147+digitization!$D$147</f>
        <v>2641.1007999999997</v>
      </c>
      <c r="M16" s="174">
        <f>digitization!$C$148+digitization!$D$148</f>
        <v>10695.526399999999</v>
      </c>
      <c r="N16" s="174">
        <f>digitization!$C$149+digitization!$D$149</f>
        <v>0</v>
      </c>
      <c r="O16" s="174">
        <f>digitization!$F$100+digitization!$C$105+digitization!Q$105</f>
        <v>64745.100799999993</v>
      </c>
      <c r="P16" s="174">
        <f>digitization!$C$151+digitization!$D$151</f>
        <v>0</v>
      </c>
      <c r="Q16" s="175">
        <f>digitization!$F$133+digitization!$C$138+digitization!Q$138</f>
        <v>255493.10079999999</v>
      </c>
      <c r="S16" s="208">
        <f t="shared" si="1"/>
        <v>822403.63903999992</v>
      </c>
      <c r="T16" s="209">
        <f t="shared" si="2"/>
        <v>520486.43200000003</v>
      </c>
      <c r="V16" s="218">
        <f t="shared" si="3"/>
        <v>1155727.872</v>
      </c>
      <c r="W16" s="219">
        <f t="shared" si="4"/>
        <v>4418553.8880000003</v>
      </c>
    </row>
    <row r="17" spans="2:23" ht="15" thickBot="1" x14ac:dyDescent="0.4">
      <c r="B17" s="184">
        <v>10</v>
      </c>
      <c r="C17" s="185">
        <f t="shared" si="0"/>
        <v>1355338.1222399999</v>
      </c>
      <c r="D17" s="176">
        <f>'acquisition year '!$M$11</f>
        <v>253977.3952</v>
      </c>
      <c r="E17" s="177">
        <f>'acquisition year '!$M$23+'acquisition year '!$J$28+'retention years'!T9</f>
        <v>64642.559999999998</v>
      </c>
      <c r="F17" s="177">
        <f>'acquisition year '!$M$41+'retention years'!T19</f>
        <v>60253.843200000003</v>
      </c>
      <c r="G17" s="177">
        <f>'retention years'!K$34</f>
        <v>315179.68384000001</v>
      </c>
      <c r="H17" s="177">
        <f>'retention years'!K$50</f>
        <v>128414.208</v>
      </c>
      <c r="I17" s="178">
        <f>'retention years'!$C$76</f>
        <v>5000</v>
      </c>
      <c r="J17" s="176">
        <f>digitization!$C$145+digitization!$D$145</f>
        <v>25711.603199999998</v>
      </c>
      <c r="K17" s="177">
        <f>digitization!$C$146+digitization!$D$146</f>
        <v>161200</v>
      </c>
      <c r="L17" s="177">
        <f>digitization!$C$147+digitization!$D$147</f>
        <v>2641.1007999999997</v>
      </c>
      <c r="M17" s="177">
        <f>digitization!$C$148+digitization!$D$148</f>
        <v>10695.526399999999</v>
      </c>
      <c r="N17" s="177">
        <f>digitization!$C$149+digitization!$D$149</f>
        <v>0</v>
      </c>
      <c r="O17" s="177">
        <f>digitization!$F$100+digitization!$C$105+digitization!R$105</f>
        <v>66201.100799999986</v>
      </c>
      <c r="P17" s="177">
        <f>digitization!$C$151+digitization!$D$151</f>
        <v>0</v>
      </c>
      <c r="Q17" s="178">
        <f>digitization!$F$133+digitization!$C$138+digitization!R$138</f>
        <v>261421.10079999999</v>
      </c>
      <c r="S17" s="210">
        <f t="shared" si="1"/>
        <v>822467.69024000003</v>
      </c>
      <c r="T17" s="211">
        <f t="shared" si="2"/>
        <v>527870.43200000003</v>
      </c>
      <c r="V17" s="220">
        <f t="shared" si="3"/>
        <v>1284142.0800000001</v>
      </c>
      <c r="W17" s="221">
        <f t="shared" si="4"/>
        <v>4946424.32</v>
      </c>
    </row>
    <row r="18" spans="2:23" x14ac:dyDescent="0.35">
      <c r="S18" s="5"/>
      <c r="T18" s="5"/>
    </row>
    <row r="19" spans="2:23" ht="15" thickBot="1" x14ac:dyDescent="0.4">
      <c r="S19" s="5"/>
      <c r="T19" s="5"/>
    </row>
    <row r="20" spans="2:23" x14ac:dyDescent="0.35">
      <c r="B20" s="179" t="s">
        <v>171</v>
      </c>
      <c r="C20" s="191"/>
      <c r="D20" s="296" t="s">
        <v>214</v>
      </c>
      <c r="E20" s="297"/>
      <c r="F20" s="297"/>
      <c r="G20" s="297"/>
      <c r="H20" s="297"/>
      <c r="I20" s="298"/>
      <c r="J20" s="299" t="s">
        <v>215</v>
      </c>
      <c r="K20" s="300"/>
      <c r="L20" s="300"/>
      <c r="M20" s="300"/>
      <c r="N20" s="300"/>
      <c r="O20" s="300"/>
      <c r="P20" s="300"/>
      <c r="Q20" s="301"/>
      <c r="S20" s="206" t="s">
        <v>214</v>
      </c>
      <c r="T20" s="207" t="s">
        <v>221</v>
      </c>
    </row>
    <row r="21" spans="2:23" x14ac:dyDescent="0.35">
      <c r="B21" s="181"/>
      <c r="C21" s="192"/>
      <c r="D21" s="195" t="s">
        <v>213</v>
      </c>
      <c r="E21" s="196" t="s">
        <v>9</v>
      </c>
      <c r="F21" s="196" t="s">
        <v>57</v>
      </c>
      <c r="G21" s="196" t="s">
        <v>141</v>
      </c>
      <c r="H21" s="196" t="s">
        <v>217</v>
      </c>
      <c r="I21" s="197" t="s">
        <v>220</v>
      </c>
      <c r="J21" s="199" t="s">
        <v>144</v>
      </c>
      <c r="K21" s="200" t="s">
        <v>145</v>
      </c>
      <c r="L21" s="200" t="s">
        <v>146</v>
      </c>
      <c r="M21" s="200" t="s">
        <v>147</v>
      </c>
      <c r="N21" s="200" t="s">
        <v>148</v>
      </c>
      <c r="O21" s="200" t="s">
        <v>219</v>
      </c>
      <c r="P21" s="200" t="s">
        <v>216</v>
      </c>
      <c r="Q21" s="201" t="s">
        <v>218</v>
      </c>
      <c r="S21" s="198" t="s">
        <v>222</v>
      </c>
      <c r="T21" s="202" t="s">
        <v>222</v>
      </c>
    </row>
    <row r="22" spans="2:23" x14ac:dyDescent="0.35">
      <c r="B22" s="181">
        <v>1</v>
      </c>
      <c r="C22" s="193">
        <f>SUM(D22:Q22)</f>
        <v>0.99999999999999989</v>
      </c>
      <c r="D22" s="186">
        <f>D8/$C$8</f>
        <v>0.19714063424678077</v>
      </c>
      <c r="E22" s="168">
        <f t="shared" ref="E22:Q22" si="5">E8/$C$8</f>
        <v>4.9728958831392778E-2</v>
      </c>
      <c r="F22" s="168">
        <f t="shared" si="5"/>
        <v>4.6769834988267804E-2</v>
      </c>
      <c r="G22" s="168">
        <f t="shared" si="5"/>
        <v>0.24464666520809109</v>
      </c>
      <c r="H22" s="168">
        <f t="shared" si="5"/>
        <v>9.9676817267468493E-2</v>
      </c>
      <c r="I22" s="187">
        <f t="shared" si="5"/>
        <v>3.8810665431767677E-3</v>
      </c>
      <c r="J22" s="186">
        <f t="shared" si="5"/>
        <v>1.9957688590191341E-2</v>
      </c>
      <c r="K22" s="168">
        <f t="shared" si="5"/>
        <v>0.12512558535201901</v>
      </c>
      <c r="L22" s="168">
        <f t="shared" si="5"/>
        <v>2.0500575904074791E-3</v>
      </c>
      <c r="M22" s="168">
        <f t="shared" si="5"/>
        <v>8.302009934540772E-3</v>
      </c>
      <c r="N22" s="168">
        <f t="shared" si="5"/>
        <v>0</v>
      </c>
      <c r="O22" s="168">
        <f t="shared" si="5"/>
        <v>4.1214676290912876E-2</v>
      </c>
      <c r="P22" s="168">
        <f t="shared" si="5"/>
        <v>0</v>
      </c>
      <c r="Q22" s="187">
        <f t="shared" si="5"/>
        <v>0.16150600515675087</v>
      </c>
      <c r="S22" s="212">
        <f>S8/C8</f>
        <v>0.63796291054200094</v>
      </c>
      <c r="T22" s="213">
        <f>T8/C8</f>
        <v>0.3581560229148224</v>
      </c>
    </row>
    <row r="23" spans="2:23" x14ac:dyDescent="0.35">
      <c r="B23" s="181">
        <v>2</v>
      </c>
      <c r="C23" s="193">
        <f t="shared" ref="C23:C31" si="6">SUM(D23:Q23)</f>
        <v>1.0000000000000002</v>
      </c>
      <c r="D23" s="186">
        <f>D9/$C$9</f>
        <v>0.19600746092599677</v>
      </c>
      <c r="E23" s="168">
        <f t="shared" ref="E23:Q23" si="7">E9/$C$9</f>
        <v>4.9492546133122539E-2</v>
      </c>
      <c r="F23" s="168">
        <f t="shared" si="7"/>
        <v>4.650099985223069E-2</v>
      </c>
      <c r="G23" s="168">
        <f t="shared" si="7"/>
        <v>0.24324042506337515</v>
      </c>
      <c r="H23" s="168">
        <f t="shared" si="7"/>
        <v>9.9103870393985438E-2</v>
      </c>
      <c r="I23" s="187">
        <f t="shared" si="7"/>
        <v>3.8587579963887423E-3</v>
      </c>
      <c r="J23" s="186">
        <f t="shared" si="7"/>
        <v>1.9842970889594875E-2</v>
      </c>
      <c r="K23" s="168">
        <f t="shared" si="7"/>
        <v>0.12440635780357305</v>
      </c>
      <c r="L23" s="168">
        <f t="shared" si="7"/>
        <v>2.0382737662537407E-3</v>
      </c>
      <c r="M23" s="168">
        <f t="shared" si="7"/>
        <v>8.2542896043173788E-3</v>
      </c>
      <c r="N23" s="168">
        <f t="shared" si="7"/>
        <v>0</v>
      </c>
      <c r="O23" s="168">
        <f t="shared" si="7"/>
        <v>4.2101442787960221E-2</v>
      </c>
      <c r="P23" s="168">
        <f t="shared" si="7"/>
        <v>0</v>
      </c>
      <c r="Q23" s="187">
        <f t="shared" si="7"/>
        <v>0.16515260478320154</v>
      </c>
      <c r="S23" s="212">
        <f t="shared" ref="S23:S31" si="8">S9/C9</f>
        <v>0.63434530236871056</v>
      </c>
      <c r="T23" s="213">
        <f t="shared" ref="T23:T31" si="9">T9/C9</f>
        <v>0.36179593963490086</v>
      </c>
    </row>
    <row r="24" spans="2:23" x14ac:dyDescent="0.35">
      <c r="B24" s="181">
        <v>3</v>
      </c>
      <c r="C24" s="193">
        <f t="shared" si="6"/>
        <v>1.0000000000000002</v>
      </c>
      <c r="D24" s="186">
        <f>D10/$C$10</f>
        <v>0.19488724021645967</v>
      </c>
      <c r="E24" s="168">
        <f t="shared" ref="E24:Q24" si="10">E10/$C$10</f>
        <v>4.9258835723829955E-2</v>
      </c>
      <c r="F24" s="168">
        <f t="shared" si="10"/>
        <v>4.6235237606229669E-2</v>
      </c>
      <c r="G24" s="168">
        <f t="shared" si="10"/>
        <v>0.24185025878977867</v>
      </c>
      <c r="H24" s="168">
        <f t="shared" si="10"/>
        <v>9.8537472525832157E-2</v>
      </c>
      <c r="I24" s="187">
        <f t="shared" si="10"/>
        <v>3.8367044449564396E-3</v>
      </c>
      <c r="J24" s="186">
        <f t="shared" si="10"/>
        <v>1.9729564456879241E-2</v>
      </c>
      <c r="K24" s="168">
        <f t="shared" si="10"/>
        <v>0.12369535130539562</v>
      </c>
      <c r="L24" s="168">
        <f t="shared" si="10"/>
        <v>2.0266246357876017E-3</v>
      </c>
      <c r="M24" s="168">
        <f t="shared" si="10"/>
        <v>8.207114736005789E-3</v>
      </c>
      <c r="N24" s="168">
        <f t="shared" si="10"/>
        <v>0</v>
      </c>
      <c r="O24" s="168">
        <f t="shared" si="10"/>
        <v>4.2978073199474658E-2</v>
      </c>
      <c r="P24" s="168">
        <f t="shared" si="10"/>
        <v>0</v>
      </c>
      <c r="Q24" s="187">
        <f t="shared" si="10"/>
        <v>0.16875752235937061</v>
      </c>
      <c r="S24" s="212">
        <f t="shared" si="8"/>
        <v>0.63076904486213015</v>
      </c>
      <c r="T24" s="213">
        <f t="shared" si="9"/>
        <v>0.36539425069291354</v>
      </c>
    </row>
    <row r="25" spans="2:23" x14ac:dyDescent="0.35">
      <c r="B25" s="181">
        <v>4</v>
      </c>
      <c r="C25" s="193">
        <f t="shared" si="6"/>
        <v>1.0000000000000002</v>
      </c>
      <c r="D25" s="186">
        <f>D11/$C$11</f>
        <v>0.19377975130012043</v>
      </c>
      <c r="E25" s="168">
        <f t="shared" ref="E25:Q25" si="11">E11/$C$11</f>
        <v>4.9027781534489362E-2</v>
      </c>
      <c r="F25" s="168">
        <f t="shared" si="11"/>
        <v>4.5972495863176935E-2</v>
      </c>
      <c r="G25" s="168">
        <f t="shared" si="11"/>
        <v>0.24047589235754863</v>
      </c>
      <c r="H25" s="168">
        <f t="shared" si="11"/>
        <v>9.7977512014588666E-2</v>
      </c>
      <c r="I25" s="187">
        <f t="shared" si="11"/>
        <v>3.8149015416809903E-3</v>
      </c>
      <c r="J25" s="186">
        <f t="shared" si="11"/>
        <v>1.9617446937353976E-2</v>
      </c>
      <c r="K25" s="168">
        <f t="shared" si="11"/>
        <v>0.12299242570379512</v>
      </c>
      <c r="L25" s="168">
        <f t="shared" si="11"/>
        <v>2.0151079027309793E-3</v>
      </c>
      <c r="M25" s="168">
        <f t="shared" si="11"/>
        <v>8.1604760304899455E-3</v>
      </c>
      <c r="N25" s="168">
        <f t="shared" si="11"/>
        <v>0</v>
      </c>
      <c r="O25" s="168">
        <f t="shared" si="11"/>
        <v>4.38447403269547E-2</v>
      </c>
      <c r="P25" s="168">
        <f t="shared" si="11"/>
        <v>0</v>
      </c>
      <c r="Q25" s="187">
        <f t="shared" si="11"/>
        <v>0.17232146848707042</v>
      </c>
      <c r="S25" s="212">
        <f t="shared" si="8"/>
        <v>0.62723343306992396</v>
      </c>
      <c r="T25" s="213">
        <f t="shared" si="9"/>
        <v>0.36895166538839519</v>
      </c>
    </row>
    <row r="26" spans="2:23" x14ac:dyDescent="0.35">
      <c r="B26" s="181">
        <v>5</v>
      </c>
      <c r="C26" s="193">
        <f t="shared" si="6"/>
        <v>1</v>
      </c>
      <c r="D26" s="186">
        <f>D12/$C$12</f>
        <v>0.19268477834995271</v>
      </c>
      <c r="E26" s="168">
        <f t="shared" ref="E26:Q26" si="12">E12/$C$12</f>
        <v>4.8799338537346637E-2</v>
      </c>
      <c r="F26" s="168">
        <f t="shared" si="12"/>
        <v>4.5712723420059734E-2</v>
      </c>
      <c r="G26" s="168">
        <f t="shared" si="12"/>
        <v>0.23911705793066806</v>
      </c>
      <c r="H26" s="168">
        <f t="shared" si="12"/>
        <v>9.7423879735359709E-2</v>
      </c>
      <c r="I26" s="187">
        <f t="shared" si="12"/>
        <v>3.7933450376207481E-3</v>
      </c>
      <c r="J26" s="186">
        <f t="shared" si="12"/>
        <v>1.9506596481598748E-2</v>
      </c>
      <c r="K26" s="168">
        <f t="shared" si="12"/>
        <v>0.12229744401289291</v>
      </c>
      <c r="L26" s="168">
        <f t="shared" si="12"/>
        <v>2.0037213227072372E-3</v>
      </c>
      <c r="M26" s="168">
        <f t="shared" si="12"/>
        <v>8.1143643988363396E-3</v>
      </c>
      <c r="N26" s="168">
        <f t="shared" si="12"/>
        <v>0</v>
      </c>
      <c r="O26" s="168">
        <f t="shared" si="12"/>
        <v>4.4701613066166379E-2</v>
      </c>
      <c r="P26" s="168">
        <f t="shared" si="12"/>
        <v>0</v>
      </c>
      <c r="Q26" s="187">
        <f t="shared" si="12"/>
        <v>0.17584513770679086</v>
      </c>
      <c r="S26" s="212">
        <f t="shared" si="8"/>
        <v>0.62373777797338681</v>
      </c>
      <c r="T26" s="213">
        <f t="shared" si="9"/>
        <v>0.3724688769889925</v>
      </c>
    </row>
    <row r="27" spans="2:23" x14ac:dyDescent="0.35">
      <c r="B27" s="181">
        <v>6</v>
      </c>
      <c r="C27" s="193">
        <f t="shared" si="6"/>
        <v>1.0000000000000002</v>
      </c>
      <c r="D27" s="186">
        <f>D13/$C$13</f>
        <v>0.1916021103897339</v>
      </c>
      <c r="E27" s="168">
        <f t="shared" ref="E27:Q27" si="13">E13/$C$13</f>
        <v>4.8573462716665496E-2</v>
      </c>
      <c r="F27" s="168">
        <f t="shared" si="13"/>
        <v>4.5455870224674698E-2</v>
      </c>
      <c r="G27" s="168">
        <f t="shared" si="13"/>
        <v>0.23777349369284781</v>
      </c>
      <c r="H27" s="168">
        <f t="shared" si="13"/>
        <v>9.6876469015878194E-2</v>
      </c>
      <c r="I27" s="187">
        <f t="shared" si="13"/>
        <v>3.7720307793308277E-3</v>
      </c>
      <c r="J27" s="186">
        <f t="shared" si="13"/>
        <v>1.9396991731268198E-2</v>
      </c>
      <c r="K27" s="168">
        <f t="shared" si="13"/>
        <v>0.12161027232562588</v>
      </c>
      <c r="L27" s="168">
        <f t="shared" si="13"/>
        <v>1.9924627017830544E-3</v>
      </c>
      <c r="M27" s="168">
        <f t="shared" si="13"/>
        <v>8.0687709563890871E-3</v>
      </c>
      <c r="N27" s="168">
        <f t="shared" si="13"/>
        <v>0</v>
      </c>
      <c r="O27" s="168">
        <f t="shared" si="13"/>
        <v>4.5548856516871981E-2</v>
      </c>
      <c r="P27" s="168">
        <f t="shared" si="13"/>
        <v>0</v>
      </c>
      <c r="Q27" s="187">
        <f t="shared" si="13"/>
        <v>0.17932920894893084</v>
      </c>
      <c r="S27" s="212">
        <f t="shared" si="8"/>
        <v>0.6202814060398002</v>
      </c>
      <c r="T27" s="213">
        <f t="shared" si="9"/>
        <v>0.37594656318086905</v>
      </c>
    </row>
    <row r="28" spans="2:23" x14ac:dyDescent="0.35">
      <c r="B28" s="181">
        <v>7</v>
      </c>
      <c r="C28" s="193">
        <f t="shared" si="6"/>
        <v>1.0000000000000002</v>
      </c>
      <c r="D28" s="186">
        <f>D14/$C$14</f>
        <v>0.19053154115852672</v>
      </c>
      <c r="E28" s="168">
        <f t="shared" ref="E28:Q28" si="14">E14/$C$14</f>
        <v>4.8350111040454412E-2</v>
      </c>
      <c r="F28" s="168">
        <f t="shared" si="14"/>
        <v>4.5201887343477312E-2</v>
      </c>
      <c r="G28" s="168">
        <f t="shared" si="14"/>
        <v>0.23644494367935151</v>
      </c>
      <c r="H28" s="168">
        <f t="shared" si="14"/>
        <v>9.633517556798539E-2</v>
      </c>
      <c r="I28" s="187">
        <f t="shared" si="14"/>
        <v>3.7509547061951817E-3</v>
      </c>
      <c r="J28" s="186">
        <f t="shared" si="14"/>
        <v>1.9288611805372616E-2</v>
      </c>
      <c r="K28" s="168">
        <f t="shared" si="14"/>
        <v>0.12093077972773265</v>
      </c>
      <c r="L28" s="168">
        <f t="shared" si="14"/>
        <v>1.9813298950591717E-3</v>
      </c>
      <c r="M28" s="168">
        <f t="shared" si="14"/>
        <v>8.023687017062962E-3</v>
      </c>
      <c r="N28" s="168">
        <f t="shared" si="14"/>
        <v>0</v>
      </c>
      <c r="O28" s="168">
        <f t="shared" si="14"/>
        <v>4.6386632088880206E-2</v>
      </c>
      <c r="P28" s="168">
        <f t="shared" si="14"/>
        <v>0</v>
      </c>
      <c r="Q28" s="187">
        <f t="shared" si="14"/>
        <v>0.18277434596990197</v>
      </c>
      <c r="R28" s="167"/>
      <c r="S28" s="212">
        <f t="shared" si="8"/>
        <v>0.61686365878979532</v>
      </c>
      <c r="T28" s="213">
        <f t="shared" si="9"/>
        <v>0.3793853865040096</v>
      </c>
    </row>
    <row r="29" spans="2:23" x14ac:dyDescent="0.35">
      <c r="B29" s="181">
        <v>8</v>
      </c>
      <c r="C29" s="193">
        <f t="shared" si="6"/>
        <v>1</v>
      </c>
      <c r="D29" s="186">
        <f>D15/$C$15</f>
        <v>0.18947286897967855</v>
      </c>
      <c r="E29" s="168">
        <f t="shared" ref="E29:Q29" si="15">E15/$C$15</f>
        <v>4.8129241433136127E-2</v>
      </c>
      <c r="F29" s="168">
        <f t="shared" si="15"/>
        <v>4.4950726930503206E-2</v>
      </c>
      <c r="G29" s="168">
        <f t="shared" si="15"/>
        <v>0.23513115761442707</v>
      </c>
      <c r="H29" s="168">
        <f t="shared" si="15"/>
        <v>9.5799897421395358E-2</v>
      </c>
      <c r="I29" s="187">
        <f t="shared" si="15"/>
        <v>3.7301128478476214E-3</v>
      </c>
      <c r="J29" s="186">
        <f t="shared" si="15"/>
        <v>1.9181436287016001E-2</v>
      </c>
      <c r="K29" s="168">
        <f t="shared" si="15"/>
        <v>0.12025883821460731</v>
      </c>
      <c r="L29" s="168">
        <f t="shared" si="15"/>
        <v>1.970320805308126E-3</v>
      </c>
      <c r="M29" s="168">
        <f t="shared" si="15"/>
        <v>7.9791040878266824E-3</v>
      </c>
      <c r="N29" s="168">
        <f t="shared" si="15"/>
        <v>0</v>
      </c>
      <c r="O29" s="168">
        <f t="shared" si="15"/>
        <v>4.7215097604560628E-2</v>
      </c>
      <c r="P29" s="168">
        <f t="shared" si="15"/>
        <v>0</v>
      </c>
      <c r="Q29" s="187">
        <f t="shared" si="15"/>
        <v>0.18618119777369332</v>
      </c>
      <c r="S29" s="212">
        <f t="shared" si="8"/>
        <v>0.61348389237914036</v>
      </c>
      <c r="T29" s="213">
        <f t="shared" si="9"/>
        <v>0.38278599477301212</v>
      </c>
    </row>
    <row r="30" spans="2:23" x14ac:dyDescent="0.35">
      <c r="B30" s="181">
        <v>9</v>
      </c>
      <c r="C30" s="193">
        <f t="shared" si="6"/>
        <v>1</v>
      </c>
      <c r="D30" s="186">
        <f>D16/$C$16</f>
        <v>0.18842589663416476</v>
      </c>
      <c r="E30" s="168">
        <f t="shared" ref="E30:Q30" si="16">E16/$C$16</f>
        <v>4.7910812749123351E-2</v>
      </c>
      <c r="F30" s="168">
        <f t="shared" si="16"/>
        <v>4.4702342197319972E-2</v>
      </c>
      <c r="G30" s="168">
        <f t="shared" si="16"/>
        <v>0.23383189075412869</v>
      </c>
      <c r="H30" s="168">
        <f t="shared" si="16"/>
        <v>9.5270534859655628E-2</v>
      </c>
      <c r="I30" s="187">
        <f t="shared" si="16"/>
        <v>3.7095013216783468E-3</v>
      </c>
      <c r="J30" s="186">
        <f t="shared" si="16"/>
        <v>1.907544521057384E-2</v>
      </c>
      <c r="K30" s="168">
        <f t="shared" si="16"/>
        <v>0.1195943226109099</v>
      </c>
      <c r="L30" s="168">
        <f t="shared" si="16"/>
        <v>1.9594333816571477E-3</v>
      </c>
      <c r="M30" s="168">
        <f t="shared" si="16"/>
        <v>7.9350138633691291E-3</v>
      </c>
      <c r="N30" s="168">
        <f t="shared" si="16"/>
        <v>0</v>
      </c>
      <c r="O30" s="168">
        <f t="shared" si="16"/>
        <v>4.8034407397959548E-2</v>
      </c>
      <c r="P30" s="168">
        <f t="shared" si="16"/>
        <v>0</v>
      </c>
      <c r="Q30" s="187">
        <f t="shared" si="16"/>
        <v>0.1895503990194598</v>
      </c>
      <c r="S30" s="212">
        <f t="shared" si="8"/>
        <v>0.61014147719439238</v>
      </c>
      <c r="T30" s="213">
        <f t="shared" si="9"/>
        <v>0.38614902148392943</v>
      </c>
    </row>
    <row r="31" spans="2:23" ht="15" thickBot="1" x14ac:dyDescent="0.4">
      <c r="B31" s="184">
        <v>10</v>
      </c>
      <c r="C31" s="194">
        <f t="shared" si="6"/>
        <v>1</v>
      </c>
      <c r="D31" s="188">
        <f>D17/$C$17</f>
        <v>0.18739043123810717</v>
      </c>
      <c r="E31" s="189">
        <f t="shared" ref="E31:Q31" si="17">E17/$C$17</f>
        <v>4.7694784747265635E-2</v>
      </c>
      <c r="F31" s="189">
        <f t="shared" si="17"/>
        <v>4.4456687383969566E-2</v>
      </c>
      <c r="G31" s="189">
        <f t="shared" si="17"/>
        <v>0.23254690373432052</v>
      </c>
      <c r="H31" s="189">
        <f t="shared" si="17"/>
        <v>9.4746990358219055E-2</v>
      </c>
      <c r="I31" s="190">
        <f t="shared" si="17"/>
        <v>3.6891163304226841E-3</v>
      </c>
      <c r="J31" s="188">
        <f t="shared" si="17"/>
        <v>1.8970619049293626E-2</v>
      </c>
      <c r="K31" s="189">
        <f t="shared" si="17"/>
        <v>0.11893711049282733</v>
      </c>
      <c r="L31" s="189">
        <f t="shared" si="17"/>
        <v>1.948665618314483E-3</v>
      </c>
      <c r="M31" s="189">
        <f t="shared" si="17"/>
        <v>7.8914082209413875E-3</v>
      </c>
      <c r="N31" s="189">
        <f t="shared" si="17"/>
        <v>0</v>
      </c>
      <c r="O31" s="189">
        <f t="shared" si="17"/>
        <v>4.8844712410647632E-2</v>
      </c>
      <c r="P31" s="189">
        <f t="shared" si="17"/>
        <v>0</v>
      </c>
      <c r="Q31" s="190">
        <f t="shared" si="17"/>
        <v>0.19288257041567092</v>
      </c>
      <c r="S31" s="214">
        <f t="shared" si="8"/>
        <v>0.60683579746188199</v>
      </c>
      <c r="T31" s="215">
        <f t="shared" si="9"/>
        <v>0.38947508620769544</v>
      </c>
    </row>
    <row r="33" spans="2:4" ht="15" thickBot="1" x14ac:dyDescent="0.4"/>
    <row r="34" spans="2:4" x14ac:dyDescent="0.35">
      <c r="B34" s="179" t="s">
        <v>171</v>
      </c>
      <c r="C34" s="216" t="s">
        <v>227</v>
      </c>
      <c r="D34" s="217" t="s">
        <v>228</v>
      </c>
    </row>
    <row r="35" spans="2:4" x14ac:dyDescent="0.35">
      <c r="B35" s="181">
        <v>1</v>
      </c>
      <c r="C35" s="236">
        <f>'Basic Input'!H11</f>
        <v>554.61181959370344</v>
      </c>
      <c r="D35" s="236">
        <f>'Basic Input'!$C$68</f>
        <v>208</v>
      </c>
    </row>
    <row r="36" spans="2:4" x14ac:dyDescent="0.35">
      <c r="B36" s="181">
        <v>2</v>
      </c>
      <c r="C36" s="236">
        <f>'Basic Input'!I11</f>
        <v>533.56378364577847</v>
      </c>
      <c r="D36" s="236">
        <f>'Basic Input'!$C$68</f>
        <v>208</v>
      </c>
    </row>
    <row r="37" spans="2:4" x14ac:dyDescent="0.35">
      <c r="B37" s="181">
        <v>3</v>
      </c>
      <c r="C37" s="236">
        <f>'Basic Input'!J11</f>
        <v>501.09445600650304</v>
      </c>
      <c r="D37" s="236">
        <f>'Basic Input'!$C$68</f>
        <v>208</v>
      </c>
    </row>
    <row r="38" spans="2:4" x14ac:dyDescent="0.35">
      <c r="B38" s="181">
        <v>4</v>
      </c>
      <c r="C38" s="236">
        <f>'Basic Input'!K11</f>
        <v>466.42267898460636</v>
      </c>
      <c r="D38" s="236">
        <f>'Basic Input'!$C$68</f>
        <v>208</v>
      </c>
    </row>
    <row r="39" spans="2:4" x14ac:dyDescent="0.35">
      <c r="B39" s="181">
        <v>5</v>
      </c>
      <c r="C39" s="236">
        <f>'Basic Input'!L11</f>
        <v>441.93411049889653</v>
      </c>
      <c r="D39" s="236">
        <f>'Basic Input'!$C$68</f>
        <v>208</v>
      </c>
    </row>
    <row r="40" spans="2:4" x14ac:dyDescent="0.35">
      <c r="B40" s="181">
        <v>6</v>
      </c>
      <c r="C40" s="236">
        <f>'Basic Input'!M11</f>
        <v>415.81745832712045</v>
      </c>
      <c r="D40" s="236">
        <f>'Basic Input'!$C$68</f>
        <v>208</v>
      </c>
    </row>
    <row r="41" spans="2:4" x14ac:dyDescent="0.35">
      <c r="B41" s="181">
        <v>7</v>
      </c>
      <c r="C41" s="236">
        <f>'Basic Input'!N11</f>
        <v>384.79679411155945</v>
      </c>
      <c r="D41" s="236">
        <f>'Basic Input'!$C$68</f>
        <v>208</v>
      </c>
    </row>
    <row r="42" spans="2:4" x14ac:dyDescent="0.35">
      <c r="B42" s="181">
        <v>8</v>
      </c>
      <c r="C42" s="236">
        <f>'Basic Input'!O11</f>
        <v>356.42532125485297</v>
      </c>
      <c r="D42" s="236">
        <f>'Basic Input'!$C$68</f>
        <v>208</v>
      </c>
    </row>
    <row r="43" spans="2:4" x14ac:dyDescent="0.35">
      <c r="B43" s="181">
        <v>9</v>
      </c>
      <c r="C43" s="236">
        <f>'Basic Input'!P11</f>
        <v>324.31856891551911</v>
      </c>
      <c r="D43" s="236">
        <f>'Basic Input'!$C$68</f>
        <v>208</v>
      </c>
    </row>
    <row r="44" spans="2:4" ht="15" thickBot="1" x14ac:dyDescent="0.4">
      <c r="B44" s="184">
        <v>10</v>
      </c>
      <c r="C44" s="236">
        <f>'Basic Input'!Q11</f>
        <v>298.04994578543011</v>
      </c>
      <c r="D44" s="236">
        <f>'Basic Input'!$C$68</f>
        <v>208</v>
      </c>
    </row>
  </sheetData>
  <mergeCells count="4">
    <mergeCell ref="D6:I6"/>
    <mergeCell ref="J6:Q6"/>
    <mergeCell ref="D20:I20"/>
    <mergeCell ref="J20:Q20"/>
  </mergeCells>
  <pageMargins left="0.7" right="0.7" top="0.75" bottom="0.75" header="0.3" footer="0.3"/>
  <pageSetup orientation="portrait" r:id="rId1"/>
  <ignoredErrors>
    <ignoredError sqref="E10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936B-F2BD-4284-B202-DFC882B29ABC}">
  <dimension ref="B2:V31"/>
  <sheetViews>
    <sheetView topLeftCell="A4" zoomScale="60" zoomScaleNormal="60" workbookViewId="0">
      <selection activeCell="T32" sqref="T32"/>
    </sheetView>
  </sheetViews>
  <sheetFormatPr defaultRowHeight="14.5" x14ac:dyDescent="0.35"/>
  <cols>
    <col min="2" max="2" width="14.26953125" customWidth="1"/>
    <col min="3" max="3" width="16.26953125" customWidth="1"/>
    <col min="4" max="4" width="13.1796875" customWidth="1"/>
    <col min="5" max="5" width="12.7265625" customWidth="1"/>
    <col min="14" max="14" width="13" bestFit="1" customWidth="1"/>
    <col min="15" max="15" width="12.1796875" bestFit="1" customWidth="1"/>
    <col min="16" max="16" width="12.81640625" bestFit="1" customWidth="1"/>
    <col min="17" max="17" width="10" customWidth="1"/>
    <col min="18" max="18" width="10.26953125" bestFit="1" customWidth="1"/>
    <col min="19" max="19" width="11.453125" customWidth="1"/>
    <col min="21" max="21" width="10.54296875" bestFit="1" customWidth="1"/>
    <col min="22" max="22" width="12" bestFit="1" customWidth="1"/>
  </cols>
  <sheetData>
    <row r="2" spans="2:22" ht="30" x14ac:dyDescent="0.6">
      <c r="B2" s="2" t="s">
        <v>223</v>
      </c>
      <c r="C2" s="3"/>
      <c r="D2" s="3"/>
    </row>
    <row r="5" spans="2:22" ht="15" thickBot="1" x14ac:dyDescent="0.4"/>
    <row r="6" spans="2:22" x14ac:dyDescent="0.35">
      <c r="B6" s="179" t="s">
        <v>171</v>
      </c>
      <c r="C6" s="180" t="s">
        <v>172</v>
      </c>
      <c r="D6" s="296" t="s">
        <v>214</v>
      </c>
      <c r="E6" s="297"/>
      <c r="F6" s="297"/>
      <c r="G6" s="297"/>
      <c r="H6" s="297"/>
      <c r="I6" s="299" t="s">
        <v>215</v>
      </c>
      <c r="J6" s="300"/>
      <c r="K6" s="300"/>
      <c r="L6" s="300"/>
      <c r="M6" s="300"/>
      <c r="N6" s="300"/>
      <c r="O6" s="300"/>
      <c r="P6" s="301"/>
      <c r="R6" s="206" t="s">
        <v>214</v>
      </c>
      <c r="S6" s="207" t="s">
        <v>221</v>
      </c>
      <c r="U6" s="206" t="s">
        <v>217</v>
      </c>
      <c r="V6" s="207" t="s">
        <v>224</v>
      </c>
    </row>
    <row r="7" spans="2:22" x14ac:dyDescent="0.35">
      <c r="B7" s="181"/>
      <c r="C7" s="182"/>
      <c r="D7" s="195" t="s">
        <v>213</v>
      </c>
      <c r="E7" s="196" t="s">
        <v>9</v>
      </c>
      <c r="F7" s="196" t="s">
        <v>57</v>
      </c>
      <c r="G7" s="196" t="s">
        <v>141</v>
      </c>
      <c r="H7" s="203" t="s">
        <v>217</v>
      </c>
      <c r="I7" s="199" t="s">
        <v>144</v>
      </c>
      <c r="J7" s="200" t="s">
        <v>145</v>
      </c>
      <c r="K7" s="200" t="s">
        <v>146</v>
      </c>
      <c r="L7" s="200" t="s">
        <v>147</v>
      </c>
      <c r="M7" s="200" t="s">
        <v>148</v>
      </c>
      <c r="N7" s="200" t="s">
        <v>219</v>
      </c>
      <c r="O7" s="200" t="s">
        <v>216</v>
      </c>
      <c r="P7" s="201" t="s">
        <v>218</v>
      </c>
      <c r="R7" s="198" t="s">
        <v>222</v>
      </c>
      <c r="S7" s="202" t="s">
        <v>222</v>
      </c>
      <c r="U7" s="198" t="s">
        <v>225</v>
      </c>
      <c r="V7" s="202" t="s">
        <v>225</v>
      </c>
    </row>
    <row r="8" spans="2:22" x14ac:dyDescent="0.35">
      <c r="B8" s="181">
        <v>1</v>
      </c>
      <c r="C8" s="183">
        <f t="shared" ref="C8:C17" si="0">SUM(D8:P8)</f>
        <v>1646.1601979822944</v>
      </c>
      <c r="D8" s="173">
        <f>'acquisition year '!F11</f>
        <v>279.34719999999999</v>
      </c>
      <c r="E8" s="174">
        <f>'acquisition year '!F23+'acquisition year '!C28</f>
        <v>64.051199999999994</v>
      </c>
      <c r="F8" s="174">
        <f>'acquisition year '!F41</f>
        <v>58.956800000000001</v>
      </c>
      <c r="G8" s="174">
        <f>'retention years'!K$37</f>
        <v>7.6873093619512201</v>
      </c>
      <c r="H8" s="204">
        <f>'retention years'!K$56</f>
        <v>212.49061169726639</v>
      </c>
      <c r="I8" s="173">
        <f>digitization!I145+digitization!J145</f>
        <v>123.6134769230769</v>
      </c>
      <c r="J8" s="174">
        <f>digitization!I146+digitization!J146</f>
        <v>775</v>
      </c>
      <c r="K8" s="174">
        <f>digitization!I147+digitization!J147</f>
        <v>12.697599999999998</v>
      </c>
      <c r="L8" s="174">
        <f>digitization!I148+digitization!J148</f>
        <v>51.420799999999993</v>
      </c>
      <c r="M8" s="174">
        <f>digitization!I149+digitization!J149</f>
        <v>0</v>
      </c>
      <c r="N8" s="174">
        <f>digitization!I150+digitization!J150</f>
        <v>19.697599999999998</v>
      </c>
      <c r="O8" s="174">
        <v>0</v>
      </c>
      <c r="P8" s="175">
        <f>digitization!I152+digitization!J152</f>
        <v>41.197599999999994</v>
      </c>
      <c r="R8" s="208">
        <f t="shared" ref="R8:R17" si="1">SUM(D8:H8)</f>
        <v>622.53312105921759</v>
      </c>
      <c r="S8" s="209">
        <f>SUM(I8:P8)</f>
        <v>1023.6270769230767</v>
      </c>
      <c r="U8" s="208">
        <f>H8</f>
        <v>212.49061169726639</v>
      </c>
      <c r="V8" s="209">
        <f>S8</f>
        <v>1023.6270769230767</v>
      </c>
    </row>
    <row r="9" spans="2:22" x14ac:dyDescent="0.35">
      <c r="B9" s="181">
        <v>2</v>
      </c>
      <c r="C9" s="183">
        <f t="shared" si="0"/>
        <v>270.02762423773891</v>
      </c>
      <c r="D9" s="173">
        <v>0</v>
      </c>
      <c r="E9" s="147">
        <f>SUM('acquisition year '!$F$23+'acquisition year '!$C$28)/20</f>
        <v>3.2025599999999996</v>
      </c>
      <c r="F9" s="171">
        <f>'acquisition year '!$F$41/20</f>
        <v>2.9478400000000002</v>
      </c>
      <c r="G9" s="174">
        <f>'retention years'!L$37</f>
        <v>7.5042781866666672</v>
      </c>
      <c r="H9" s="204">
        <f>'retention years'!L$56</f>
        <v>220.87294605107223</v>
      </c>
      <c r="I9" s="173">
        <v>0</v>
      </c>
      <c r="J9" s="174">
        <v>0</v>
      </c>
      <c r="K9" s="174">
        <v>0</v>
      </c>
      <c r="L9" s="174">
        <v>0</v>
      </c>
      <c r="M9" s="174">
        <v>0</v>
      </c>
      <c r="N9" s="174">
        <f>digitization!$N$150+digitization!$O$150</f>
        <v>7</v>
      </c>
      <c r="O9" s="174">
        <f>digitization!$N$151+digitization!$O$151</f>
        <v>0</v>
      </c>
      <c r="P9" s="175">
        <f>digitization!$N$152+digitization!$O$152</f>
        <v>28.5</v>
      </c>
      <c r="R9" s="208">
        <f t="shared" si="1"/>
        <v>234.52762423773891</v>
      </c>
      <c r="S9" s="209">
        <f t="shared" ref="S9:S17" si="2">SUM(I9:P9)</f>
        <v>35.5</v>
      </c>
      <c r="U9" s="208">
        <f>U8+H9</f>
        <v>433.36355774833862</v>
      </c>
      <c r="V9" s="209">
        <f>V8+S9</f>
        <v>1059.1270769230769</v>
      </c>
    </row>
    <row r="10" spans="2:22" x14ac:dyDescent="0.35">
      <c r="B10" s="181">
        <v>3</v>
      </c>
      <c r="C10" s="183">
        <f t="shared" si="0"/>
        <v>284.16497083179149</v>
      </c>
      <c r="D10" s="173">
        <v>0</v>
      </c>
      <c r="E10" s="147">
        <f>SUM('acquisition year '!$F$23+'acquisition year '!$C$28)/20</f>
        <v>3.2025599999999996</v>
      </c>
      <c r="F10" s="171">
        <f>'acquisition year '!$F$41/20</f>
        <v>2.9478400000000002</v>
      </c>
      <c r="G10" s="174">
        <f>'retention years'!M$37</f>
        <v>7.3297600893023258</v>
      </c>
      <c r="H10" s="204">
        <f>'retention years'!M$56</f>
        <v>235.18481074248919</v>
      </c>
      <c r="I10" s="173">
        <v>0</v>
      </c>
      <c r="J10" s="174">
        <v>0</v>
      </c>
      <c r="K10" s="174">
        <v>0</v>
      </c>
      <c r="L10" s="174">
        <v>0</v>
      </c>
      <c r="M10" s="174">
        <v>0</v>
      </c>
      <c r="N10" s="174">
        <f>digitization!$N$150+digitization!$O$150</f>
        <v>7</v>
      </c>
      <c r="O10" s="174">
        <f>digitization!$N$151+digitization!$O$151</f>
        <v>0</v>
      </c>
      <c r="P10" s="175">
        <f>digitization!$N$152+digitization!$O$152</f>
        <v>28.5</v>
      </c>
      <c r="R10" s="208">
        <f t="shared" si="1"/>
        <v>248.66497083179152</v>
      </c>
      <c r="S10" s="209">
        <f t="shared" si="2"/>
        <v>35.5</v>
      </c>
      <c r="U10" s="208">
        <f t="shared" ref="U10:U17" si="3">U9+H10</f>
        <v>668.54836849082778</v>
      </c>
      <c r="V10" s="209">
        <f t="shared" ref="V10:V17" si="4">V9+S10</f>
        <v>1094.6270769230769</v>
      </c>
    </row>
    <row r="11" spans="2:22" x14ac:dyDescent="0.35">
      <c r="B11" s="181">
        <v>4</v>
      </c>
      <c r="C11" s="183">
        <f t="shared" si="0"/>
        <v>301.48097291738372</v>
      </c>
      <c r="D11" s="173">
        <v>0</v>
      </c>
      <c r="E11" s="147">
        <f>SUM('acquisition year '!$F$23+'acquisition year '!$C$28)/20</f>
        <v>3.2025599999999996</v>
      </c>
      <c r="F11" s="171">
        <f>'acquisition year '!$F$41/20</f>
        <v>2.9478400000000002</v>
      </c>
      <c r="G11" s="174">
        <f>'retention years'!N$37</f>
        <v>7.163174632727273</v>
      </c>
      <c r="H11" s="204">
        <f>'retention years'!N$56</f>
        <v>252.66739828465646</v>
      </c>
      <c r="I11" s="173">
        <v>0</v>
      </c>
      <c r="J11" s="174">
        <v>0</v>
      </c>
      <c r="K11" s="174">
        <v>0</v>
      </c>
      <c r="L11" s="174">
        <v>0</v>
      </c>
      <c r="M11" s="174">
        <v>0</v>
      </c>
      <c r="N11" s="174">
        <f>digitization!$N$150+digitization!$O$150</f>
        <v>7</v>
      </c>
      <c r="O11" s="174">
        <f>digitization!$N$151+digitization!$O$151</f>
        <v>0</v>
      </c>
      <c r="P11" s="175">
        <f>digitization!$N$152+digitization!$O$152</f>
        <v>28.5</v>
      </c>
      <c r="R11" s="208">
        <f t="shared" si="1"/>
        <v>265.98097291738372</v>
      </c>
      <c r="S11" s="209">
        <f t="shared" si="2"/>
        <v>35.5</v>
      </c>
      <c r="U11" s="208">
        <f t="shared" si="3"/>
        <v>921.21576677548421</v>
      </c>
      <c r="V11" s="209">
        <f t="shared" si="4"/>
        <v>1130.1270769230769</v>
      </c>
    </row>
    <row r="12" spans="2:22" x14ac:dyDescent="0.35">
      <c r="B12" s="181">
        <v>5</v>
      </c>
      <c r="C12" s="183">
        <f t="shared" si="0"/>
        <v>315.3226631988494</v>
      </c>
      <c r="D12" s="173">
        <v>0</v>
      </c>
      <c r="E12" s="147">
        <f>SUM('acquisition year '!$F$23+'acquisition year '!$C$28)/20</f>
        <v>3.2025599999999996</v>
      </c>
      <c r="F12" s="171">
        <f>'acquisition year '!$F$41/20</f>
        <v>2.9478400000000002</v>
      </c>
      <c r="G12" s="174">
        <f>'retention years'!O$37</f>
        <v>7.0039929742222222</v>
      </c>
      <c r="H12" s="204">
        <f>'retention years'!O$56</f>
        <v>266.66827022462718</v>
      </c>
      <c r="I12" s="173">
        <v>0</v>
      </c>
      <c r="J12" s="174">
        <v>0</v>
      </c>
      <c r="K12" s="174">
        <v>0</v>
      </c>
      <c r="L12" s="174">
        <v>0</v>
      </c>
      <c r="M12" s="174">
        <v>0</v>
      </c>
      <c r="N12" s="174">
        <f>digitization!$N$150+digitization!$O$150</f>
        <v>7</v>
      </c>
      <c r="O12" s="174">
        <f>digitization!$N$151+digitization!$O$151</f>
        <v>0</v>
      </c>
      <c r="P12" s="175">
        <f>digitization!$N$152+digitization!$O$152</f>
        <v>28.5</v>
      </c>
      <c r="R12" s="208">
        <f t="shared" si="1"/>
        <v>279.8226631988494</v>
      </c>
      <c r="S12" s="209">
        <f t="shared" si="2"/>
        <v>35.5</v>
      </c>
      <c r="U12" s="208">
        <f t="shared" si="3"/>
        <v>1187.8840370001114</v>
      </c>
      <c r="V12" s="209">
        <f t="shared" si="4"/>
        <v>1165.6270769230769</v>
      </c>
    </row>
    <row r="13" spans="2:22" x14ac:dyDescent="0.35">
      <c r="B13" s="181">
        <v>6</v>
      </c>
      <c r="C13" s="183">
        <f t="shared" si="0"/>
        <v>331.91929630365996</v>
      </c>
      <c r="D13" s="173">
        <v>0</v>
      </c>
      <c r="E13" s="147">
        <f>SUM('acquisition year '!$F$23+'acquisition year '!$C$28)/20</f>
        <v>3.2025599999999996</v>
      </c>
      <c r="F13" s="171">
        <f>'acquisition year '!$F$41/20</f>
        <v>2.9478400000000002</v>
      </c>
      <c r="G13" s="174">
        <f>'retention years'!P$37</f>
        <v>6.8517322573913049</v>
      </c>
      <c r="H13" s="204">
        <f>'retention years'!P$56</f>
        <v>283.41716404626868</v>
      </c>
      <c r="I13" s="173">
        <v>0</v>
      </c>
      <c r="J13" s="174">
        <v>0</v>
      </c>
      <c r="K13" s="174">
        <v>0</v>
      </c>
      <c r="L13" s="174">
        <v>0</v>
      </c>
      <c r="M13" s="174">
        <v>0</v>
      </c>
      <c r="N13" s="174">
        <f>digitization!$N$150+digitization!$O$150</f>
        <v>7</v>
      </c>
      <c r="O13" s="174">
        <f>digitization!$N$151+digitization!$O$151</f>
        <v>0</v>
      </c>
      <c r="P13" s="175">
        <f>digitization!$N$152+digitization!$O$152</f>
        <v>28.5</v>
      </c>
      <c r="R13" s="208">
        <f t="shared" si="1"/>
        <v>296.41929630365996</v>
      </c>
      <c r="S13" s="209">
        <f t="shared" si="2"/>
        <v>35.5</v>
      </c>
      <c r="U13" s="208">
        <f t="shared" si="3"/>
        <v>1471.3012010463801</v>
      </c>
      <c r="V13" s="209">
        <f t="shared" si="4"/>
        <v>1201.1270769230769</v>
      </c>
    </row>
    <row r="14" spans="2:22" x14ac:dyDescent="0.35">
      <c r="B14" s="181">
        <v>7</v>
      </c>
      <c r="C14" s="183">
        <f t="shared" si="0"/>
        <v>354.6213887957415</v>
      </c>
      <c r="D14" s="173">
        <v>0</v>
      </c>
      <c r="E14" s="147">
        <f>SUM('acquisition year '!$F$23+'acquisition year '!$C$28)/20</f>
        <v>3.2025599999999996</v>
      </c>
      <c r="F14" s="171">
        <f>'acquisition year '!$F$41/20</f>
        <v>2.9478400000000002</v>
      </c>
      <c r="G14" s="174">
        <f>'retention years'!Q$37</f>
        <v>6.7059507200000006</v>
      </c>
      <c r="H14" s="204">
        <f>'retention years'!Q$56</f>
        <v>306.26503807574147</v>
      </c>
      <c r="I14" s="173">
        <v>0</v>
      </c>
      <c r="J14" s="174">
        <v>0</v>
      </c>
      <c r="K14" s="174">
        <v>0</v>
      </c>
      <c r="L14" s="174">
        <v>0</v>
      </c>
      <c r="M14" s="174">
        <v>0</v>
      </c>
      <c r="N14" s="174">
        <f>digitization!$N$150+digitization!$O$150</f>
        <v>7</v>
      </c>
      <c r="O14" s="174">
        <f>digitization!$N$151+digitization!$O$151</f>
        <v>0</v>
      </c>
      <c r="P14" s="175">
        <f>digitization!$N$152+digitization!$O$152</f>
        <v>28.5</v>
      </c>
      <c r="R14" s="208">
        <f t="shared" si="1"/>
        <v>319.1213887957415</v>
      </c>
      <c r="S14" s="209">
        <f t="shared" si="2"/>
        <v>35.5</v>
      </c>
      <c r="U14" s="208">
        <f t="shared" si="3"/>
        <v>1777.5662391221217</v>
      </c>
      <c r="V14" s="209">
        <f t="shared" si="4"/>
        <v>1236.6270769230769</v>
      </c>
    </row>
    <row r="15" spans="2:22" x14ac:dyDescent="0.35">
      <c r="B15" s="181">
        <v>8</v>
      </c>
      <c r="C15" s="183">
        <f t="shared" si="0"/>
        <v>378.86039337220467</v>
      </c>
      <c r="D15" s="173">
        <v>0</v>
      </c>
      <c r="E15" s="147">
        <f>SUM('acquisition year '!$F$23+'acquisition year '!$C$28)/20</f>
        <v>3.2025599999999996</v>
      </c>
      <c r="F15" s="171">
        <f>'acquisition year '!$F$41/20</f>
        <v>2.9478400000000002</v>
      </c>
      <c r="G15" s="174">
        <f>'retention years'!R$37</f>
        <v>6.5662434133333338</v>
      </c>
      <c r="H15" s="204">
        <f>'retention years'!R$56</f>
        <v>330.64374995887135</v>
      </c>
      <c r="I15" s="173">
        <v>0</v>
      </c>
      <c r="J15" s="174">
        <v>0</v>
      </c>
      <c r="K15" s="174">
        <v>0</v>
      </c>
      <c r="L15" s="174">
        <v>0</v>
      </c>
      <c r="M15" s="174">
        <v>0</v>
      </c>
      <c r="N15" s="174">
        <f>digitization!$N$150+digitization!$O$150</f>
        <v>7</v>
      </c>
      <c r="O15" s="174">
        <f>digitization!$N$151+digitization!$O$151</f>
        <v>0</v>
      </c>
      <c r="P15" s="175">
        <f>digitization!$N$152+digitization!$O$152</f>
        <v>28.5</v>
      </c>
      <c r="R15" s="208">
        <f t="shared" si="1"/>
        <v>343.36039337220467</v>
      </c>
      <c r="S15" s="209">
        <f t="shared" si="2"/>
        <v>35.5</v>
      </c>
      <c r="U15" s="208">
        <f t="shared" si="3"/>
        <v>2108.2099890809932</v>
      </c>
      <c r="V15" s="209">
        <f t="shared" si="4"/>
        <v>1272.1270769230769</v>
      </c>
    </row>
    <row r="16" spans="2:22" x14ac:dyDescent="0.35">
      <c r="B16" s="181">
        <v>9</v>
      </c>
      <c r="C16" s="183">
        <f t="shared" si="0"/>
        <v>411.45931833818872</v>
      </c>
      <c r="D16" s="173">
        <v>0</v>
      </c>
      <c r="E16" s="147">
        <f>SUM('acquisition year '!$F$23+'acquisition year '!$C$28)/20</f>
        <v>3.2025599999999996</v>
      </c>
      <c r="F16" s="171">
        <f>'acquisition year '!$F$41/20</f>
        <v>2.9478400000000002</v>
      </c>
      <c r="G16" s="174">
        <f>'retention years'!S$37</f>
        <v>6.4322384457142858</v>
      </c>
      <c r="H16" s="204">
        <f>'retention years'!S$56</f>
        <v>363.37667989247444</v>
      </c>
      <c r="I16" s="173">
        <v>0</v>
      </c>
      <c r="J16" s="174">
        <v>0</v>
      </c>
      <c r="K16" s="174">
        <v>0</v>
      </c>
      <c r="L16" s="174">
        <v>0</v>
      </c>
      <c r="M16" s="174">
        <v>0</v>
      </c>
      <c r="N16" s="174">
        <f>digitization!$N$150+digitization!$O$150</f>
        <v>7</v>
      </c>
      <c r="O16" s="174">
        <f>digitization!$N$151+digitization!$O$151</f>
        <v>0</v>
      </c>
      <c r="P16" s="175">
        <f>digitization!$N$152+digitization!$O$152</f>
        <v>28.5</v>
      </c>
      <c r="R16" s="208">
        <f t="shared" si="1"/>
        <v>375.95931833818872</v>
      </c>
      <c r="S16" s="209">
        <f t="shared" si="2"/>
        <v>35.5</v>
      </c>
      <c r="U16" s="208">
        <f t="shared" si="3"/>
        <v>2471.5866689734676</v>
      </c>
      <c r="V16" s="209">
        <f t="shared" si="4"/>
        <v>1307.6270769230769</v>
      </c>
    </row>
    <row r="17" spans="2:22" ht="15" thickBot="1" x14ac:dyDescent="0.4">
      <c r="B17" s="184">
        <v>10</v>
      </c>
      <c r="C17" s="185">
        <f t="shared" si="0"/>
        <v>443.35686647195746</v>
      </c>
      <c r="D17" s="176">
        <v>0</v>
      </c>
      <c r="E17" s="170">
        <f>SUM('acquisition year '!$F$23+'acquisition year '!$C$28)/20</f>
        <v>3.2025599999999996</v>
      </c>
      <c r="F17" s="172">
        <f>'acquisition year '!$F$41/20</f>
        <v>2.9478400000000002</v>
      </c>
      <c r="G17" s="177">
        <f>'retention years'!T$37</f>
        <v>6.3035936768000003</v>
      </c>
      <c r="H17" s="205">
        <f>'retention years'!T$56</f>
        <v>395.40287279515746</v>
      </c>
      <c r="I17" s="176">
        <v>0</v>
      </c>
      <c r="J17" s="177">
        <v>0</v>
      </c>
      <c r="K17" s="177">
        <v>0</v>
      </c>
      <c r="L17" s="177">
        <v>0</v>
      </c>
      <c r="M17" s="177">
        <v>0</v>
      </c>
      <c r="N17" s="177">
        <f>digitization!$N$150+digitization!$O$150</f>
        <v>7</v>
      </c>
      <c r="O17" s="177">
        <f>digitization!$N$151+digitization!$O$151</f>
        <v>0</v>
      </c>
      <c r="P17" s="175">
        <f>digitization!$N$152+digitization!$O$152</f>
        <v>28.5</v>
      </c>
      <c r="R17" s="210">
        <f t="shared" si="1"/>
        <v>407.85686647195746</v>
      </c>
      <c r="S17" s="211">
        <f t="shared" si="2"/>
        <v>35.5</v>
      </c>
      <c r="U17" s="210">
        <f t="shared" si="3"/>
        <v>2866.9895417686248</v>
      </c>
      <c r="V17" s="211">
        <f t="shared" si="4"/>
        <v>1343.1270769230769</v>
      </c>
    </row>
    <row r="18" spans="2:22" x14ac:dyDescent="0.35">
      <c r="R18" s="5"/>
      <c r="S18" s="5"/>
      <c r="U18" s="278"/>
    </row>
    <row r="19" spans="2:22" ht="15" thickBot="1" x14ac:dyDescent="0.4">
      <c r="R19" s="5"/>
      <c r="S19" s="5"/>
    </row>
    <row r="20" spans="2:22" x14ac:dyDescent="0.35">
      <c r="B20" s="179" t="s">
        <v>171</v>
      </c>
      <c r="C20" s="191"/>
      <c r="D20" s="296" t="s">
        <v>214</v>
      </c>
      <c r="E20" s="297"/>
      <c r="F20" s="297"/>
      <c r="G20" s="297"/>
      <c r="H20" s="297"/>
      <c r="I20" s="299" t="s">
        <v>215</v>
      </c>
      <c r="J20" s="300"/>
      <c r="K20" s="300"/>
      <c r="L20" s="300"/>
      <c r="M20" s="300"/>
      <c r="N20" s="300"/>
      <c r="O20" s="300"/>
      <c r="P20" s="301"/>
      <c r="R20" s="206" t="s">
        <v>214</v>
      </c>
      <c r="S20" s="207" t="s">
        <v>221</v>
      </c>
    </row>
    <row r="21" spans="2:22" x14ac:dyDescent="0.35">
      <c r="B21" s="181"/>
      <c r="C21" s="192"/>
      <c r="D21" s="195" t="s">
        <v>213</v>
      </c>
      <c r="E21" s="196" t="s">
        <v>9</v>
      </c>
      <c r="F21" s="196" t="s">
        <v>57</v>
      </c>
      <c r="G21" s="196" t="s">
        <v>141</v>
      </c>
      <c r="H21" s="196" t="s">
        <v>217</v>
      </c>
      <c r="I21" s="199" t="s">
        <v>144</v>
      </c>
      <c r="J21" s="200" t="s">
        <v>145</v>
      </c>
      <c r="K21" s="200" t="s">
        <v>146</v>
      </c>
      <c r="L21" s="200" t="s">
        <v>147</v>
      </c>
      <c r="M21" s="200" t="s">
        <v>148</v>
      </c>
      <c r="N21" s="200" t="s">
        <v>219</v>
      </c>
      <c r="O21" s="200" t="s">
        <v>216</v>
      </c>
      <c r="P21" s="201" t="s">
        <v>218</v>
      </c>
      <c r="R21" s="198" t="s">
        <v>222</v>
      </c>
      <c r="S21" s="202" t="s">
        <v>222</v>
      </c>
    </row>
    <row r="22" spans="2:22" x14ac:dyDescent="0.35">
      <c r="B22" s="181">
        <v>1</v>
      </c>
      <c r="C22" s="193">
        <f t="shared" ref="C22:C31" si="5">SUM(D22:P22)</f>
        <v>1</v>
      </c>
      <c r="D22" s="186">
        <f>D8/$C$8</f>
        <v>0.16969624240848311</v>
      </c>
      <c r="E22" s="168">
        <f t="shared" ref="E22:P22" si="6">E8/$C$8</f>
        <v>3.890945734109464E-2</v>
      </c>
      <c r="F22" s="168">
        <f t="shared" si="6"/>
        <v>3.581474031036809E-2</v>
      </c>
      <c r="G22" s="168">
        <f t="shared" si="6"/>
        <v>4.6698428083570406E-3</v>
      </c>
      <c r="H22" s="168">
        <f t="shared" si="6"/>
        <v>0.129082583795743</v>
      </c>
      <c r="I22" s="186">
        <f t="shared" si="6"/>
        <v>7.5092009316341427E-2</v>
      </c>
      <c r="J22" s="168">
        <f t="shared" si="6"/>
        <v>0.4707925759290747</v>
      </c>
      <c r="K22" s="168">
        <f t="shared" si="6"/>
        <v>7.7134655640219586E-3</v>
      </c>
      <c r="L22" s="168">
        <f t="shared" si="6"/>
        <v>3.1236814049462918E-2</v>
      </c>
      <c r="M22" s="168">
        <f t="shared" si="6"/>
        <v>0</v>
      </c>
      <c r="N22" s="168">
        <f t="shared" si="6"/>
        <v>1.1965785604671665E-2</v>
      </c>
      <c r="O22" s="168">
        <f t="shared" si="6"/>
        <v>0</v>
      </c>
      <c r="P22" s="187">
        <f t="shared" si="6"/>
        <v>2.5026482872381479E-2</v>
      </c>
      <c r="R22" s="212">
        <f t="shared" ref="R22:R31" si="7">R8/C8</f>
        <v>0.37817286666404587</v>
      </c>
      <c r="S22" s="213">
        <f t="shared" ref="S22:S31" si="8">S8/C8</f>
        <v>0.62182713333595407</v>
      </c>
    </row>
    <row r="23" spans="2:22" x14ac:dyDescent="0.35">
      <c r="B23" s="181">
        <v>2</v>
      </c>
      <c r="C23" s="193">
        <f t="shared" si="5"/>
        <v>1</v>
      </c>
      <c r="D23" s="186">
        <f>D9/$C$9</f>
        <v>0</v>
      </c>
      <c r="E23" s="168">
        <f t="shared" ref="E23:P23" si="9">E9/$C$9</f>
        <v>1.1860119900845359E-2</v>
      </c>
      <c r="F23" s="168">
        <f t="shared" si="9"/>
        <v>1.0916809005454383E-2</v>
      </c>
      <c r="G23" s="168">
        <f t="shared" si="9"/>
        <v>2.7790779583572227E-2</v>
      </c>
      <c r="H23" s="168">
        <f t="shared" si="9"/>
        <v>0.81796426078470519</v>
      </c>
      <c r="I23" s="186">
        <f t="shared" si="9"/>
        <v>0</v>
      </c>
      <c r="J23" s="168">
        <f t="shared" si="9"/>
        <v>0</v>
      </c>
      <c r="K23" s="168">
        <f t="shared" si="9"/>
        <v>0</v>
      </c>
      <c r="L23" s="168">
        <f t="shared" si="9"/>
        <v>0</v>
      </c>
      <c r="M23" s="168">
        <f t="shared" si="9"/>
        <v>0</v>
      </c>
      <c r="N23" s="168">
        <f t="shared" si="9"/>
        <v>2.5923273664167891E-2</v>
      </c>
      <c r="O23" s="168">
        <f t="shared" si="9"/>
        <v>0</v>
      </c>
      <c r="P23" s="187">
        <f t="shared" si="9"/>
        <v>0.10554475706125498</v>
      </c>
      <c r="R23" s="212">
        <f t="shared" si="7"/>
        <v>0.8685319692745771</v>
      </c>
      <c r="S23" s="213">
        <f t="shared" si="8"/>
        <v>0.13146803072542287</v>
      </c>
    </row>
    <row r="24" spans="2:22" x14ac:dyDescent="0.35">
      <c r="B24" s="181">
        <v>3</v>
      </c>
      <c r="C24" s="193">
        <f t="shared" si="5"/>
        <v>1</v>
      </c>
      <c r="D24" s="186">
        <f>D10/$C$10</f>
        <v>0</v>
      </c>
      <c r="E24" s="168">
        <f t="shared" ref="E24:P24" si="10">E10/$C$10</f>
        <v>1.1270073122051773E-2</v>
      </c>
      <c r="F24" s="168">
        <f t="shared" si="10"/>
        <v>1.0373692406109209E-2</v>
      </c>
      <c r="G24" s="168">
        <f t="shared" si="10"/>
        <v>2.579403107936587E-2</v>
      </c>
      <c r="H24" s="168">
        <f t="shared" si="10"/>
        <v>0.82763477164011323</v>
      </c>
      <c r="I24" s="186">
        <f t="shared" si="10"/>
        <v>0</v>
      </c>
      <c r="J24" s="168">
        <f t="shared" si="10"/>
        <v>0</v>
      </c>
      <c r="K24" s="168">
        <f t="shared" si="10"/>
        <v>0</v>
      </c>
      <c r="L24" s="168">
        <f t="shared" si="10"/>
        <v>0</v>
      </c>
      <c r="M24" s="168">
        <f t="shared" si="10"/>
        <v>0</v>
      </c>
      <c r="N24" s="168">
        <f t="shared" si="10"/>
        <v>2.4633578092014646E-2</v>
      </c>
      <c r="O24" s="168">
        <f t="shared" si="10"/>
        <v>0</v>
      </c>
      <c r="P24" s="187">
        <f t="shared" si="10"/>
        <v>0.10029385366034535</v>
      </c>
      <c r="R24" s="212">
        <f t="shared" si="7"/>
        <v>0.87507256824764013</v>
      </c>
      <c r="S24" s="213">
        <f t="shared" si="8"/>
        <v>0.12492743175236</v>
      </c>
    </row>
    <row r="25" spans="2:22" x14ac:dyDescent="0.35">
      <c r="B25" s="181">
        <v>4</v>
      </c>
      <c r="C25" s="193">
        <f t="shared" si="5"/>
        <v>1</v>
      </c>
      <c r="D25" s="186">
        <f>D11/$C$11</f>
        <v>0</v>
      </c>
      <c r="E25" s="168">
        <f t="shared" ref="E25:P25" si="11">E11/$C$11</f>
        <v>1.0622759934099099E-2</v>
      </c>
      <c r="F25" s="168">
        <f t="shared" si="11"/>
        <v>9.7778641599641208E-3</v>
      </c>
      <c r="G25" s="168">
        <f t="shared" si="11"/>
        <v>2.3759955938215151E-2</v>
      </c>
      <c r="H25" s="168">
        <f t="shared" si="11"/>
        <v>0.8380873785819184</v>
      </c>
      <c r="I25" s="186">
        <f t="shared" si="11"/>
        <v>0</v>
      </c>
      <c r="J25" s="168">
        <f t="shared" si="11"/>
        <v>0</v>
      </c>
      <c r="K25" s="168">
        <f t="shared" si="11"/>
        <v>0</v>
      </c>
      <c r="L25" s="168">
        <f t="shared" si="11"/>
        <v>0</v>
      </c>
      <c r="M25" s="168">
        <f t="shared" si="11"/>
        <v>0</v>
      </c>
      <c r="N25" s="168">
        <f t="shared" si="11"/>
        <v>2.3218712385933038E-2</v>
      </c>
      <c r="O25" s="168">
        <f t="shared" si="11"/>
        <v>0</v>
      </c>
      <c r="P25" s="187">
        <f t="shared" si="11"/>
        <v>9.4533328999870228E-2</v>
      </c>
      <c r="R25" s="212">
        <f t="shared" si="7"/>
        <v>0.88224795861419669</v>
      </c>
      <c r="S25" s="213">
        <f t="shared" si="8"/>
        <v>0.11775204138580327</v>
      </c>
    </row>
    <row r="26" spans="2:22" x14ac:dyDescent="0.35">
      <c r="B26" s="181">
        <v>5</v>
      </c>
      <c r="C26" s="193">
        <f t="shared" si="5"/>
        <v>0.99999999999999989</v>
      </c>
      <c r="D26" s="186">
        <f>D12/$C$12</f>
        <v>0</v>
      </c>
      <c r="E26" s="168">
        <f t="shared" ref="E26:P26" si="12">E12/$C$12</f>
        <v>1.0156453606953062E-2</v>
      </c>
      <c r="F26" s="168">
        <f t="shared" si="12"/>
        <v>9.3486461458085167E-3</v>
      </c>
      <c r="G26" s="168">
        <f t="shared" si="12"/>
        <v>2.221214581650717E-2</v>
      </c>
      <c r="H26" s="168">
        <f t="shared" si="12"/>
        <v>0.84569966370117933</v>
      </c>
      <c r="I26" s="186">
        <f t="shared" si="12"/>
        <v>0</v>
      </c>
      <c r="J26" s="168">
        <f t="shared" si="12"/>
        <v>0</v>
      </c>
      <c r="K26" s="168">
        <f t="shared" si="12"/>
        <v>0</v>
      </c>
      <c r="L26" s="168">
        <f t="shared" si="12"/>
        <v>0</v>
      </c>
      <c r="M26" s="168">
        <f t="shared" si="12"/>
        <v>0</v>
      </c>
      <c r="N26" s="168">
        <f t="shared" si="12"/>
        <v>2.2199482679066573E-2</v>
      </c>
      <c r="O26" s="168">
        <f t="shared" si="12"/>
        <v>0</v>
      </c>
      <c r="P26" s="187">
        <f t="shared" si="12"/>
        <v>9.0383608050485328E-2</v>
      </c>
      <c r="R26" s="212">
        <f t="shared" si="7"/>
        <v>0.88741690927044814</v>
      </c>
      <c r="S26" s="213">
        <f t="shared" si="8"/>
        <v>0.1125830907295519</v>
      </c>
    </row>
    <row r="27" spans="2:22" x14ac:dyDescent="0.35">
      <c r="B27" s="181">
        <v>6</v>
      </c>
      <c r="C27" s="193">
        <f t="shared" si="5"/>
        <v>1</v>
      </c>
      <c r="D27" s="186">
        <f>D13/$C$13</f>
        <v>0</v>
      </c>
      <c r="E27" s="168">
        <f t="shared" ref="E27:P27" si="13">E13/$C$13</f>
        <v>9.6486104775002374E-3</v>
      </c>
      <c r="F27" s="168">
        <f t="shared" si="13"/>
        <v>8.8811950158605331E-3</v>
      </c>
      <c r="G27" s="168">
        <f t="shared" si="13"/>
        <v>2.0642765677361896E-2</v>
      </c>
      <c r="H27" s="168">
        <f t="shared" si="13"/>
        <v>0.85387371931212286</v>
      </c>
      <c r="I27" s="186">
        <f t="shared" si="13"/>
        <v>0</v>
      </c>
      <c r="J27" s="168">
        <f t="shared" si="13"/>
        <v>0</v>
      </c>
      <c r="K27" s="168">
        <f t="shared" si="13"/>
        <v>0</v>
      </c>
      <c r="L27" s="168">
        <f t="shared" si="13"/>
        <v>0</v>
      </c>
      <c r="M27" s="168">
        <f t="shared" si="13"/>
        <v>0</v>
      </c>
      <c r="N27" s="168">
        <f t="shared" si="13"/>
        <v>2.1089463848453012E-2</v>
      </c>
      <c r="O27" s="168">
        <f t="shared" si="13"/>
        <v>0</v>
      </c>
      <c r="P27" s="187">
        <f t="shared" si="13"/>
        <v>8.5864245668701544E-2</v>
      </c>
      <c r="R27" s="212">
        <f t="shared" si="7"/>
        <v>0.89304629048284545</v>
      </c>
      <c r="S27" s="213">
        <f t="shared" si="8"/>
        <v>0.10695370951715456</v>
      </c>
    </row>
    <row r="28" spans="2:22" x14ac:dyDescent="0.35">
      <c r="B28" s="181">
        <v>7</v>
      </c>
      <c r="C28" s="193">
        <f t="shared" si="5"/>
        <v>0.99999999999999989</v>
      </c>
      <c r="D28" s="186">
        <f>D14/$C$14</f>
        <v>0</v>
      </c>
      <c r="E28" s="168">
        <f t="shared" ref="E28:P28" si="14">E14/$C$14</f>
        <v>9.0309273529032494E-3</v>
      </c>
      <c r="F28" s="168">
        <f t="shared" si="14"/>
        <v>8.3126401653621854E-3</v>
      </c>
      <c r="G28" s="168">
        <f t="shared" si="14"/>
        <v>1.8910169921709272E-2</v>
      </c>
      <c r="H28" s="168">
        <f t="shared" si="14"/>
        <v>0.86363949765068226</v>
      </c>
      <c r="I28" s="186">
        <f t="shared" si="14"/>
        <v>0</v>
      </c>
      <c r="J28" s="168">
        <f t="shared" si="14"/>
        <v>0</v>
      </c>
      <c r="K28" s="168">
        <f t="shared" si="14"/>
        <v>0</v>
      </c>
      <c r="L28" s="168">
        <f t="shared" si="14"/>
        <v>0</v>
      </c>
      <c r="M28" s="168">
        <f t="shared" si="14"/>
        <v>0</v>
      </c>
      <c r="N28" s="168">
        <f t="shared" si="14"/>
        <v>1.9739362094800018E-2</v>
      </c>
      <c r="O28" s="168">
        <f t="shared" si="14"/>
        <v>0</v>
      </c>
      <c r="P28" s="187">
        <f t="shared" si="14"/>
        <v>8.0367402814542938E-2</v>
      </c>
      <c r="Q28" s="167"/>
      <c r="R28" s="212">
        <f t="shared" si="7"/>
        <v>0.899893235090657</v>
      </c>
      <c r="S28" s="213">
        <f t="shared" si="8"/>
        <v>0.10010676490934295</v>
      </c>
    </row>
    <row r="29" spans="2:22" x14ac:dyDescent="0.35">
      <c r="B29" s="181">
        <v>8</v>
      </c>
      <c r="C29" s="193">
        <f t="shared" si="5"/>
        <v>1</v>
      </c>
      <c r="D29" s="186">
        <f>D15/$C$15</f>
        <v>0</v>
      </c>
      <c r="E29" s="168">
        <f t="shared" ref="E29:P29" si="15">E15/$C$15</f>
        <v>8.453140143508486E-3</v>
      </c>
      <c r="F29" s="168">
        <f t="shared" si="15"/>
        <v>7.7808080537570129E-3</v>
      </c>
      <c r="G29" s="168">
        <f t="shared" si="15"/>
        <v>1.7331564682409133E-2</v>
      </c>
      <c r="H29" s="168">
        <f t="shared" si="15"/>
        <v>0.87273242530273221</v>
      </c>
      <c r="I29" s="186">
        <f t="shared" si="15"/>
        <v>0</v>
      </c>
      <c r="J29" s="168">
        <f t="shared" si="15"/>
        <v>0</v>
      </c>
      <c r="K29" s="168">
        <f t="shared" si="15"/>
        <v>0</v>
      </c>
      <c r="L29" s="168">
        <f t="shared" si="15"/>
        <v>0</v>
      </c>
      <c r="M29" s="168">
        <f t="shared" si="15"/>
        <v>0</v>
      </c>
      <c r="N29" s="168">
        <f t="shared" si="15"/>
        <v>1.8476462893609928E-2</v>
      </c>
      <c r="O29" s="168">
        <f t="shared" si="15"/>
        <v>0</v>
      </c>
      <c r="P29" s="187">
        <f t="shared" si="15"/>
        <v>7.522559892398327E-2</v>
      </c>
      <c r="R29" s="212">
        <f t="shared" si="7"/>
        <v>0.90629793818240678</v>
      </c>
      <c r="S29" s="213">
        <f t="shared" si="8"/>
        <v>9.3702061817593205E-2</v>
      </c>
    </row>
    <row r="30" spans="2:22" x14ac:dyDescent="0.35">
      <c r="B30" s="181">
        <v>9</v>
      </c>
      <c r="C30" s="193">
        <f t="shared" si="5"/>
        <v>1</v>
      </c>
      <c r="D30" s="186">
        <f>D16/$C$16</f>
        <v>0</v>
      </c>
      <c r="E30" s="168">
        <f t="shared" ref="E30:P30" si="16">E16/$C$16</f>
        <v>7.7834183290211335E-3</v>
      </c>
      <c r="F30" s="168">
        <f t="shared" si="16"/>
        <v>7.164353481908743E-3</v>
      </c>
      <c r="G30" s="168">
        <f t="shared" si="16"/>
        <v>1.563274462149249E-2</v>
      </c>
      <c r="H30" s="168">
        <f t="shared" si="16"/>
        <v>0.88314120909957383</v>
      </c>
      <c r="I30" s="186">
        <f t="shared" si="16"/>
        <v>0</v>
      </c>
      <c r="J30" s="168">
        <f t="shared" si="16"/>
        <v>0</v>
      </c>
      <c r="K30" s="168">
        <f t="shared" si="16"/>
        <v>0</v>
      </c>
      <c r="L30" s="168">
        <f t="shared" si="16"/>
        <v>0</v>
      </c>
      <c r="M30" s="168">
        <f t="shared" si="16"/>
        <v>0</v>
      </c>
      <c r="N30" s="168">
        <f t="shared" si="16"/>
        <v>1.7012617500733147E-2</v>
      </c>
      <c r="O30" s="168">
        <f t="shared" si="16"/>
        <v>0</v>
      </c>
      <c r="P30" s="187">
        <f t="shared" si="16"/>
        <v>6.9265656967270661E-2</v>
      </c>
      <c r="R30" s="212">
        <f t="shared" si="7"/>
        <v>0.91372172553199615</v>
      </c>
      <c r="S30" s="213">
        <f t="shared" si="8"/>
        <v>8.6278274468003804E-2</v>
      </c>
    </row>
    <row r="31" spans="2:22" ht="15" thickBot="1" x14ac:dyDescent="0.4">
      <c r="B31" s="184">
        <v>10</v>
      </c>
      <c r="C31" s="194">
        <f t="shared" si="5"/>
        <v>1</v>
      </c>
      <c r="D31" s="188">
        <f>D17/$C$17</f>
        <v>0</v>
      </c>
      <c r="E31" s="189">
        <f t="shared" ref="E31:P31" si="17">E17/$C$17</f>
        <v>7.223436112503658E-3</v>
      </c>
      <c r="F31" s="189">
        <f t="shared" si="17"/>
        <v>6.6489102186634398E-3</v>
      </c>
      <c r="G31" s="189">
        <f t="shared" si="17"/>
        <v>1.4217877636499187E-2</v>
      </c>
      <c r="H31" s="189">
        <f t="shared" si="17"/>
        <v>0.89183883840934464</v>
      </c>
      <c r="I31" s="188">
        <f t="shared" si="17"/>
        <v>0</v>
      </c>
      <c r="J31" s="189">
        <f t="shared" si="17"/>
        <v>0</v>
      </c>
      <c r="K31" s="189">
        <f t="shared" si="17"/>
        <v>0</v>
      </c>
      <c r="L31" s="189">
        <f t="shared" si="17"/>
        <v>0</v>
      </c>
      <c r="M31" s="189">
        <f t="shared" si="17"/>
        <v>0</v>
      </c>
      <c r="N31" s="189">
        <f t="shared" si="17"/>
        <v>1.5788635587631647E-2</v>
      </c>
      <c r="O31" s="189">
        <f t="shared" si="17"/>
        <v>0</v>
      </c>
      <c r="P31" s="190">
        <f t="shared" si="17"/>
        <v>6.4282302035357425E-2</v>
      </c>
      <c r="R31" s="214">
        <f t="shared" si="7"/>
        <v>0.91992906237701089</v>
      </c>
      <c r="S31" s="215">
        <f t="shared" si="8"/>
        <v>8.0070937622989072E-2</v>
      </c>
    </row>
  </sheetData>
  <mergeCells count="4">
    <mergeCell ref="D6:H6"/>
    <mergeCell ref="I6:P6"/>
    <mergeCell ref="D20:H20"/>
    <mergeCell ref="I20:P2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07B95-8938-4B93-A8E6-BEB315A6661F}">
  <dimension ref="B1:N51"/>
  <sheetViews>
    <sheetView topLeftCell="A28" zoomScale="70" zoomScaleNormal="70" workbookViewId="0">
      <selection activeCell="O25" sqref="O25"/>
    </sheetView>
  </sheetViews>
  <sheetFormatPr defaultRowHeight="14.5" x14ac:dyDescent="0.35"/>
  <cols>
    <col min="2" max="2" width="26" bestFit="1" customWidth="1"/>
    <col min="4" max="4" width="10.453125" customWidth="1"/>
    <col min="9" max="9" width="33.81640625" customWidth="1"/>
    <col min="10" max="10" width="15.54296875" customWidth="1"/>
    <col min="11" max="11" width="10.54296875" bestFit="1" customWidth="1"/>
    <col min="12" max="12" width="11.54296875" bestFit="1" customWidth="1"/>
    <col min="13" max="13" width="14" customWidth="1"/>
    <col min="14" max="14" width="13.26953125" customWidth="1"/>
  </cols>
  <sheetData>
    <row r="1" spans="2:14" s="3" customFormat="1" ht="30" x14ac:dyDescent="0.6">
      <c r="B1" s="2" t="s">
        <v>164</v>
      </c>
    </row>
    <row r="4" spans="2:14" x14ac:dyDescent="0.35">
      <c r="B4" s="45" t="s">
        <v>212</v>
      </c>
      <c r="C4" s="70"/>
      <c r="D4" s="70"/>
      <c r="E4" s="70"/>
      <c r="F4" s="70"/>
      <c r="G4" s="70"/>
      <c r="H4" s="70"/>
      <c r="I4" s="70"/>
      <c r="J4" s="46"/>
      <c r="K4" s="46"/>
      <c r="L4" s="46"/>
      <c r="M4" s="46"/>
      <c r="N4" s="70"/>
    </row>
    <row r="6" spans="2:14" ht="26" x14ac:dyDescent="0.35">
      <c r="B6" s="35" t="s">
        <v>46</v>
      </c>
      <c r="C6" s="36" t="s">
        <v>37</v>
      </c>
      <c r="D6" s="37" t="s">
        <v>39</v>
      </c>
      <c r="E6" s="37" t="s">
        <v>207</v>
      </c>
      <c r="F6" s="37" t="s">
        <v>40</v>
      </c>
      <c r="I6" s="35" t="s">
        <v>162</v>
      </c>
      <c r="J6" s="36" t="s">
        <v>37</v>
      </c>
      <c r="K6" s="37" t="s">
        <v>39</v>
      </c>
      <c r="L6" s="37" t="s">
        <v>207</v>
      </c>
      <c r="M6" s="37" t="s">
        <v>40</v>
      </c>
    </row>
    <row r="7" spans="2:14" x14ac:dyDescent="0.35">
      <c r="B7" s="61" t="s">
        <v>6</v>
      </c>
      <c r="C7" s="89">
        <v>10</v>
      </c>
      <c r="D7" s="38">
        <f>C7/'Basic Input'!$C$93</f>
        <v>5.3333333333333332E-3</v>
      </c>
      <c r="E7" s="91">
        <v>9</v>
      </c>
      <c r="F7" s="39">
        <f>C7*(IF(E7=2,'Basic Input'!$C$95,IF(E7=3,'Basic Input'!$C$96,IF(E7=4,'Basic Input'!$C$97,IF(E7=5,'Basic Input'!$C$98,IF(E7=6,'Basic Input'!$C$99,IF(E7=7,'Basic Input'!$C$100,IF(E7=8,'Basic Input'!$C$101,IF(E7=9,'Basic Input'!$C$102,IF(E7=10,'Basic Input'!$C$103,IF(E7=I12,'Basic Input'!$C$104,IF(E7=11,'Basic Input'!$C$105,IF(E7=I15,'Basic Input'!$C$106,IF(E7=12,'Basic Input'!$C$107,IF(E7=0,'Basic Input'!$C$108)))))))))))))))</f>
        <v>253.952</v>
      </c>
      <c r="I7" s="61" t="s">
        <v>6</v>
      </c>
      <c r="J7" s="41">
        <f>C7*'Basic Input'!$C$10</f>
        <v>10000</v>
      </c>
      <c r="K7" s="42">
        <f>J7/'Basic Input'!$C$93</f>
        <v>5.333333333333333</v>
      </c>
      <c r="L7" s="43">
        <f>E7</f>
        <v>9</v>
      </c>
      <c r="M7" s="39">
        <f>J7*(IF(L7=2,'Basic Input'!$C$95,IF(L7=3,'Basic Input'!$C$96,IF(L7=4,'Basic Input'!$C$97,IF(L7=5,'Basic Input'!$C$98,IF(L7=6,'Basic Input'!$C$99,IF(L7=7,'Basic Input'!$C$100,IF(L7=8,'Basic Input'!$C$101,IF(L7=9,'Basic Input'!$C$102,IF(L7=10,'Basic Input'!$C$103,IF(L7=I15,'Basic Input'!$C$104,IF(L7=11,'Basic Input'!$C$105,IF(L7=B23,'Basic Input'!$C$106,IF(L7=12,'Basic Input'!$C$107,IF(L7=0,'Basic Input'!$C$108)))))))))))))))</f>
        <v>253952</v>
      </c>
    </row>
    <row r="8" spans="2:14" x14ac:dyDescent="0.35">
      <c r="B8" s="62" t="s">
        <v>44</v>
      </c>
      <c r="C8" s="90">
        <v>1</v>
      </c>
      <c r="D8" s="38">
        <f>C8/'Basic Input'!$C$93</f>
        <v>5.3333333333333336E-4</v>
      </c>
      <c r="E8" s="91">
        <v>9</v>
      </c>
      <c r="F8" s="39">
        <f>C8*(IF(E8=2,'Basic Input'!$C$95,IF(E8=3,'Basic Input'!$C$96,IF(E8=4,'Basic Input'!$C$97,IF(E8=5,'Basic Input'!$C$98,IF(E8=6,'Basic Input'!$C$99,IF(E8=7,'Basic Input'!$C$100,IF(E8=8,'Basic Input'!$C$101,IF(E8=9,'Basic Input'!$C$102,IF(E8=10,'Basic Input'!$C$103,IF(E8=I13,'Basic Input'!$C$104,IF(E8=11,'Basic Input'!$C$105,IF(E8=B16,'Basic Input'!$C$106,IF(E8=12,'Basic Input'!$C$107,IF(E8=0,'Basic Input'!$C$108)))))))))))))))</f>
        <v>25.395199999999999</v>
      </c>
      <c r="I8" s="62" t="s">
        <v>44</v>
      </c>
      <c r="J8" s="165">
        <f>C8</f>
        <v>1</v>
      </c>
      <c r="K8" s="42">
        <f>J8/'Basic Input'!$C$93</f>
        <v>5.3333333333333336E-4</v>
      </c>
      <c r="L8" s="43">
        <f>E8</f>
        <v>9</v>
      </c>
      <c r="M8" s="39">
        <f>J8*(IF(L8=2,'Basic Input'!$C$95,IF(L8=3,'Basic Input'!$C$96,IF(L8=4,'Basic Input'!$C$97,IF(L8=5,'Basic Input'!$C$98,IF(L8=6,'Basic Input'!$C$99,IF(L8=7,'Basic Input'!$C$100,IF(L8=8,'Basic Input'!$C$101,IF(L8=9,'Basic Input'!$C$102,IF(L8=10,'Basic Input'!$C$103,IF(L8=B16,'Basic Input'!$C$104,IF(L8=11,'Basic Input'!$C$105,IF(L8=B24,'Basic Input'!$C$106,IF(L8=12,'Basic Input'!$C$107,IF(L8=0,'Basic Input'!$C$108)))))))))))))))</f>
        <v>25.395199999999999</v>
      </c>
    </row>
    <row r="9" spans="2:14" x14ac:dyDescent="0.35">
      <c r="B9" s="63"/>
      <c r="C9" s="90"/>
      <c r="D9" s="38">
        <f>C9/'Basic Input'!$C$93</f>
        <v>0</v>
      </c>
      <c r="E9" s="91"/>
      <c r="F9" s="39">
        <f>C9*(IF(E9=2,'Basic Input'!$C$95,IF(E9=3,'Basic Input'!$C$96,IF(E9=4,'Basic Input'!$C$97,IF(E9=5,'Basic Input'!$C$98,IF(E9=6,'Basic Input'!$C$99,IF(E9=7,'Basic Input'!$C$100,IF(E9=8,'Basic Input'!$C$101,IF(E9=9,'Basic Input'!$C$102,IF(E9=10,'Basic Input'!$C$103,IF(E9=I6,'Basic Input'!$C$104,IF(E9=11,'Basic Input'!$C$105,IF(E9=I17,'Basic Input'!$C$106,IF(E9=12,'Basic Input'!$C$107,IF(E9=0,'Basic Input'!$C$108)))))))))))))))</f>
        <v>0</v>
      </c>
      <c r="I9" s="63"/>
      <c r="J9" s="44"/>
      <c r="K9" s="42"/>
      <c r="L9" s="43">
        <f>E9</f>
        <v>0</v>
      </c>
      <c r="M9" s="39">
        <f>J9*(IF(L9=2,'Basic Input'!$C$95,IF(L9=3,'Basic Input'!$C$96,IF(L9=4,'Basic Input'!$C$97,IF(L9=5,'Basic Input'!$C$98,IF(L9=6,'Basic Input'!$C$99,IF(L9=7,'Basic Input'!$C$100,IF(L9=8,'Basic Input'!$C$101,IF(L9=9,'Basic Input'!$C$102,IF(L9=10,'Basic Input'!$C$103,IF(L9=I17,'Basic Input'!$C$104,IF(L9=11,'Basic Input'!$C$105,IF(L9=B25,'Basic Input'!$C$106,IF(L9=12,'Basic Input'!$C$107,IF(L9=0,'Basic Input'!$C$108)))))))))))))))</f>
        <v>0</v>
      </c>
    </row>
    <row r="10" spans="2:14" ht="15" thickBot="1" x14ac:dyDescent="0.4">
      <c r="B10" s="63"/>
      <c r="C10" s="90"/>
      <c r="D10" s="38">
        <f>C10/'Basic Input'!$C$93</f>
        <v>0</v>
      </c>
      <c r="E10" s="91"/>
      <c r="F10" s="39">
        <f>C10*(IF(E10=2,'Basic Input'!$C$95,IF(E10=3,'Basic Input'!$C$96,IF(E10=4,'Basic Input'!$C$97,IF(E10=5,'Basic Input'!$C$98,IF(E10=6,'Basic Input'!$C$99,IF(E10=7,'Basic Input'!$C$100,IF(E10=8,'Basic Input'!$C$101,IF(E10=9,'Basic Input'!$C$102,IF(E10=10,'Basic Input'!$C$103,IF(E10=I7,'Basic Input'!$C$104,IF(E10=11,'Basic Input'!$C$105,IF(E10=B18,'Basic Input'!$C$106,IF(E10=12,'Basic Input'!$C$107,IF(E10=0,'Basic Input'!$C$108)))))))))))))))</f>
        <v>0</v>
      </c>
      <c r="I10" s="88"/>
      <c r="J10" s="44"/>
      <c r="K10" s="42"/>
      <c r="L10" s="43">
        <f>E10</f>
        <v>0</v>
      </c>
      <c r="M10" s="39">
        <f>J10*(IF(L10=2,'Basic Input'!$C$95,IF(L10=3,'Basic Input'!$C$96,IF(L10=4,'Basic Input'!$C$97,IF(L10=5,'Basic Input'!$C$98,IF(L10=6,'Basic Input'!$C$99,IF(L10=7,'Basic Input'!$C$100,IF(L10=8,'Basic Input'!$C$101,IF(L10=9,'Basic Input'!$C$102,IF(L10=10,'Basic Input'!$C$103,IF(L10=B18,'Basic Input'!$C$104,IF(L10=11,'Basic Input'!$C$105,IF(L10=B26,'Basic Input'!$C$106,IF(L10=12,'Basic Input'!$C$107,IF(L10=0,'Basic Input'!$C$108)))))))))))))))</f>
        <v>0</v>
      </c>
    </row>
    <row r="11" spans="2:14" ht="15" thickBot="1" x14ac:dyDescent="0.4">
      <c r="B11" s="244" t="s">
        <v>49</v>
      </c>
      <c r="C11" s="248">
        <f>SUM(C7:C10)</f>
        <v>11</v>
      </c>
      <c r="D11" s="261"/>
      <c r="E11" s="47"/>
      <c r="F11" s="48">
        <f>SUM(F7:F10)</f>
        <v>279.34719999999999</v>
      </c>
      <c r="I11" s="51" t="s">
        <v>50</v>
      </c>
      <c r="J11" s="50">
        <f>SUM(J7:J10)</f>
        <v>10001</v>
      </c>
      <c r="K11" s="261"/>
      <c r="L11" s="47"/>
      <c r="M11" s="48">
        <f>SUM(M7:M10)</f>
        <v>253977.3952</v>
      </c>
    </row>
    <row r="14" spans="2:14" x14ac:dyDescent="0.35">
      <c r="I14" s="55"/>
      <c r="J14" s="56"/>
      <c r="K14" s="57"/>
      <c r="L14" s="58"/>
      <c r="M14" s="59"/>
    </row>
    <row r="16" spans="2:14" x14ac:dyDescent="0.35">
      <c r="B16" s="45" t="s">
        <v>42</v>
      </c>
      <c r="C16" s="70"/>
      <c r="D16" s="70"/>
      <c r="E16" s="70"/>
      <c r="F16" s="70"/>
      <c r="G16" s="70"/>
      <c r="H16" s="70"/>
      <c r="I16" s="70"/>
      <c r="J16" s="46"/>
      <c r="K16" s="46"/>
      <c r="L16" s="46"/>
      <c r="M16" s="46"/>
      <c r="N16" s="70"/>
    </row>
    <row r="18" spans="2:13" ht="26" x14ac:dyDescent="0.35">
      <c r="B18" s="35" t="s">
        <v>46</v>
      </c>
      <c r="C18" s="36" t="s">
        <v>37</v>
      </c>
      <c r="D18" s="37" t="s">
        <v>39</v>
      </c>
      <c r="E18" s="37" t="s">
        <v>207</v>
      </c>
      <c r="F18" s="37" t="s">
        <v>40</v>
      </c>
      <c r="I18" s="35" t="s">
        <v>47</v>
      </c>
      <c r="J18" s="53" t="s">
        <v>37</v>
      </c>
      <c r="K18" s="54" t="s">
        <v>39</v>
      </c>
      <c r="L18" s="37" t="s">
        <v>207</v>
      </c>
      <c r="M18" s="37" t="s">
        <v>40</v>
      </c>
    </row>
    <row r="19" spans="2:13" x14ac:dyDescent="0.35">
      <c r="B19" s="61" t="s">
        <v>9</v>
      </c>
      <c r="C19" s="89">
        <v>2</v>
      </c>
      <c r="D19" s="38">
        <f>C19/'Basic Input'!$C$93</f>
        <v>1.0666666666666667E-3</v>
      </c>
      <c r="E19" s="91">
        <v>5</v>
      </c>
      <c r="F19" s="39">
        <f>C19*(IF(E19=2,'Basic Input'!$C$95,IF(E19=3,'Basic Input'!$C$96,IF(E19=4,'Basic Input'!$C$97,IF(E19=5,'Basic Input'!$C$98,IF(E19=6,'Basic Input'!$C$99,IF(E19=7,'Basic Input'!$C$100,IF(E19=8,'Basic Input'!$C$101,IF(E19=9,'Basic Input'!$C$102,IF(E19=10,'Basic Input'!$C$103,IF(E19=B24,'Basic Input'!$C$104,IF(E19=11,'Basic Input'!$C$105,IF(E19=B25,'Basic Input'!$C$106,IF(E19=12,'Basic Input'!$C$107,IF(E19=0,'Basic Input'!$C$108)))))))))))))))</f>
        <v>34.700800000000001</v>
      </c>
      <c r="I19" s="84" t="s">
        <v>9</v>
      </c>
      <c r="J19" s="78">
        <f>C19*'Basic Input'!$C$10</f>
        <v>2000</v>
      </c>
      <c r="K19" s="79">
        <f>J19/'Basic Input'!$C$93</f>
        <v>1.0666666666666667</v>
      </c>
      <c r="L19" s="43">
        <v>4</v>
      </c>
      <c r="M19" s="39">
        <f>J19*(IF(L19=2,'Basic Input'!$C$95,IF(L19=3,'Basic Input'!$C$96,IF(L19=4,'Basic Input'!$C$97,IF(L19=5,'Basic Input'!$C$98,IF(L19=6,'Basic Input'!$C$99,IF(L19=7,'Basic Input'!$C$100,IF(L19=8,'Basic Input'!$C$101,IF(L19=9,'Basic Input'!$C$102,IF(L19=10,'Basic Input'!$C$103,IF(L19=I24,'Basic Input'!$C$104,IF(L19=11,'Basic Input'!$C$105,IF(L19=I25,'Basic Input'!$C$106,IF(L19=12,'Basic Input'!$C$107,IF(L19=0,'Basic Input'!$C$108)))))))))))))))</f>
        <v>32960</v>
      </c>
    </row>
    <row r="20" spans="2:13" x14ac:dyDescent="0.35">
      <c r="B20" s="62" t="s">
        <v>10</v>
      </c>
      <c r="C20" s="90">
        <v>1</v>
      </c>
      <c r="D20" s="38">
        <f>C20/'Basic Input'!$C$93</f>
        <v>5.3333333333333336E-4</v>
      </c>
      <c r="E20" s="91">
        <v>5</v>
      </c>
      <c r="F20" s="39">
        <f>C20*(IF(E20=2,'Basic Input'!$C$95,IF(E20=3,'Basic Input'!$C$96,IF(E20=4,'Basic Input'!$C$97,IF(E20=5,'Basic Input'!$C$98,IF(E20=6,'Basic Input'!$C$99,IF(E20=7,'Basic Input'!$C$100,IF(E20=8,'Basic Input'!$C$101,IF(E20=9,'Basic Input'!$C$102,IF(E20=10,'Basic Input'!$C$103,IF(E20=B25,'Basic Input'!$C$104,IF(E20=11,'Basic Input'!$C$105,IF(E20=B26,'Basic Input'!$C$106,IF(E20=12,'Basic Input'!$C$107,IF(E20=0,'Basic Input'!$C$108)))))))))))))))</f>
        <v>17.3504</v>
      </c>
      <c r="I20" s="85" t="s">
        <v>10</v>
      </c>
      <c r="J20" s="80">
        <f>C20*'Basic Input'!$C$10</f>
        <v>1000</v>
      </c>
      <c r="K20" s="81">
        <f>J20/'Basic Input'!$C$93</f>
        <v>0.53333333333333333</v>
      </c>
      <c r="L20" s="43">
        <v>4</v>
      </c>
      <c r="M20" s="39">
        <f>J20*(IF(L20=2,'Basic Input'!$C$95,IF(L20=3,'Basic Input'!$C$96,IF(L20=4,'Basic Input'!$C$97,IF(L20=5,'Basic Input'!$C$98,IF(L20=6,'Basic Input'!$C$99,IF(L20=7,'Basic Input'!$C$100,IF(L20=8,'Basic Input'!$C$101,IF(L20=9,'Basic Input'!$C$102,IF(L20=10,'Basic Input'!$C$103,IF(L20=I25,'Basic Input'!$C$104,IF(L20=11,'Basic Input'!$C$105,IF(L20=I26,'Basic Input'!$C$106,IF(L20=12,'Basic Input'!$C$107,IF(L20=0,'Basic Input'!$C$108)))))))))))))))</f>
        <v>16480</v>
      </c>
    </row>
    <row r="21" spans="2:13" x14ac:dyDescent="0.35">
      <c r="B21" s="63"/>
      <c r="C21" s="90"/>
      <c r="D21" s="38">
        <f>C21/'Basic Input'!$C$93</f>
        <v>0</v>
      </c>
      <c r="E21" s="91"/>
      <c r="F21" s="39">
        <f>C21*(IF(E21=2,'Basic Input'!$C$95,IF(E21=3,'Basic Input'!$C$96,IF(E21=4,'Basic Input'!$C$97,IF(E21=5,'Basic Input'!$C$98,IF(E21=6,'Basic Input'!$C$99,IF(E21=7,'Basic Input'!$C$100,IF(E21=8,'Basic Input'!$C$101,IF(E21=9,'Basic Input'!$C$102,IF(E21=10,'Basic Input'!$C$103,IF(E21=B26,'Basic Input'!$C$104,IF(E21=11,'Basic Input'!$C$105,IF(E21=B27,'Basic Input'!$C$106,IF(E21=12,'Basic Input'!$C$107,IF(E21=0,'Basic Input'!$C$108)))))))))))))))</f>
        <v>0</v>
      </c>
      <c r="I21" s="86"/>
      <c r="J21" s="80">
        <f>C21*'Basic Input'!$C$10</f>
        <v>0</v>
      </c>
      <c r="K21" s="81">
        <f>J21/'Basic Input'!$C$93</f>
        <v>0</v>
      </c>
      <c r="L21" s="43">
        <v>4</v>
      </c>
      <c r="M21" s="39">
        <f>J21*(IF(L21=2,'Basic Input'!$C$95,IF(L21=3,'Basic Input'!$C$96,IF(L21=4,'Basic Input'!$C$97,IF(L21=5,'Basic Input'!$C$98,IF(L21=6,'Basic Input'!$C$99,IF(L21=7,'Basic Input'!$C$100,IF(L21=8,'Basic Input'!$C$101,IF(L21=9,'Basic Input'!$C$102,IF(L21=10,'Basic Input'!$C$103,IF(L21=I26,'Basic Input'!$C$104,IF(L21=11,'Basic Input'!$C$105,IF(L21=I27,'Basic Input'!$C$106,IF(L21=12,'Basic Input'!$C$107,IF(L21=0,'Basic Input'!$C$108)))))))))))))))</f>
        <v>0</v>
      </c>
    </row>
    <row r="22" spans="2:13" ht="15" thickBot="1" x14ac:dyDescent="0.4">
      <c r="B22" s="63"/>
      <c r="C22" s="90"/>
      <c r="D22" s="38">
        <f>C22/'Basic Input'!$C$93</f>
        <v>0</v>
      </c>
      <c r="E22" s="91"/>
      <c r="F22" s="39">
        <f>C22*(IF(E22=2,'Basic Input'!$C$95,IF(E22=3,'Basic Input'!$C$96,IF(E22=4,'Basic Input'!$C$97,IF(E22=5,'Basic Input'!$C$98,IF(E22=6,'Basic Input'!$C$99,IF(E22=7,'Basic Input'!$C$100,IF(E22=8,'Basic Input'!$C$101,IF(E22=9,'Basic Input'!$C$102,IF(E22=10,'Basic Input'!$C$103,IF(E22=B27,'Basic Input'!$C$104,IF(E22=11,'Basic Input'!$C$105,IF(E22=#REF!,'Basic Input'!$C$106,IF(E22=12,'Basic Input'!$C$107,IF(E22=0,'Basic Input'!$C$108)))))))))))))))</f>
        <v>0</v>
      </c>
      <c r="I22" s="87"/>
      <c r="J22" s="82"/>
      <c r="K22" s="83">
        <f>J22/'Basic Input'!$C$93</f>
        <v>0</v>
      </c>
      <c r="L22" s="43">
        <v>4</v>
      </c>
      <c r="M22" s="39">
        <f>J22*(IF(L22=2,'Basic Input'!$C$95,IF(L22=3,'Basic Input'!$C$96,IF(L22=4,'Basic Input'!$C$97,IF(L22=5,'Basic Input'!$C$98,IF(L22=6,'Basic Input'!$C$99,IF(L22=7,'Basic Input'!$C$100,IF(L22=8,'Basic Input'!$C$101,IF(L22=9,'Basic Input'!$C$102,IF(L22=10,'Basic Input'!$C$103,IF(L22=I27,'Basic Input'!$C$104,IF(L22=11,'Basic Input'!$C$105,IF(L22=#REF!,'Basic Input'!$C$106,IF(L22=12,'Basic Input'!$C$107,IF(L22=0,'Basic Input'!$C$108)))))))))))))))</f>
        <v>0</v>
      </c>
    </row>
    <row r="23" spans="2:13" ht="15" thickBot="1" x14ac:dyDescent="0.4">
      <c r="B23" s="244" t="s">
        <v>41</v>
      </c>
      <c r="C23" s="248">
        <f>SUM(C19:C22)</f>
        <v>3</v>
      </c>
      <c r="D23" s="261"/>
      <c r="E23" s="47"/>
      <c r="F23" s="48">
        <f>SUM(F19:F22)</f>
        <v>52.051200000000001</v>
      </c>
      <c r="I23" s="51" t="s">
        <v>41</v>
      </c>
      <c r="J23" s="49">
        <f>SUM(J19:J22)</f>
        <v>3000</v>
      </c>
      <c r="K23" s="262"/>
      <c r="L23" s="263"/>
      <c r="M23" s="48">
        <f>SUM(M19:M22)</f>
        <v>49440</v>
      </c>
    </row>
    <row r="25" spans="2:13" x14ac:dyDescent="0.35">
      <c r="B25" s="35" t="s">
        <v>48</v>
      </c>
      <c r="C25" s="36" t="s">
        <v>43</v>
      </c>
      <c r="I25" s="35" t="s">
        <v>51</v>
      </c>
      <c r="J25" s="36" t="s">
        <v>43</v>
      </c>
    </row>
    <row r="26" spans="2:13" x14ac:dyDescent="0.35">
      <c r="B26" s="61" t="s">
        <v>29</v>
      </c>
      <c r="C26" s="66">
        <f>'Basic Input'!C25*'Basic Input'!D25</f>
        <v>12</v>
      </c>
      <c r="I26" s="61" t="s">
        <v>29</v>
      </c>
      <c r="J26" s="66">
        <f>C26*'Basic Input'!$C$10</f>
        <v>12000</v>
      </c>
    </row>
    <row r="27" spans="2:13" ht="15" thickBot="1" x14ac:dyDescent="0.4">
      <c r="B27" s="62"/>
      <c r="C27" s="44"/>
      <c r="I27" s="62"/>
      <c r="J27" s="44"/>
    </row>
    <row r="28" spans="2:13" ht="15" thickBot="1" x14ac:dyDescent="0.4">
      <c r="B28" s="237" t="s">
        <v>41</v>
      </c>
      <c r="C28" s="238">
        <f>SUM(C26:C27)</f>
        <v>12</v>
      </c>
      <c r="I28" s="237" t="s">
        <v>41</v>
      </c>
      <c r="J28" s="238">
        <f>SUM(J26:J27)</f>
        <v>12000</v>
      </c>
    </row>
    <row r="33" spans="2:14" x14ac:dyDescent="0.35">
      <c r="B33" s="45" t="s">
        <v>54</v>
      </c>
      <c r="C33" s="70"/>
      <c r="D33" s="70"/>
      <c r="E33" s="70"/>
      <c r="F33" s="70"/>
      <c r="G33" s="70"/>
      <c r="H33" s="70"/>
      <c r="I33" s="70"/>
      <c r="J33" s="46"/>
      <c r="K33" s="46"/>
      <c r="L33" s="46"/>
      <c r="M33" s="46"/>
      <c r="N33" s="70"/>
    </row>
    <row r="35" spans="2:14" ht="26" x14ac:dyDescent="0.35">
      <c r="B35" s="60" t="s">
        <v>46</v>
      </c>
      <c r="C35" s="36" t="s">
        <v>37</v>
      </c>
      <c r="D35" s="37" t="s">
        <v>39</v>
      </c>
      <c r="E35" s="37" t="s">
        <v>207</v>
      </c>
      <c r="F35" s="37" t="s">
        <v>40</v>
      </c>
      <c r="I35" s="35" t="s">
        <v>47</v>
      </c>
      <c r="J35" s="36" t="s">
        <v>37</v>
      </c>
      <c r="K35" s="37" t="s">
        <v>39</v>
      </c>
      <c r="L35" s="37" t="s">
        <v>207</v>
      </c>
      <c r="M35" s="37" t="s">
        <v>40</v>
      </c>
    </row>
    <row r="36" spans="2:14" x14ac:dyDescent="0.35">
      <c r="B36" s="61"/>
      <c r="C36" s="91"/>
      <c r="D36" s="38"/>
      <c r="E36" s="91"/>
      <c r="F36" s="39"/>
      <c r="I36" s="61"/>
      <c r="J36" s="43"/>
      <c r="K36" s="42"/>
      <c r="L36" s="43"/>
      <c r="M36" s="39"/>
    </row>
    <row r="37" spans="2:14" x14ac:dyDescent="0.35">
      <c r="B37" s="63" t="s">
        <v>52</v>
      </c>
      <c r="C37" s="92">
        <v>2</v>
      </c>
      <c r="D37" s="38">
        <f>C37/'Basic Input'!$C$93</f>
        <v>1.0666666666666667E-3</v>
      </c>
      <c r="E37" s="91">
        <v>6</v>
      </c>
      <c r="F37" s="39">
        <f>C37*(IF(E37=2,'Basic Input'!$C$95,IF(E37=3,'Basic Input'!$C$96,IF(E37=4,'Basic Input'!$C$97,IF(E37=5,'Basic Input'!$C$98,IF(E37=6,'Basic Input'!$C$99,IF(E37=7,'Basic Input'!$C$100,IF(E37=8,'Basic Input'!$C$101,IF(E37=9,'Basic Input'!$C$102,IF(E37=10,'Basic Input'!$C$103,IF(E37=I35,'Basic Input'!$C$104,IF(E37=11,'Basic Input'!$C$105,IF(E37=I36,'Basic Input'!$C$106,IF(E37=12,'Basic Input'!$C$107,IF(E37=0,'Basic Input'!$C$108)))))))))))))))</f>
        <v>36.428800000000003</v>
      </c>
      <c r="I37" s="63" t="s">
        <v>52</v>
      </c>
      <c r="J37" s="43">
        <f>C37*'Basic Input'!$C$10</f>
        <v>2000</v>
      </c>
      <c r="K37" s="42">
        <f>J37/'Basic Input'!$C$93</f>
        <v>1.0666666666666667</v>
      </c>
      <c r="L37" s="43">
        <v>6</v>
      </c>
      <c r="M37" s="39">
        <f>J37*(IF(L37=2,'Basic Input'!$C$95,IF(L37=3,'Basic Input'!$C$96,IF(L37=4,'Basic Input'!$C$97,IF(L37=5,'Basic Input'!$C$98,IF(L37=6,'Basic Input'!$C$99,IF(L37=7,'Basic Input'!$C$100,IF(L37=8,'Basic Input'!$C$101,IF(L37=9,'Basic Input'!$C$102,IF(L37=10,'Basic Input'!$C$103,IF(L37=I44,'Basic Input'!$C$104,IF(L37=11,'Basic Input'!$C$105,IF(L37=B45,'Basic Input'!$C$106,IF(L37=12,'Basic Input'!$C$107,IF(L37=0,'Basic Input'!$C$108)))))))))))))))</f>
        <v>36428.800000000003</v>
      </c>
    </row>
    <row r="38" spans="2:14" x14ac:dyDescent="0.35">
      <c r="B38" s="63" t="s">
        <v>53</v>
      </c>
      <c r="C38" s="92">
        <v>1</v>
      </c>
      <c r="D38" s="38">
        <f>C38/'Basic Input'!$C$93</f>
        <v>5.3333333333333336E-4</v>
      </c>
      <c r="E38" s="91">
        <v>8</v>
      </c>
      <c r="F38" s="39">
        <f>C38*(IF(E38=2,'Basic Input'!$C$95,IF(E38=3,'Basic Input'!$C$96,IF(E38=4,'Basic Input'!$C$97,IF(E38=5,'Basic Input'!$C$98,IF(E38=6,'Basic Input'!$C$99,IF(E38=7,'Basic Input'!$C$100,IF(E38=8,'Basic Input'!$C$101,IF(E38=9,'Basic Input'!$C$102,IF(E38=10,'Basic Input'!$C$103,IF(E38=I36,'Basic Input'!$C$104,IF(E38=11,'Basic Input'!$C$105,IF(E38=I37,'Basic Input'!$C$106,IF(E38=12,'Basic Input'!$C$107,IF(E38=0,'Basic Input'!$C$108)))))))))))))))</f>
        <v>22.527999999999999</v>
      </c>
      <c r="I38" s="63" t="s">
        <v>53</v>
      </c>
      <c r="J38" s="43">
        <f>C38*'Basic Input'!$C$10</f>
        <v>1000</v>
      </c>
      <c r="K38" s="42">
        <f>J38/'Basic Input'!$C$93</f>
        <v>0.53333333333333333</v>
      </c>
      <c r="L38" s="43">
        <v>8</v>
      </c>
      <c r="M38" s="39">
        <f>J38*(IF(L38=2,'Basic Input'!$C$95,IF(L38=3,'Basic Input'!$C$96,IF(L38=4,'Basic Input'!$C$97,IF(L38=5,'Basic Input'!$C$98,IF(L38=6,'Basic Input'!$C$99,IF(L38=7,'Basic Input'!$C$100,IF(L38=8,'Basic Input'!$C$101,IF(L38=9,'Basic Input'!$C$102,IF(L38=10,'Basic Input'!$C$103,IF(L38=B45,'Basic Input'!$C$104,IF(L38=11,'Basic Input'!$C$105,IF(L38=I46,'Basic Input'!$C$106,IF(L38=12,'Basic Input'!$C$107,IF(L38=0,'Basic Input'!$C$108)))))))))))))))</f>
        <v>22528</v>
      </c>
    </row>
    <row r="39" spans="2:14" x14ac:dyDescent="0.35">
      <c r="B39" s="63"/>
      <c r="C39" s="93"/>
      <c r="D39" s="38"/>
      <c r="E39" s="91"/>
      <c r="F39" s="39">
        <f>C39*(IF(E39=2,'Basic Input'!$C$95,IF(E39=3,'Basic Input'!$C$96,IF(E39=4,'Basic Input'!$C$97,IF(E39=5,'Basic Input'!$C$98,IF(E39=6,'Basic Input'!$C$99,IF(E39=7,'Basic Input'!$C$100,IF(E39=8,'Basic Input'!$C$101,IF(E39=9,'Basic Input'!$C$102,IF(E39=10,'Basic Input'!$C$103,IF(E39=I37,'Basic Input'!$C$104,IF(E39=11,'Basic Input'!$C$105,IF(E39=I38,'Basic Input'!$C$106,IF(E39=12,'Basic Input'!$C$107,IF(E39=0,'Basic Input'!$C$108)))))))))))))))</f>
        <v>0</v>
      </c>
      <c r="I39" s="63"/>
      <c r="J39" s="94"/>
      <c r="K39" s="42"/>
      <c r="L39" s="43"/>
      <c r="M39" s="39"/>
    </row>
    <row r="40" spans="2:14" ht="15" thickBot="1" x14ac:dyDescent="0.4">
      <c r="B40" s="63"/>
      <c r="C40" s="93"/>
      <c r="D40" s="38">
        <f>C40/'Basic Input'!$C$93</f>
        <v>0</v>
      </c>
      <c r="E40" s="91"/>
      <c r="F40" s="39">
        <f>C40*(IF(E40=2,'Basic Input'!$C$95,IF(E40=3,'Basic Input'!$C$96,IF(E40=4,'Basic Input'!$C$97,IF(E40=5,'Basic Input'!$C$98,IF(E40=6,'Basic Input'!$C$99,IF(E40=7,'Basic Input'!$C$100,IF(E40=8,'Basic Input'!$C$101,IF(E40=9,'Basic Input'!$C$102,IF(E40=10,'Basic Input'!$C$103,IF(E40=I38,'Basic Input'!$C$104,IF(E40=11,'Basic Input'!$C$105,IF(E40=I39,'Basic Input'!$C$106,IF(E40=12,'Basic Input'!$C$107,IF(E40=0,'Basic Input'!$C$108)))))))))))))))</f>
        <v>0</v>
      </c>
      <c r="I40" s="63"/>
      <c r="J40" s="94"/>
      <c r="K40" s="42">
        <f>J40/'Basic Input'!$C$93</f>
        <v>0</v>
      </c>
      <c r="L40" s="43"/>
      <c r="M40" s="39">
        <f>J40*(IF(L40=2,'Basic Input'!$C$95,IF(L40=3,'Basic Input'!$C$96,IF(L40=4,'Basic Input'!$C$97,IF(L40=5,'Basic Input'!$C$98,IF(L40=6,'Basic Input'!$C$99,IF(L40=7,'Basic Input'!$C$100,IF(L40=8,'Basic Input'!$C$101,IF(L40=9,'Basic Input'!$C$102,IF(L40=10,'Basic Input'!$C$103,IF(L40=I46,'Basic Input'!$C$104,IF(L40=11,'Basic Input'!$C$105,IF(L40=#REF!,'Basic Input'!$C$106,IF(L40=12,'Basic Input'!$C$107,IF(L40=0,'Basic Input'!$C$108)))))))))))))))</f>
        <v>0</v>
      </c>
    </row>
    <row r="41" spans="2:14" ht="15" thickBot="1" x14ac:dyDescent="0.4">
      <c r="B41" s="244" t="s">
        <v>41</v>
      </c>
      <c r="C41" s="248">
        <f>SUM(C36:C40)</f>
        <v>3</v>
      </c>
      <c r="D41" s="261"/>
      <c r="E41" s="47"/>
      <c r="F41" s="48">
        <f>SUM(F36:F40)</f>
        <v>58.956800000000001</v>
      </c>
      <c r="I41" s="244" t="s">
        <v>41</v>
      </c>
      <c r="J41" s="248">
        <f>SUM(J36:J40)</f>
        <v>3000</v>
      </c>
      <c r="K41" s="261"/>
      <c r="L41" s="47"/>
      <c r="M41" s="48">
        <f>SUM(M36:M40)</f>
        <v>58956.800000000003</v>
      </c>
    </row>
    <row r="45" spans="2:14" x14ac:dyDescent="0.35">
      <c r="B45" s="45" t="s">
        <v>55</v>
      </c>
      <c r="C45" s="70"/>
      <c r="D45" s="70"/>
      <c r="E45" s="70"/>
      <c r="F45" s="70"/>
      <c r="G45" s="70"/>
      <c r="H45" s="70"/>
      <c r="I45" s="70"/>
      <c r="J45" s="46"/>
      <c r="K45" s="46"/>
      <c r="L45" s="46"/>
      <c r="M45" s="46"/>
      <c r="N45" s="70"/>
    </row>
    <row r="47" spans="2:14" ht="26.5" x14ac:dyDescent="0.35">
      <c r="B47" s="254" t="s">
        <v>46</v>
      </c>
      <c r="C47" s="249" t="s">
        <v>40</v>
      </c>
      <c r="D47" s="250" t="s">
        <v>56</v>
      </c>
      <c r="E47" s="111" t="s">
        <v>222</v>
      </c>
      <c r="I47" s="254" t="s">
        <v>47</v>
      </c>
      <c r="J47" s="249" t="s">
        <v>40</v>
      </c>
      <c r="K47" s="249" t="s">
        <v>56</v>
      </c>
      <c r="L47" s="111" t="s">
        <v>222</v>
      </c>
    </row>
    <row r="48" spans="2:14" x14ac:dyDescent="0.35">
      <c r="B48" s="61" t="s">
        <v>229</v>
      </c>
      <c r="C48" s="66">
        <f>F11</f>
        <v>279.34719999999999</v>
      </c>
      <c r="D48" s="151"/>
      <c r="E48" s="251">
        <f>C48+D48</f>
        <v>279.34719999999999</v>
      </c>
      <c r="I48" s="61" t="s">
        <v>6</v>
      </c>
      <c r="J48" s="66">
        <f>M11</f>
        <v>253977.3952</v>
      </c>
      <c r="K48" s="66"/>
      <c r="L48" s="251">
        <f>J48+K48</f>
        <v>253977.3952</v>
      </c>
    </row>
    <row r="49" spans="2:12" x14ac:dyDescent="0.35">
      <c r="B49" s="62" t="s">
        <v>9</v>
      </c>
      <c r="C49" s="67">
        <f>F23</f>
        <v>52.051200000000001</v>
      </c>
      <c r="D49" s="154">
        <f>C28</f>
        <v>12</v>
      </c>
      <c r="E49" s="252">
        <f>C49+D49</f>
        <v>64.051199999999994</v>
      </c>
      <c r="I49" s="62" t="s">
        <v>9</v>
      </c>
      <c r="J49" s="67">
        <f>M23</f>
        <v>49440</v>
      </c>
      <c r="K49" s="67">
        <f>J28</f>
        <v>12000</v>
      </c>
      <c r="L49" s="252">
        <f>J49+K49</f>
        <v>61440</v>
      </c>
    </row>
    <row r="50" spans="2:12" ht="15" thickBot="1" x14ac:dyDescent="0.4">
      <c r="B50" s="63" t="s">
        <v>57</v>
      </c>
      <c r="C50" s="67">
        <f>F41</f>
        <v>58.956800000000001</v>
      </c>
      <c r="D50" s="154"/>
      <c r="E50" s="252">
        <f>C50+D50</f>
        <v>58.956800000000001</v>
      </c>
      <c r="I50" s="63" t="s">
        <v>57</v>
      </c>
      <c r="J50" s="67">
        <f>M41</f>
        <v>58956.800000000003</v>
      </c>
      <c r="K50" s="67"/>
      <c r="L50" s="253">
        <f>J50+K50</f>
        <v>58956.800000000003</v>
      </c>
    </row>
    <row r="51" spans="2:12" ht="15" thickBot="1" x14ac:dyDescent="0.4">
      <c r="B51" s="244" t="s">
        <v>59</v>
      </c>
      <c r="C51" s="245">
        <f>SUM(C48:C50)</f>
        <v>390.35519999999997</v>
      </c>
      <c r="D51" s="246">
        <f>SUM(D48:D50)</f>
        <v>12</v>
      </c>
      <c r="E51" s="247">
        <f>SUM(C51:D51)</f>
        <v>402.35519999999997</v>
      </c>
      <c r="I51" s="244" t="s">
        <v>58</v>
      </c>
      <c r="J51" s="245">
        <f>SUM(J48:J50)</f>
        <v>362374.19520000002</v>
      </c>
      <c r="K51" s="246">
        <f>SUM(K48:K50)</f>
        <v>12000</v>
      </c>
      <c r="L51" s="247">
        <f>SUM(J51:K51)</f>
        <v>374374.19520000002</v>
      </c>
    </row>
  </sheetData>
  <pageMargins left="0.7" right="0.7" top="0.75" bottom="0.75" header="0.3" footer="0.3"/>
  <pageSetup orientation="portrait" r:id="rId1"/>
  <ignoredErrors>
    <ignoredError sqref="K8 M8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4B94C3-7810-4258-8A34-5A4BCDF003F5}">
          <x14:formula1>
            <xm:f>'Basic Input'!$B$95:$B$108</xm:f>
          </x14:formula1>
          <xm:sqref>L7:L10 E19:E22 E7:E10 L19:L22 E36:E40 L36:L40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2F18A-ABAB-4380-A740-009709ED622F}">
  <dimension ref="A1:X76"/>
  <sheetViews>
    <sheetView topLeftCell="B1" zoomScale="60" zoomScaleNormal="60" workbookViewId="0">
      <selection activeCell="C39" sqref="C39"/>
    </sheetView>
  </sheetViews>
  <sheetFormatPr defaultRowHeight="14.5" x14ac:dyDescent="0.35"/>
  <cols>
    <col min="1" max="1" width="8.7265625" style="5"/>
    <col min="2" max="2" width="33.81640625" style="5" customWidth="1"/>
    <col min="3" max="3" width="16" style="5" customWidth="1"/>
    <col min="4" max="5" width="12" style="5" customWidth="1"/>
    <col min="6" max="6" width="15.81640625" style="5" customWidth="1"/>
    <col min="7" max="7" width="10.54296875" style="5" customWidth="1"/>
    <col min="8" max="8" width="11.26953125" style="5" customWidth="1"/>
    <col min="9" max="9" width="10.7265625" style="5" customWidth="1"/>
    <col min="10" max="10" width="26" style="5" customWidth="1"/>
    <col min="11" max="11" width="13.54296875" style="5" customWidth="1"/>
    <col min="12" max="19" width="11.81640625" style="5" bestFit="1" customWidth="1"/>
    <col min="20" max="20" width="19" style="5" customWidth="1"/>
    <col min="21" max="24" width="8.7265625" style="5"/>
  </cols>
  <sheetData>
    <row r="1" spans="2:20" s="3" customFormat="1" ht="30" x14ac:dyDescent="0.6">
      <c r="B1" s="2" t="s">
        <v>165</v>
      </c>
    </row>
    <row r="4" spans="2:20" x14ac:dyDescent="0.35">
      <c r="B4" s="96" t="s">
        <v>79</v>
      </c>
      <c r="C4" s="97"/>
      <c r="D4" s="97"/>
      <c r="E4" s="97"/>
      <c r="F4" s="97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</row>
    <row r="6" spans="2:20" x14ac:dyDescent="0.35">
      <c r="J6" s="35" t="s">
        <v>80</v>
      </c>
      <c r="K6" s="95" t="s">
        <v>82</v>
      </c>
      <c r="L6" s="95" t="s">
        <v>83</v>
      </c>
      <c r="M6" s="95" t="s">
        <v>84</v>
      </c>
      <c r="N6" s="95" t="s">
        <v>85</v>
      </c>
      <c r="O6" s="95" t="s">
        <v>86</v>
      </c>
      <c r="P6" s="95" t="s">
        <v>87</v>
      </c>
      <c r="Q6" s="95" t="s">
        <v>88</v>
      </c>
      <c r="R6" s="95" t="s">
        <v>89</v>
      </c>
      <c r="S6" s="95" t="s">
        <v>90</v>
      </c>
      <c r="T6" s="36" t="s">
        <v>91</v>
      </c>
    </row>
    <row r="7" spans="2:20" x14ac:dyDescent="0.35">
      <c r="J7" s="61" t="s">
        <v>40</v>
      </c>
      <c r="K7" s="98">
        <f>'Basic Input'!H12*'acquisition year '!$F$23</f>
        <v>2134.0992000000001</v>
      </c>
      <c r="L7" s="98">
        <f>'Basic Input'!I12*'acquisition year '!$F$23+('Basic Input'!I12*'acquisition year '!$F$23*'Basic Input'!$C$112)</f>
        <v>2186.1504</v>
      </c>
      <c r="M7" s="98">
        <f>'Basic Input'!J12*'acquisition year '!$F$23+('Basic Input'!J12*'acquisition year '!$F$23*'Basic Input'!$C$112)</f>
        <v>2238.2015999999999</v>
      </c>
      <c r="N7" s="98">
        <f>'Basic Input'!K12*'acquisition year '!$F$23+('Basic Input'!K12*'acquisition year '!$F$23*'Basic Input'!$C$112)</f>
        <v>2290.2528000000002</v>
      </c>
      <c r="O7" s="98">
        <f>'Basic Input'!L12*'acquisition year '!$F$23+('Basic Input'!L12*'acquisition year '!$F$23*'Basic Input'!$C$112)</f>
        <v>2342.3040000000001</v>
      </c>
      <c r="P7" s="98">
        <f>'Basic Input'!M12*'acquisition year '!$F$23+('Basic Input'!M12*'acquisition year '!$F$23*'Basic Input'!$C$112)</f>
        <v>2394.3552</v>
      </c>
      <c r="Q7" s="98">
        <f>'Basic Input'!N12*'acquisition year '!$F$23+('Basic Input'!N12*'acquisition year '!$F$23*'Basic Input'!$C$112)</f>
        <v>2446.4063999999998</v>
      </c>
      <c r="R7" s="98">
        <f>'Basic Input'!O12*'acquisition year '!$F$23+('Basic Input'!O12*'acquisition year '!$F$23*'Basic Input'!$C$112)</f>
        <v>2498.4576000000002</v>
      </c>
      <c r="S7" s="98">
        <f>'Basic Input'!P12*'acquisition year '!$F$23+('Basic Input'!P12*'acquisition year '!$F$23*'Basic Input'!$C$112)</f>
        <v>2550.5088000000001</v>
      </c>
      <c r="T7" s="98">
        <f>'Basic Input'!Q12*'acquisition year '!$F$23+('Basic Input'!Q12*'acquisition year '!$F$23*'Basic Input'!$C$112)</f>
        <v>2602.56</v>
      </c>
    </row>
    <row r="8" spans="2:20" ht="15" thickBot="1" x14ac:dyDescent="0.4">
      <c r="J8" s="62" t="s">
        <v>92</v>
      </c>
      <c r="K8" s="99">
        <f>'Basic Input'!H12*'acquisition year '!$C$28</f>
        <v>492</v>
      </c>
      <c r="L8" s="99">
        <f>'Basic Input'!I12*'acquisition year '!$C$28</f>
        <v>504</v>
      </c>
      <c r="M8" s="99">
        <f>'Basic Input'!J12*'acquisition year '!$C$28</f>
        <v>516</v>
      </c>
      <c r="N8" s="99">
        <f>'Basic Input'!K12*'acquisition year '!$C$28</f>
        <v>528</v>
      </c>
      <c r="O8" s="99">
        <f>'Basic Input'!L12*'acquisition year '!$C$28</f>
        <v>540</v>
      </c>
      <c r="P8" s="99">
        <f>'Basic Input'!M12*'acquisition year '!$C$28</f>
        <v>552</v>
      </c>
      <c r="Q8" s="99">
        <f>'Basic Input'!N12*'acquisition year '!$C$28</f>
        <v>564</v>
      </c>
      <c r="R8" s="99">
        <f>'Basic Input'!O12*'acquisition year '!$C$28</f>
        <v>576</v>
      </c>
      <c r="S8" s="99">
        <f>'Basic Input'!P12*'acquisition year '!$C$28</f>
        <v>588</v>
      </c>
      <c r="T8" s="100">
        <f>'Basic Input'!Q12*'acquisition year '!$C$28</f>
        <v>600</v>
      </c>
    </row>
    <row r="9" spans="2:20" ht="15" thickBot="1" x14ac:dyDescent="0.4">
      <c r="J9" s="237" t="s">
        <v>81</v>
      </c>
      <c r="K9" s="241">
        <f>SUM(K7:K8)</f>
        <v>2626.0992000000001</v>
      </c>
      <c r="L9" s="242">
        <f>SUM(L7:L8)</f>
        <v>2690.1504</v>
      </c>
      <c r="M9" s="242">
        <f t="shared" ref="M9:T9" si="0">SUM(M7:M8)</f>
        <v>2754.2015999999999</v>
      </c>
      <c r="N9" s="242">
        <f t="shared" si="0"/>
        <v>2818.2528000000002</v>
      </c>
      <c r="O9" s="242">
        <f t="shared" si="0"/>
        <v>2882.3040000000001</v>
      </c>
      <c r="P9" s="242">
        <f t="shared" si="0"/>
        <v>2946.3552</v>
      </c>
      <c r="Q9" s="242">
        <f t="shared" si="0"/>
        <v>3010.4063999999998</v>
      </c>
      <c r="R9" s="242">
        <f t="shared" si="0"/>
        <v>3074.4576000000002</v>
      </c>
      <c r="S9" s="241">
        <f t="shared" si="0"/>
        <v>3138.5088000000001</v>
      </c>
      <c r="T9" s="243">
        <f t="shared" si="0"/>
        <v>3202.56</v>
      </c>
    </row>
    <row r="11" spans="2:20" x14ac:dyDescent="0.35">
      <c r="J11" s="115" t="s">
        <v>109</v>
      </c>
      <c r="K11" s="68">
        <f>K$9/'Basic Input'!H12</f>
        <v>64.051200000000009</v>
      </c>
      <c r="L11" s="68">
        <f>L$9/'Basic Input'!I12</f>
        <v>64.051199999999994</v>
      </c>
      <c r="M11" s="68">
        <f>M$9/'Basic Input'!J12</f>
        <v>64.051199999999994</v>
      </c>
      <c r="N11" s="68">
        <f>N$9/'Basic Input'!K12</f>
        <v>64.051200000000009</v>
      </c>
      <c r="O11" s="68">
        <f>O$9/'Basic Input'!L12</f>
        <v>64.051200000000009</v>
      </c>
      <c r="P11" s="68">
        <f>P$9/'Basic Input'!M12</f>
        <v>64.051199999999994</v>
      </c>
      <c r="Q11" s="68">
        <f>Q$9/'Basic Input'!N12</f>
        <v>64.051199999999994</v>
      </c>
      <c r="R11" s="68">
        <f>R$9/'Basic Input'!O12</f>
        <v>64.051200000000009</v>
      </c>
      <c r="S11" s="68">
        <f>S$9/'Basic Input'!P12</f>
        <v>64.051199999999994</v>
      </c>
      <c r="T11" s="68">
        <f>T$9/'Basic Input'!Q12</f>
        <v>64.051199999999994</v>
      </c>
    </row>
    <row r="14" spans="2:20" x14ac:dyDescent="0.35">
      <c r="B14" s="96" t="s">
        <v>93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</row>
    <row r="16" spans="2:20" x14ac:dyDescent="0.35">
      <c r="B16" s="35" t="s">
        <v>96</v>
      </c>
      <c r="C16" s="36" t="s">
        <v>95</v>
      </c>
      <c r="D16" s="37" t="s">
        <v>39</v>
      </c>
      <c r="E16" s="37" t="s">
        <v>207</v>
      </c>
      <c r="F16" s="37" t="s">
        <v>151</v>
      </c>
      <c r="J16" s="35" t="s">
        <v>80</v>
      </c>
      <c r="K16" s="95" t="s">
        <v>82</v>
      </c>
      <c r="L16" s="95" t="s">
        <v>83</v>
      </c>
      <c r="M16" s="95" t="s">
        <v>84</v>
      </c>
      <c r="N16" s="95" t="s">
        <v>85</v>
      </c>
      <c r="O16" s="95" t="s">
        <v>86</v>
      </c>
      <c r="P16" s="95" t="s">
        <v>87</v>
      </c>
      <c r="Q16" s="95" t="s">
        <v>88</v>
      </c>
      <c r="R16" s="95" t="s">
        <v>89</v>
      </c>
      <c r="S16" s="95" t="s">
        <v>90</v>
      </c>
      <c r="T16" s="36" t="s">
        <v>91</v>
      </c>
    </row>
    <row r="17" spans="2:20" x14ac:dyDescent="0.35">
      <c r="B17" s="61" t="s">
        <v>193</v>
      </c>
      <c r="C17" s="255">
        <f>'Basic Input'!H12/'acquisition year '!C37/52</f>
        <v>0.39423076923076922</v>
      </c>
      <c r="D17" s="102">
        <f>C17*52/'Basic Input'!$C$93</f>
        <v>1.0933333333333333E-2</v>
      </c>
      <c r="E17" s="103">
        <v>6</v>
      </c>
      <c r="F17" s="104">
        <f>D17*(IF(E17=2,'Basic Input'!$C$95,IF(E17=3,'Basic Input'!$E$96,IF(E17=4,'Basic Input'!$E$97,IF(E17=5,'Basic Input'!$E$98,IF(E17=6,'Basic Input'!$E$99,IF(E17=7,'Basic Input'!$E$100,IF(E17=8,'Basic Input'!$E$101,IF(E17=9,'Basic Input'!$E$102,IF(E17=10,'Basic Input'!$E$103,IF(E17=B22,'Basic Input'!$E$104,IF(E17=11,'Basic Input'!$E$105,IF(E17=B23,'Basic Input'!$E$106,IF(E17=12,'Basic Input'!$E$107,IF(E17=0,'Basic Input'!$E$108)))))))))))))))</f>
        <v>373.39519999999999</v>
      </c>
      <c r="J17" s="61" t="s">
        <v>40</v>
      </c>
      <c r="K17" s="98">
        <f>$F$21</f>
        <v>1297.0432000000001</v>
      </c>
      <c r="L17" s="98">
        <f t="shared" ref="L17:T17" si="1">$F$21</f>
        <v>1297.0432000000001</v>
      </c>
      <c r="M17" s="98">
        <f t="shared" si="1"/>
        <v>1297.0432000000001</v>
      </c>
      <c r="N17" s="98">
        <f t="shared" si="1"/>
        <v>1297.0432000000001</v>
      </c>
      <c r="O17" s="98">
        <f t="shared" si="1"/>
        <v>1297.0432000000001</v>
      </c>
      <c r="P17" s="98">
        <f t="shared" si="1"/>
        <v>1297.0432000000001</v>
      </c>
      <c r="Q17" s="98">
        <f t="shared" si="1"/>
        <v>1297.0432000000001</v>
      </c>
      <c r="R17" s="98">
        <f t="shared" si="1"/>
        <v>1297.0432000000001</v>
      </c>
      <c r="S17" s="98">
        <f t="shared" si="1"/>
        <v>1297.0432000000001</v>
      </c>
      <c r="T17" s="133">
        <f t="shared" si="1"/>
        <v>1297.0432000000001</v>
      </c>
    </row>
    <row r="18" spans="2:20" ht="15" thickBot="1" x14ac:dyDescent="0.4">
      <c r="B18" s="62" t="s">
        <v>194</v>
      </c>
      <c r="C18" s="256">
        <f>'Basic Input'!H12/'acquisition year '!C38/52</f>
        <v>0.78846153846153844</v>
      </c>
      <c r="D18" s="102">
        <f>C18*52/'Basic Input'!$C$93</f>
        <v>2.1866666666666666E-2</v>
      </c>
      <c r="E18" s="103">
        <v>8</v>
      </c>
      <c r="F18" s="104">
        <f>D18*(IF(E18=2,'Basic Input'!$C$95,IF(E18=3,'Basic Input'!$E$96,IF(E18=4,'Basic Input'!$E$97,IF(E18=5,'Basic Input'!$E$98,IF(E18=6,'Basic Input'!$E$99,IF(E18=7,'Basic Input'!$E$100,IF(E18=8,'Basic Input'!$E$101,IF(E18=9,'Basic Input'!$E$102,IF(E18=10,'Basic Input'!$E$103,IF(E18=B23,'Basic Input'!$E$104,IF(E18=11,'Basic Input'!$E$105,IF(E18=B24,'Basic Input'!$E$106,IF(E18=12,'Basic Input'!$E$107,IF(E18=0,'Basic Input'!$E$108)))))))))))))))</f>
        <v>923.64800000000002</v>
      </c>
      <c r="J18" s="62" t="s">
        <v>98</v>
      </c>
      <c r="K18" s="99">
        <f>C26</f>
        <v>0</v>
      </c>
      <c r="L18" s="99"/>
      <c r="M18" s="99"/>
      <c r="N18" s="99"/>
      <c r="O18" s="99"/>
      <c r="P18" s="99"/>
      <c r="Q18" s="99"/>
      <c r="R18" s="99"/>
      <c r="S18" s="99"/>
      <c r="T18" s="100"/>
    </row>
    <row r="19" spans="2:20" ht="15" thickBot="1" x14ac:dyDescent="0.4">
      <c r="B19" s="63"/>
      <c r="C19" s="105"/>
      <c r="D19" s="102">
        <f>C19*52/'Basic Input'!$C$93</f>
        <v>0</v>
      </c>
      <c r="E19" s="103"/>
      <c r="F19" s="104">
        <f>D19*(IF(E19=2,'Basic Input'!$C$95,IF(E19=3,'Basic Input'!$E$96,IF(E19=4,'Basic Input'!$E$97,IF(E19=5,'Basic Input'!$E$98,IF(E19=6,'Basic Input'!$E$99,IF(E19=7,'Basic Input'!$E$100,IF(E19=8,'Basic Input'!$E$101,IF(E19=9,'Basic Input'!$E$102,IF(E19=10,'Basic Input'!$E$103,IF(E19=B24,'Basic Input'!$E$104,IF(E19=11,'Basic Input'!$E$105,IF(E19=B25,'Basic Input'!$E$106,IF(E19=12,'Basic Input'!$E$107,IF(E19=0,'Basic Input'!$E$108)))))))))))))))</f>
        <v>0</v>
      </c>
      <c r="J19" s="237" t="s">
        <v>81</v>
      </c>
      <c r="K19" s="241">
        <f>SUM(K17:K18)</f>
        <v>1297.0432000000001</v>
      </c>
      <c r="L19" s="242">
        <f>SUM(L17:L18)</f>
        <v>1297.0432000000001</v>
      </c>
      <c r="M19" s="242">
        <f t="shared" ref="M19" si="2">SUM(M17:M18)</f>
        <v>1297.0432000000001</v>
      </c>
      <c r="N19" s="242">
        <f t="shared" ref="N19" si="3">SUM(N17:N18)</f>
        <v>1297.0432000000001</v>
      </c>
      <c r="O19" s="242">
        <f t="shared" ref="O19" si="4">SUM(O17:O18)</f>
        <v>1297.0432000000001</v>
      </c>
      <c r="P19" s="242">
        <f t="shared" ref="P19" si="5">SUM(P17:P18)</f>
        <v>1297.0432000000001</v>
      </c>
      <c r="Q19" s="242">
        <f t="shared" ref="Q19" si="6">SUM(Q17:Q18)</f>
        <v>1297.0432000000001</v>
      </c>
      <c r="R19" s="242">
        <f t="shared" ref="R19" si="7">SUM(R17:R18)</f>
        <v>1297.0432000000001</v>
      </c>
      <c r="S19" s="241">
        <f t="shared" ref="S19" si="8">SUM(S17:S18)</f>
        <v>1297.0432000000001</v>
      </c>
      <c r="T19" s="243">
        <f>SUM(T17:T18)</f>
        <v>1297.0432000000001</v>
      </c>
    </row>
    <row r="20" spans="2:20" ht="15" thickBot="1" x14ac:dyDescent="0.4">
      <c r="B20" s="88"/>
      <c r="C20" s="105"/>
      <c r="D20" s="102">
        <f>C20*52/'Basic Input'!$C$93</f>
        <v>0</v>
      </c>
      <c r="E20" s="103"/>
      <c r="F20" s="104">
        <f>D20*(IF(E20=2,'Basic Input'!$C$95,IF(E20=3,'Basic Input'!$E$96,IF(E20=4,'Basic Input'!$E$97,IF(E20=5,'Basic Input'!$E$98,IF(E20=6,'Basic Input'!$E$99,IF(E20=7,'Basic Input'!$E$100,IF(E20=8,'Basic Input'!$E$101,IF(E20=9,'Basic Input'!$E$102,IF(E20=10,'Basic Input'!$E$103,IF(E20=B25,'Basic Input'!$E$104,IF(E20=11,'Basic Input'!$E$105,IF(E20=B26,'Basic Input'!$E$106,IF(E20=12,'Basic Input'!$E$107,IF(E20=0,'Basic Input'!$E$108)))))))))))))))</f>
        <v>0</v>
      </c>
    </row>
    <row r="21" spans="2:20" ht="15" thickBot="1" x14ac:dyDescent="0.4">
      <c r="B21" s="51" t="s">
        <v>41</v>
      </c>
      <c r="C21" s="50">
        <f>SUM(C17:C20)</f>
        <v>1.1826923076923077</v>
      </c>
      <c r="D21" s="261"/>
      <c r="E21" s="47"/>
      <c r="F21" s="48">
        <f>SUM(F17:F20)</f>
        <v>1297.0432000000001</v>
      </c>
    </row>
    <row r="22" spans="2:20" ht="15.65" customHeight="1" x14ac:dyDescent="0.35">
      <c r="J22" s="115" t="s">
        <v>109</v>
      </c>
      <c r="K22" s="68">
        <f>K$19/'Basic Input'!H12</f>
        <v>31.635200000000001</v>
      </c>
      <c r="L22" s="68">
        <f>L$19/'Basic Input'!I12</f>
        <v>30.881980952380953</v>
      </c>
      <c r="M22" s="68">
        <f>M$19/'Basic Input'!J12</f>
        <v>30.163795348837212</v>
      </c>
      <c r="N22" s="68">
        <f>N$19/'Basic Input'!K12</f>
        <v>29.478254545454547</v>
      </c>
      <c r="O22" s="68">
        <f>O$19/'Basic Input'!L12</f>
        <v>28.823182222222222</v>
      </c>
      <c r="P22" s="68">
        <f>P$19/'Basic Input'!M12</f>
        <v>28.196591304347827</v>
      </c>
      <c r="Q22" s="68">
        <f>Q$19/'Basic Input'!N12</f>
        <v>27.596663829787236</v>
      </c>
      <c r="R22" s="68">
        <f>R$19/'Basic Input'!O12</f>
        <v>27.021733333333334</v>
      </c>
      <c r="S22" s="68">
        <f>S$19/'Basic Input'!P12</f>
        <v>26.470269387755103</v>
      </c>
      <c r="T22" s="68">
        <f>T$19/'Basic Input'!Q12</f>
        <v>25.940864000000001</v>
      </c>
    </row>
    <row r="23" spans="2:20" x14ac:dyDescent="0.35">
      <c r="B23" s="35" t="s">
        <v>56</v>
      </c>
      <c r="C23" s="36" t="s">
        <v>107</v>
      </c>
    </row>
    <row r="24" spans="2:20" x14ac:dyDescent="0.35">
      <c r="B24" s="61"/>
      <c r="C24" s="106"/>
    </row>
    <row r="25" spans="2:20" ht="15" thickBot="1" x14ac:dyDescent="0.4">
      <c r="B25" s="62"/>
      <c r="C25" s="107"/>
    </row>
    <row r="26" spans="2:20" ht="15" thickBot="1" x14ac:dyDescent="0.4">
      <c r="B26" s="244" t="s">
        <v>41</v>
      </c>
      <c r="C26" s="264">
        <f>SUM(C24:C25)</f>
        <v>0</v>
      </c>
    </row>
    <row r="29" spans="2:20" x14ac:dyDescent="0.35">
      <c r="B29" s="96" t="s">
        <v>135</v>
      </c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</row>
    <row r="31" spans="2:20" x14ac:dyDescent="0.35">
      <c r="B31" s="35" t="s">
        <v>96</v>
      </c>
      <c r="C31" s="36" t="s">
        <v>95</v>
      </c>
      <c r="D31" s="37" t="s">
        <v>39</v>
      </c>
      <c r="E31" s="37" t="s">
        <v>207</v>
      </c>
      <c r="F31" s="37" t="s">
        <v>151</v>
      </c>
      <c r="J31" s="35" t="s">
        <v>80</v>
      </c>
      <c r="K31" s="95" t="s">
        <v>82</v>
      </c>
      <c r="L31" s="95" t="s">
        <v>83</v>
      </c>
      <c r="M31" s="95" t="s">
        <v>84</v>
      </c>
      <c r="N31" s="95" t="s">
        <v>85</v>
      </c>
      <c r="O31" s="95" t="s">
        <v>86</v>
      </c>
      <c r="P31" s="95" t="s">
        <v>87</v>
      </c>
      <c r="Q31" s="95" t="s">
        <v>88</v>
      </c>
      <c r="R31" s="95" t="s">
        <v>89</v>
      </c>
      <c r="S31" s="95" t="s">
        <v>90</v>
      </c>
      <c r="T31" s="36" t="s">
        <v>91</v>
      </c>
    </row>
    <row r="32" spans="2:20" x14ac:dyDescent="0.35">
      <c r="B32" s="61" t="s">
        <v>94</v>
      </c>
      <c r="C32" s="101">
        <v>36</v>
      </c>
      <c r="D32" s="102">
        <f>C32*52/'Basic Input'!$C$93</f>
        <v>0.99839999999999995</v>
      </c>
      <c r="E32" s="103">
        <v>8</v>
      </c>
      <c r="F32" s="104">
        <f>D32*(IF(E32=2,'Basic Input'!$C$95,IF(E32=3,'Basic Input'!$E$96,IF(E32=4,'Basic Input'!$E$97,IF(E32=5,'Basic Input'!$E$98,IF(E32=6,'Basic Input'!$E$99,IF(E32=7,'Basic Input'!$E$100,IF(E32=8,'Basic Input'!$E$101,IF(E32=9,'Basic Input'!$E$102,IF(E32=10,'Basic Input'!$E$103,IF(E32=B37,'Basic Input'!$E$104,IF(E32=11,'Basic Input'!$E$105,IF(E32=B38,'Basic Input'!$E$106,IF(E32=12,'Basic Input'!$E$107,IF(E32=0,'Basic Input'!$E$108)))))))))))))))</f>
        <v>42172.415999999997</v>
      </c>
      <c r="J32" s="61" t="s">
        <v>40</v>
      </c>
      <c r="K32" s="98">
        <f>F36</f>
        <v>42379.683839999998</v>
      </c>
      <c r="L32" s="98">
        <f>K32+(K32*'Basic Input'!$C$112)</f>
        <v>42379.683839999998</v>
      </c>
      <c r="M32" s="98">
        <f>L32+(L32*'Basic Input'!$C$112)</f>
        <v>42379.683839999998</v>
      </c>
      <c r="N32" s="98">
        <f>M32+(M32*'Basic Input'!$C$112)</f>
        <v>42379.683839999998</v>
      </c>
      <c r="O32" s="98">
        <f>N32+(N32*'Basic Input'!$C$112)</f>
        <v>42379.683839999998</v>
      </c>
      <c r="P32" s="98">
        <f>O32+(O32*'Basic Input'!$C$112)</f>
        <v>42379.683839999998</v>
      </c>
      <c r="Q32" s="98">
        <f>P32+(P32*'Basic Input'!$C$112)</f>
        <v>42379.683839999998</v>
      </c>
      <c r="R32" s="98">
        <f>Q32+(Q32*'Basic Input'!$C$112)</f>
        <v>42379.683839999998</v>
      </c>
      <c r="S32" s="98">
        <f>R32+(R32*'Basic Input'!$C$112)</f>
        <v>42379.683839999998</v>
      </c>
      <c r="T32" s="141">
        <f>S32+(S32*'Basic Input'!$C$112)</f>
        <v>42379.683839999998</v>
      </c>
    </row>
    <row r="33" spans="2:20" x14ac:dyDescent="0.35">
      <c r="B33" s="62" t="s">
        <v>233</v>
      </c>
      <c r="C33" s="105">
        <v>0.2</v>
      </c>
      <c r="D33" s="102">
        <f>C33*52/'Basic Input'!$C$93</f>
        <v>5.5466666666666668E-3</v>
      </c>
      <c r="E33" s="103">
        <v>7</v>
      </c>
      <c r="F33" s="104">
        <f>D33*(IF(E33=2,'Basic Input'!$C$95,IF(E33=3,'Basic Input'!$E$96,IF(E33=4,'Basic Input'!$E$97,IF(E33=5,'Basic Input'!$E$98,IF(E33=6,'Basic Input'!$E$99,IF(E33=7,'Basic Input'!$E$100,IF(E33=8,'Basic Input'!$E$101,IF(E33=9,'Basic Input'!$E$102,IF(E33=10,'Basic Input'!$E$103,IF(E33=B38,'Basic Input'!$E$104,IF(E33=11,'Basic Input'!$E$105,IF(E33=B39,'Basic Input'!$E$106,IF(E33=12,'Basic Input'!$E$107,IF(E33=0,'Basic Input'!$E$108)))))))))))))))</f>
        <v>207.26784000000001</v>
      </c>
      <c r="J33" s="62" t="s">
        <v>232</v>
      </c>
      <c r="K33" s="99">
        <f>$C$41</f>
        <v>272800</v>
      </c>
      <c r="L33" s="99">
        <f t="shared" ref="L33:T33" si="9">$C$41</f>
        <v>272800</v>
      </c>
      <c r="M33" s="99">
        <f t="shared" si="9"/>
        <v>272800</v>
      </c>
      <c r="N33" s="99">
        <f t="shared" si="9"/>
        <v>272800</v>
      </c>
      <c r="O33" s="99">
        <f t="shared" si="9"/>
        <v>272800</v>
      </c>
      <c r="P33" s="99">
        <f t="shared" si="9"/>
        <v>272800</v>
      </c>
      <c r="Q33" s="99">
        <f t="shared" si="9"/>
        <v>272800</v>
      </c>
      <c r="R33" s="99">
        <f t="shared" si="9"/>
        <v>272800</v>
      </c>
      <c r="S33" s="99">
        <f t="shared" si="9"/>
        <v>272800</v>
      </c>
      <c r="T33" s="142">
        <f t="shared" si="9"/>
        <v>272800</v>
      </c>
    </row>
    <row r="34" spans="2:20" x14ac:dyDescent="0.35">
      <c r="B34" s="63"/>
      <c r="C34" s="105"/>
      <c r="D34" s="102">
        <f>C34*52/'Basic Input'!$C$93</f>
        <v>0</v>
      </c>
      <c r="E34" s="103"/>
      <c r="F34" s="104">
        <f>D34*(IF(E34=2,'Basic Input'!$C$95,IF(E34=3,'Basic Input'!$E$96,IF(E34=4,'Basic Input'!$E$97,IF(E34=5,'Basic Input'!$E$98,IF(E34=6,'Basic Input'!$E$99,IF(E34=7,'Basic Input'!$E$100,IF(E34=8,'Basic Input'!$E$101,IF(E34=9,'Basic Input'!$E$102,IF(E34=10,'Basic Input'!$E$103,IF(E34=B39,'Basic Input'!$E$104,IF(E34=11,'Basic Input'!$E$105,IF(E34=B40,'Basic Input'!$E$106,IF(E34=12,'Basic Input'!$E$107,IF(E34=0,'Basic Input'!$E$108)))))))))))))))</f>
        <v>0</v>
      </c>
      <c r="J34" s="65" t="s">
        <v>81</v>
      </c>
      <c r="K34" s="239">
        <f>SUM(K32:K33)</f>
        <v>315179.68384000001</v>
      </c>
      <c r="L34" s="240">
        <f>SUM(L32:L33)</f>
        <v>315179.68384000001</v>
      </c>
      <c r="M34" s="240">
        <f t="shared" ref="M34" si="10">SUM(M32:M33)</f>
        <v>315179.68384000001</v>
      </c>
      <c r="N34" s="240">
        <f t="shared" ref="N34" si="11">SUM(N32:N33)</f>
        <v>315179.68384000001</v>
      </c>
      <c r="O34" s="240">
        <f t="shared" ref="O34" si="12">SUM(O32:O33)</f>
        <v>315179.68384000001</v>
      </c>
      <c r="P34" s="240">
        <f t="shared" ref="P34" si="13">SUM(P32:P33)</f>
        <v>315179.68384000001</v>
      </c>
      <c r="Q34" s="240">
        <f t="shared" ref="Q34" si="14">SUM(Q32:Q33)</f>
        <v>315179.68384000001</v>
      </c>
      <c r="R34" s="240">
        <f t="shared" ref="R34" si="15">SUM(R32:R33)</f>
        <v>315179.68384000001</v>
      </c>
      <c r="S34" s="239">
        <f t="shared" ref="S34" si="16">SUM(S32:S33)</f>
        <v>315179.68384000001</v>
      </c>
      <c r="T34" s="240">
        <f t="shared" ref="T34" si="17">SUM(T32:T33)</f>
        <v>315179.68384000001</v>
      </c>
    </row>
    <row r="35" spans="2:20" ht="15" thickBot="1" x14ac:dyDescent="0.4">
      <c r="B35" s="63"/>
      <c r="C35" s="105"/>
      <c r="D35" s="102">
        <f>C35*52/'Basic Input'!$C$93</f>
        <v>0</v>
      </c>
      <c r="E35" s="103"/>
      <c r="F35" s="104">
        <f>D35*(IF(E35=2,'Basic Input'!$C$95,IF(E35=3,'Basic Input'!$E$96,IF(E35=4,'Basic Input'!$E$97,IF(E35=5,'Basic Input'!$E$98,IF(E35=6,'Basic Input'!$E$99,IF(E35=7,'Basic Input'!$E$100,IF(E35=8,'Basic Input'!$E$101,IF(E35=9,'Basic Input'!$E$102,IF(E35=10,'Basic Input'!$E$103,IF(E35=B40,'Basic Input'!$E$104,IF(E35=11,'Basic Input'!$E$105,IF(E35=B41,'Basic Input'!$E$106,IF(E35=12,'Basic Input'!$E$107,IF(E35=0,'Basic Input'!$E$108)))))))))))))))</f>
        <v>0</v>
      </c>
    </row>
    <row r="36" spans="2:20" ht="15" thickBot="1" x14ac:dyDescent="0.4">
      <c r="B36" s="244" t="s">
        <v>41</v>
      </c>
      <c r="C36" s="248">
        <f>SUM(C32:C35)</f>
        <v>36.200000000000003</v>
      </c>
      <c r="D36" s="261"/>
      <c r="E36" s="47"/>
      <c r="F36" s="48">
        <f>SUM(F32:F35)</f>
        <v>42379.683839999998</v>
      </c>
    </row>
    <row r="37" spans="2:20" x14ac:dyDescent="0.35">
      <c r="J37" s="115" t="s">
        <v>109</v>
      </c>
      <c r="K37" s="68">
        <f>K34/'Basic Input'!H9</f>
        <v>7.6873093619512201</v>
      </c>
      <c r="L37" s="68">
        <f>L34/'Basic Input'!I9</f>
        <v>7.5042781866666672</v>
      </c>
      <c r="M37" s="68">
        <f>M34/'Basic Input'!J9</f>
        <v>7.3297600893023258</v>
      </c>
      <c r="N37" s="68">
        <f>N34/'Basic Input'!K9</f>
        <v>7.163174632727273</v>
      </c>
      <c r="O37" s="68">
        <f>O34/'Basic Input'!L9</f>
        <v>7.0039929742222222</v>
      </c>
      <c r="P37" s="68">
        <f>P34/'Basic Input'!M9</f>
        <v>6.8517322573913049</v>
      </c>
      <c r="Q37" s="68">
        <f>Q34/'Basic Input'!N9</f>
        <v>6.7059507200000006</v>
      </c>
      <c r="R37" s="68">
        <f>R34/'Basic Input'!O9</f>
        <v>6.5662434133333338</v>
      </c>
      <c r="S37" s="68">
        <f>S34/'Basic Input'!P9</f>
        <v>6.4322384457142858</v>
      </c>
      <c r="T37" s="68">
        <f>T34/'Basic Input'!Q9</f>
        <v>6.3035936768000003</v>
      </c>
    </row>
    <row r="38" spans="2:20" x14ac:dyDescent="0.35">
      <c r="B38" s="35" t="s">
        <v>98</v>
      </c>
      <c r="C38" s="36" t="s">
        <v>107</v>
      </c>
    </row>
    <row r="39" spans="2:20" x14ac:dyDescent="0.35">
      <c r="B39" s="61" t="s">
        <v>97</v>
      </c>
      <c r="C39" s="108">
        <f>'Basic Input'!C34*'Basic Input'!C36*'Basic Input'!C39</f>
        <v>272800</v>
      </c>
    </row>
    <row r="40" spans="2:20" ht="15" thickBot="1" x14ac:dyDescent="0.4">
      <c r="B40" s="62"/>
      <c r="C40" s="107"/>
    </row>
    <row r="41" spans="2:20" ht="15" thickBot="1" x14ac:dyDescent="0.4">
      <c r="B41" s="237" t="s">
        <v>41</v>
      </c>
      <c r="C41" s="238">
        <f>SUM(C39:C40)</f>
        <v>272800</v>
      </c>
    </row>
    <row r="45" spans="2:20" x14ac:dyDescent="0.35">
      <c r="B45" s="96" t="s">
        <v>230</v>
      </c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</row>
    <row r="47" spans="2:20" x14ac:dyDescent="0.35">
      <c r="B47" s="35" t="s">
        <v>96</v>
      </c>
      <c r="C47" s="36" t="s">
        <v>95</v>
      </c>
      <c r="D47" s="37" t="s">
        <v>39</v>
      </c>
      <c r="E47" s="37" t="s">
        <v>207</v>
      </c>
      <c r="F47" s="37" t="s">
        <v>151</v>
      </c>
      <c r="J47" s="60" t="s">
        <v>80</v>
      </c>
      <c r="K47" s="132" t="s">
        <v>82</v>
      </c>
      <c r="L47" s="132" t="s">
        <v>83</v>
      </c>
      <c r="M47" s="132" t="s">
        <v>84</v>
      </c>
      <c r="N47" s="132" t="s">
        <v>85</v>
      </c>
      <c r="O47" s="132" t="s">
        <v>86</v>
      </c>
      <c r="P47" s="132" t="s">
        <v>87</v>
      </c>
      <c r="Q47" s="132" t="s">
        <v>88</v>
      </c>
      <c r="R47" s="132" t="s">
        <v>89</v>
      </c>
      <c r="S47" s="132" t="s">
        <v>90</v>
      </c>
      <c r="T47" s="53" t="s">
        <v>91</v>
      </c>
    </row>
    <row r="48" spans="2:20" x14ac:dyDescent="0.35">
      <c r="B48" s="111" t="s">
        <v>99</v>
      </c>
      <c r="C48" s="163">
        <f>'Basic Input'!C56*'Basic Input'!D56</f>
        <v>56</v>
      </c>
      <c r="D48" s="102">
        <f>C48*52/'Basic Input'!$C$93</f>
        <v>1.5530666666666666</v>
      </c>
      <c r="E48" s="103">
        <v>5</v>
      </c>
      <c r="F48" s="104">
        <f>D48*(IF(E48=2,'Basic Input'!$C$95,IF(E48=3,'Basic Input'!$E$96,IF(E48=4,'Basic Input'!$E$97,IF(E48=5,'Basic Input'!$E$98,IF(E48=6,'Basic Input'!$E$99,IF(E48=7,'Basic Input'!$E$100,IF(E48=8,'Basic Input'!$E$101,IF(E48=9,'Basic Input'!$E$102,IF(E48=10,'Basic Input'!$E$103,IF(E48=B53,'Basic Input'!$E$104,IF(E48=11,'Basic Input'!$E$105,IF(E48=B54,'Basic Input'!$E$106,IF(E48=12,'Basic Input'!$E$107,IF(E48=0,'Basic Input'!$E$108)))))))))))))))</f>
        <v>50524.364799999996</v>
      </c>
      <c r="J48" s="61" t="s">
        <v>108</v>
      </c>
      <c r="K48" s="135">
        <f>$F$54</f>
        <v>117849.8048</v>
      </c>
      <c r="L48" s="133">
        <f>$F$54+($F$54*'Basic Input'!$C$112)</f>
        <v>117849.8048</v>
      </c>
      <c r="M48" s="133">
        <f>L48+L48*'Basic Input'!$C$112</f>
        <v>117849.8048</v>
      </c>
      <c r="N48" s="133">
        <f>M48+M48*'Basic Input'!$C$112</f>
        <v>117849.8048</v>
      </c>
      <c r="O48" s="133">
        <f>N48+N48*'Basic Input'!$C$112</f>
        <v>117849.8048</v>
      </c>
      <c r="P48" s="133">
        <f>O48+O48*'Basic Input'!$C$112</f>
        <v>117849.8048</v>
      </c>
      <c r="Q48" s="133">
        <f>P48+P48*'Basic Input'!$C$112</f>
        <v>117849.8048</v>
      </c>
      <c r="R48" s="133">
        <f>Q48+Q48*'Basic Input'!$C$112</f>
        <v>117849.8048</v>
      </c>
      <c r="S48" s="133">
        <f>R48+R48*'Basic Input'!$C$112</f>
        <v>117849.8048</v>
      </c>
      <c r="T48" s="133">
        <f>S48+S48*'Basic Input'!$C$112</f>
        <v>117849.8048</v>
      </c>
    </row>
    <row r="49" spans="2:20" ht="15" thickBot="1" x14ac:dyDescent="0.4">
      <c r="B49" s="112" t="s">
        <v>100</v>
      </c>
      <c r="C49" s="164">
        <f>'Basic Input'!C57*'Basic Input'!D57</f>
        <v>8</v>
      </c>
      <c r="D49" s="102">
        <f>C49*52/'Basic Input'!$C$93</f>
        <v>0.22186666666666666</v>
      </c>
      <c r="E49" s="103">
        <v>5</v>
      </c>
      <c r="F49" s="104">
        <f>D49*(IF(E49=2,'Basic Input'!$C$95,IF(E49=3,'Basic Input'!$E$96,IF(E49=4,'Basic Input'!$E$97,IF(E49=5,'Basic Input'!$E$98,IF(E49=6,'Basic Input'!$E$99,IF(E49=7,'Basic Input'!$E$100,IF(E49=8,'Basic Input'!$E$101,IF(E49=9,'Basic Input'!$E$102,IF(E49=10,'Basic Input'!$E$103,IF(E49=B54,'Basic Input'!$E$104,IF(E49=11,'Basic Input'!$E$105,IF(E49=B55,'Basic Input'!$E$106,IF(E49=12,'Basic Input'!$E$107,IF(E49=0,'Basic Input'!$E$108)))))))))))))))</f>
        <v>7217.7663999999995</v>
      </c>
      <c r="J49" s="267" t="s">
        <v>143</v>
      </c>
      <c r="K49" s="136">
        <f>$F$62</f>
        <v>10564.403199999999</v>
      </c>
      <c r="L49" s="134">
        <f t="shared" ref="L49:T49" si="18">$F$62</f>
        <v>10564.403199999999</v>
      </c>
      <c r="M49" s="134">
        <f t="shared" si="18"/>
        <v>10564.403199999999</v>
      </c>
      <c r="N49" s="134">
        <f t="shared" si="18"/>
        <v>10564.403199999999</v>
      </c>
      <c r="O49" s="134">
        <f t="shared" si="18"/>
        <v>10564.403199999999</v>
      </c>
      <c r="P49" s="134">
        <f t="shared" si="18"/>
        <v>10564.403199999999</v>
      </c>
      <c r="Q49" s="134">
        <f t="shared" si="18"/>
        <v>10564.403199999999</v>
      </c>
      <c r="R49" s="134">
        <f t="shared" si="18"/>
        <v>10564.403199999999</v>
      </c>
      <c r="S49" s="134">
        <f t="shared" si="18"/>
        <v>10564.403199999999</v>
      </c>
      <c r="T49" s="134">
        <f t="shared" si="18"/>
        <v>10564.403199999999</v>
      </c>
    </row>
    <row r="50" spans="2:20" ht="15" thickBot="1" x14ac:dyDescent="0.4">
      <c r="B50" s="112" t="s">
        <v>14</v>
      </c>
      <c r="C50" s="162">
        <f>'Basic Input'!C55*'Basic Input'!D55</f>
        <v>28</v>
      </c>
      <c r="D50" s="102">
        <f>C50*52/'Basic Input'!$C$93</f>
        <v>0.7765333333333333</v>
      </c>
      <c r="E50" s="103">
        <v>7</v>
      </c>
      <c r="F50" s="104">
        <f>D50*(IF(E50=2,'Basic Input'!$C$95,IF(E50=3,'Basic Input'!$E$96,IF(E50=4,'Basic Input'!$E$97,IF(E50=5,'Basic Input'!$E$98,IF(E50=6,'Basic Input'!$E$99,IF(E50=7,'Basic Input'!$E$100,IF(E50=8,'Basic Input'!$E$101,IF(E50=9,'Basic Input'!$E$102,IF(E50=10,'Basic Input'!$E$103,IF(E50=B55,'Basic Input'!$E$104,IF(E50=11,'Basic Input'!$E$105,IF(E50=B56,'Basic Input'!$E$106,IF(E50=12,'Basic Input'!$E$107,IF(E50=0,'Basic Input'!$E$108)))))))))))))))</f>
        <v>29017.497599999999</v>
      </c>
      <c r="J50" s="51" t="s">
        <v>81</v>
      </c>
      <c r="K50" s="268">
        <f>SUM(K48:K49)</f>
        <v>128414.208</v>
      </c>
      <c r="L50" s="268">
        <f t="shared" ref="L50:T50" si="19">SUM(L48:L49)</f>
        <v>128414.208</v>
      </c>
      <c r="M50" s="268">
        <f t="shared" si="19"/>
        <v>128414.208</v>
      </c>
      <c r="N50" s="268">
        <f t="shared" si="19"/>
        <v>128414.208</v>
      </c>
      <c r="O50" s="268">
        <f t="shared" si="19"/>
        <v>128414.208</v>
      </c>
      <c r="P50" s="268">
        <f t="shared" si="19"/>
        <v>128414.208</v>
      </c>
      <c r="Q50" s="268">
        <f t="shared" si="19"/>
        <v>128414.208</v>
      </c>
      <c r="R50" s="268">
        <f t="shared" si="19"/>
        <v>128414.208</v>
      </c>
      <c r="S50" s="268">
        <f t="shared" si="19"/>
        <v>128414.208</v>
      </c>
      <c r="T50" s="269">
        <f t="shared" si="19"/>
        <v>128414.208</v>
      </c>
    </row>
    <row r="51" spans="2:20" x14ac:dyDescent="0.35">
      <c r="B51" s="112" t="s">
        <v>195</v>
      </c>
      <c r="C51" s="143">
        <v>2</v>
      </c>
      <c r="D51" s="102">
        <f>C51*52/'Basic Input'!$C$93</f>
        <v>5.5466666666666664E-2</v>
      </c>
      <c r="E51" s="103">
        <v>7</v>
      </c>
      <c r="F51" s="104">
        <f>D51*(IF(E51=2,'Basic Input'!$C$95,IF(E51=3,'Basic Input'!$E$96,IF(E51=4,'Basic Input'!$E$97,IF(E51=5,'Basic Input'!$E$98,IF(E51=6,'Basic Input'!$E$99,IF(E51=7,'Basic Input'!$E$100,IF(E51=8,'Basic Input'!$E$101,IF(E51=9,'Basic Input'!$E$102,IF(E51=10,'Basic Input'!$E$103,IF(E51=B56,'Basic Input'!$E$104,IF(E51=11,'Basic Input'!$E$105,IF(E51=B57,'Basic Input'!$E$106,IF(E51=12,'Basic Input'!$E$107,IF(E51=0,'Basic Input'!$E$108)))))))))))))))</f>
        <v>2072.6783999999998</v>
      </c>
      <c r="J51" s="144"/>
      <c r="K51" s="145"/>
      <c r="L51" s="145"/>
      <c r="M51" s="145"/>
      <c r="N51" s="145"/>
      <c r="O51" s="145"/>
      <c r="P51" s="145"/>
      <c r="Q51" s="145"/>
      <c r="R51" s="145"/>
      <c r="S51" s="145"/>
      <c r="T51" s="145"/>
    </row>
    <row r="52" spans="2:20" x14ac:dyDescent="0.35">
      <c r="B52" s="63" t="s">
        <v>185</v>
      </c>
      <c r="C52" s="162">
        <f>'Basic Input'!C55*'Basic Input'!D55</f>
        <v>28</v>
      </c>
      <c r="D52" s="102">
        <f>C52*52/'Basic Input'!$C$93</f>
        <v>0.7765333333333333</v>
      </c>
      <c r="E52" s="103">
        <v>7</v>
      </c>
      <c r="F52" s="104">
        <f>D52*(IF(E52=2,'Basic Input'!$C$95,IF(E52=3,'Basic Input'!$E$96,IF(E52=4,'Basic Input'!$E$97,IF(E52=5,'Basic Input'!$E$98,IF(E52=6,'Basic Input'!$E$99,IF(E52=7,'Basic Input'!$E$100,IF(E52=8,'Basic Input'!$E$101,IF(E52=9,'Basic Input'!$E$102,IF(E52=10,'Basic Input'!$E$103,IF(E52=B57,'Basic Input'!$E$104,IF(E52=11,'Basic Input'!$E$105,IF(E52=B58,'Basic Input'!$E$106,IF(E52=12,'Basic Input'!$E$107,IF(E52=0,'Basic Input'!$E$108)))))))))))))))</f>
        <v>29017.497599999999</v>
      </c>
    </row>
    <row r="53" spans="2:20" ht="15" thickBot="1" x14ac:dyDescent="0.4">
      <c r="B53" s="63"/>
      <c r="C53" s="110"/>
      <c r="D53" s="102">
        <f>C53*52/'Basic Input'!$C$93</f>
        <v>0</v>
      </c>
      <c r="E53" s="103"/>
      <c r="F53" s="104">
        <f>D53*(IF(E53=2,'Basic Input'!$C$95,IF(E53=3,'Basic Input'!$E$96,IF(E53=4,'Basic Input'!$E$97,IF(E53=5,'Basic Input'!$E$98,IF(E53=6,'Basic Input'!$E$99,IF(E53=7,'Basic Input'!$E$100,IF(E53=8,'Basic Input'!$E$101,IF(E53=9,'Basic Input'!$E$102,IF(E53=10,'Basic Input'!$E$103,IF(E53=B58,'Basic Input'!$E$104,IF(E53=11,'Basic Input'!$E$105,IF(E53=B59,'Basic Input'!$E$106,IF(E53=12,'Basic Input'!$E$107,IF(E53=0,'Basic Input'!$E$108)))))))))))))))</f>
        <v>0</v>
      </c>
    </row>
    <row r="54" spans="2:20" ht="15" thickBot="1" x14ac:dyDescent="0.4">
      <c r="B54" s="244" t="s">
        <v>41</v>
      </c>
      <c r="C54" s="248">
        <f>SUM(C48:C53)</f>
        <v>122</v>
      </c>
      <c r="D54" s="261"/>
      <c r="E54" s="47"/>
      <c r="F54" s="48">
        <f>SUM(F48:F53)</f>
        <v>117849.8048</v>
      </c>
    </row>
    <row r="56" spans="2:20" x14ac:dyDescent="0.35">
      <c r="J56" s="115" t="s">
        <v>109</v>
      </c>
      <c r="K56" s="68">
        <f>K48/'Basic Input'!H11</f>
        <v>212.49061169726639</v>
      </c>
      <c r="L56" s="68">
        <f>L48/'Basic Input'!I11</f>
        <v>220.87294605107223</v>
      </c>
      <c r="M56" s="68">
        <f>M48/'Basic Input'!J11</f>
        <v>235.18481074248919</v>
      </c>
      <c r="N56" s="68">
        <f>N48/'Basic Input'!K11</f>
        <v>252.66739828465646</v>
      </c>
      <c r="O56" s="68">
        <f>O48/'Basic Input'!L11</f>
        <v>266.66827022462718</v>
      </c>
      <c r="P56" s="68">
        <f>P48/'Basic Input'!M11</f>
        <v>283.41716404626868</v>
      </c>
      <c r="Q56" s="68">
        <f>Q48/'Basic Input'!N11</f>
        <v>306.26503807574147</v>
      </c>
      <c r="R56" s="68">
        <f>R48/'Basic Input'!O11</f>
        <v>330.64374995887135</v>
      </c>
      <c r="S56" s="68">
        <f>S48/'Basic Input'!P11</f>
        <v>363.37667989247444</v>
      </c>
      <c r="T56" s="68">
        <f>T48/'Basic Input'!Q11</f>
        <v>395.40287279515746</v>
      </c>
    </row>
    <row r="58" spans="2:20" x14ac:dyDescent="0.35">
      <c r="B58" s="35" t="s">
        <v>96</v>
      </c>
      <c r="C58" s="36" t="s">
        <v>95</v>
      </c>
      <c r="D58" s="37" t="s">
        <v>39</v>
      </c>
      <c r="E58" s="37" t="s">
        <v>207</v>
      </c>
      <c r="F58" s="37" t="s">
        <v>151</v>
      </c>
    </row>
    <row r="59" spans="2:20" x14ac:dyDescent="0.35">
      <c r="B59" s="62" t="s">
        <v>186</v>
      </c>
      <c r="C59" s="105">
        <v>8</v>
      </c>
      <c r="D59" s="102">
        <f>C59*52/'Basic Input'!$C$93</f>
        <v>0.22186666666666666</v>
      </c>
      <c r="E59" s="103">
        <v>9</v>
      </c>
      <c r="F59" s="104">
        <f>D59*(IF(E59=2,'Basic Input'!$C$95,IF(E59=3,'Basic Input'!$E$96,IF(E59=4,'Basic Input'!$E$97,IF(E59=5,'Basic Input'!$E$98,IF(E59=6,'Basic Input'!$E$99,IF(E59=7,'Basic Input'!$E$100,IF(E59=8,'Basic Input'!$E$101,IF(E59=9,'Basic Input'!$E$102,IF(E59=10,'Basic Input'!$E$103,IF(E59=B64,'Basic Input'!$E$104,IF(E59=11,'Basic Input'!$E$105,IF(E59=B65,'Basic Input'!$E$106,IF(E59=12,'Basic Input'!$E$107,IF(E59=0,'Basic Input'!$E$108)))))))))))))))</f>
        <v>10564.403199999999</v>
      </c>
    </row>
    <row r="60" spans="2:20" x14ac:dyDescent="0.35">
      <c r="B60" s="63"/>
      <c r="C60" s="105"/>
      <c r="D60" s="102">
        <f>C60*52/'Basic Input'!$C$93</f>
        <v>0</v>
      </c>
      <c r="E60" s="103"/>
      <c r="F60" s="104">
        <f>D60*(IF(E60=2,'Basic Input'!$C$95,IF(E60=3,'Basic Input'!$E$96,IF(E60=4,'Basic Input'!$E$97,IF(E60=5,'Basic Input'!$E$98,IF(E60=6,'Basic Input'!$E$99,IF(E60=7,'Basic Input'!$E$100,IF(E60=8,'Basic Input'!$E$101,IF(E60=9,'Basic Input'!$E$102,IF(E60=10,'Basic Input'!$E$103,IF(E60=B65,'Basic Input'!$E$104,IF(E60=11,'Basic Input'!$E$105,IF(E60=B66,'Basic Input'!$E$106,IF(E60=12,'Basic Input'!$E$107,IF(E60=0,'Basic Input'!$E$108)))))))))))))))</f>
        <v>0</v>
      </c>
    </row>
    <row r="61" spans="2:20" ht="15" thickBot="1" x14ac:dyDescent="0.4">
      <c r="B61" s="63"/>
      <c r="C61" s="105"/>
      <c r="D61" s="102">
        <f>C61*52/'Basic Input'!$C$93</f>
        <v>0</v>
      </c>
      <c r="E61" s="103"/>
      <c r="F61" s="104">
        <f>D61*(IF(E61=2,'Basic Input'!$C$95,IF(E61=3,'Basic Input'!$E$96,IF(E61=4,'Basic Input'!$E$97,IF(E61=5,'Basic Input'!$E$98,IF(E61=6,'Basic Input'!$E$99,IF(E61=7,'Basic Input'!$E$100,IF(E61=8,'Basic Input'!$E$101,IF(E61=9,'Basic Input'!$E$102,IF(E61=10,'Basic Input'!$E$103,IF(E61=B66,'Basic Input'!$E$104,IF(E61=11,'Basic Input'!$E$105,IF(E61=B67,'Basic Input'!$E$106,IF(E61=12,'Basic Input'!$E$107,IF(E61=0,'Basic Input'!$E$108)))))))))))))))</f>
        <v>0</v>
      </c>
    </row>
    <row r="62" spans="2:20" ht="15" thickBot="1" x14ac:dyDescent="0.4">
      <c r="B62" s="244" t="s">
        <v>41</v>
      </c>
      <c r="C62" s="248">
        <f>SUM(C59:C61)</f>
        <v>8</v>
      </c>
      <c r="D62" s="261"/>
      <c r="E62" s="47"/>
      <c r="F62" s="48">
        <f>SUM(F59:F61)</f>
        <v>10564.403199999999</v>
      </c>
    </row>
    <row r="66" spans="2:20" x14ac:dyDescent="0.35">
      <c r="B66" s="96" t="s">
        <v>231</v>
      </c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</row>
    <row r="68" spans="2:20" x14ac:dyDescent="0.35">
      <c r="B68" s="60" t="s">
        <v>98</v>
      </c>
      <c r="C68" s="36" t="s">
        <v>107</v>
      </c>
    </row>
    <row r="69" spans="2:20" x14ac:dyDescent="0.35">
      <c r="B69" s="61" t="s">
        <v>181</v>
      </c>
      <c r="C69" s="148"/>
    </row>
    <row r="70" spans="2:20" x14ac:dyDescent="0.35">
      <c r="B70" s="63" t="s">
        <v>180</v>
      </c>
      <c r="C70" s="150"/>
    </row>
    <row r="71" spans="2:20" x14ac:dyDescent="0.35">
      <c r="B71" s="63" t="s">
        <v>182</v>
      </c>
      <c r="C71" s="150"/>
    </row>
    <row r="72" spans="2:20" x14ac:dyDescent="0.35">
      <c r="B72" s="63" t="s">
        <v>183</v>
      </c>
      <c r="C72" s="150"/>
    </row>
    <row r="73" spans="2:20" x14ac:dyDescent="0.35">
      <c r="B73" s="63" t="s">
        <v>184</v>
      </c>
      <c r="C73" s="150">
        <v>5000</v>
      </c>
    </row>
    <row r="74" spans="2:20" x14ac:dyDescent="0.35">
      <c r="B74" s="63"/>
      <c r="C74" s="150"/>
    </row>
    <row r="75" spans="2:20" ht="15" thickBot="1" x14ac:dyDescent="0.4">
      <c r="B75" s="62"/>
      <c r="C75" s="265"/>
    </row>
    <row r="76" spans="2:20" ht="15" thickBot="1" x14ac:dyDescent="0.4">
      <c r="B76" s="237" t="s">
        <v>41</v>
      </c>
      <c r="C76" s="266">
        <f>SUM(C69:C75)</f>
        <v>5000</v>
      </c>
    </row>
  </sheetData>
  <phoneticPr fontId="17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CFADEC-0173-49A2-976D-AAC523AD2020}">
          <x14:formula1>
            <xm:f>'Basic Input'!$B$95:$B$108</xm:f>
          </x14:formula1>
          <xm:sqref>E17:E20 E32:E35 E48:E53 E59:E61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929D-F7E8-4ACB-A3C8-A92414E1541B}">
  <dimension ref="B1:R155"/>
  <sheetViews>
    <sheetView topLeftCell="A10" zoomScale="70" zoomScaleNormal="70" workbookViewId="0">
      <selection activeCell="C7" sqref="C7"/>
    </sheetView>
  </sheetViews>
  <sheetFormatPr defaultRowHeight="14.5" x14ac:dyDescent="0.35"/>
  <cols>
    <col min="2" max="2" width="33.81640625" customWidth="1"/>
    <col min="3" max="5" width="12" customWidth="1"/>
    <col min="6" max="7" width="12.26953125" customWidth="1"/>
    <col min="8" max="8" width="27.54296875" customWidth="1"/>
    <col min="9" max="9" width="11.81640625" bestFit="1" customWidth="1"/>
    <col min="10" max="10" width="15.7265625" bestFit="1" customWidth="1"/>
    <col min="11" max="12" width="11.81640625" bestFit="1" customWidth="1"/>
    <col min="13" max="13" width="19" customWidth="1"/>
    <col min="14" max="14" width="11.81640625" bestFit="1" customWidth="1"/>
    <col min="15" max="15" width="15.7265625" bestFit="1" customWidth="1"/>
    <col min="16" max="18" width="11.81640625" bestFit="1" customWidth="1"/>
  </cols>
  <sheetData>
    <row r="1" spans="2:18" s="3" customFormat="1" ht="30" x14ac:dyDescent="0.6">
      <c r="B1" s="2" t="s">
        <v>168</v>
      </c>
    </row>
    <row r="4" spans="2:18" x14ac:dyDescent="0.35">
      <c r="B4" s="96" t="s">
        <v>127</v>
      </c>
      <c r="C4" s="97"/>
      <c r="D4" s="97"/>
      <c r="E4" s="97"/>
      <c r="F4" s="97"/>
      <c r="G4" s="97"/>
      <c r="H4" s="97"/>
      <c r="I4" s="97"/>
      <c r="J4" s="70"/>
      <c r="K4" s="70"/>
      <c r="L4" s="70"/>
      <c r="M4" s="70"/>
      <c r="N4" s="70"/>
      <c r="O4" s="70"/>
      <c r="P4" s="70"/>
      <c r="Q4" s="70"/>
      <c r="R4" s="70"/>
    </row>
    <row r="5" spans="2:18" x14ac:dyDescent="0.35">
      <c r="B5" s="5"/>
      <c r="C5" s="5"/>
      <c r="D5" s="5"/>
      <c r="E5" s="5"/>
      <c r="F5" s="5"/>
      <c r="G5" s="5"/>
      <c r="H5" s="5"/>
      <c r="I5" s="5"/>
    </row>
    <row r="6" spans="2:18" ht="26" x14ac:dyDescent="0.35">
      <c r="B6" s="35" t="s">
        <v>96</v>
      </c>
      <c r="C6" s="36" t="s">
        <v>95</v>
      </c>
      <c r="D6" s="37" t="s">
        <v>39</v>
      </c>
      <c r="E6" s="37" t="s">
        <v>207</v>
      </c>
      <c r="F6" s="37" t="s">
        <v>151</v>
      </c>
      <c r="G6" s="257"/>
      <c r="H6" s="5"/>
      <c r="I6" s="5"/>
    </row>
    <row r="7" spans="2:18" x14ac:dyDescent="0.35">
      <c r="B7" s="111" t="s">
        <v>0</v>
      </c>
      <c r="C7" s="109">
        <v>2</v>
      </c>
      <c r="D7" s="102">
        <f>C7*52/'Basic Input'!$C$93</f>
        <v>5.5466666666666664E-2</v>
      </c>
      <c r="E7" s="103">
        <v>9</v>
      </c>
      <c r="F7" s="104">
        <f>D7*(IF(E7=2,'Basic Input'!$C$95,IF(E7=3,'Basic Input'!$E$96,IF(E7=4,'Basic Input'!$E$97,IF(E7=5,'Basic Input'!$E$98,IF(E7=6,'Basic Input'!$E$99,IF(E7=7,'Basic Input'!$E$100,IF(E7=8,'Basic Input'!$E$101,IF(E7=9,'Basic Input'!$E$102,IF(E7=10,'Basic Input'!$E$103,IF(E7=B12,'Basic Input'!$E$104,IF(E7=11,'Basic Input'!$E$105,IF(E7=B13,'Basic Input'!$E$106,IF(E7=12,'Basic Input'!$E$107,IF(E7=0,'Basic Input'!$E$108)))))))))))))))</f>
        <v>2641.1007999999997</v>
      </c>
      <c r="G7" s="258"/>
      <c r="H7" s="5"/>
      <c r="I7" s="5"/>
    </row>
    <row r="8" spans="2:18" x14ac:dyDescent="0.35">
      <c r="B8" s="112" t="s">
        <v>112</v>
      </c>
      <c r="C8" s="110">
        <v>6</v>
      </c>
      <c r="D8" s="102">
        <f>C8*52/'Basic Input'!$C$93</f>
        <v>0.16639999999999999</v>
      </c>
      <c r="E8" s="103">
        <v>5</v>
      </c>
      <c r="F8" s="104">
        <f>D8*(IF(E8=2,'Basic Input'!$C$95,IF(E8=3,'Basic Input'!$E$96,IF(E8=4,'Basic Input'!$E$97,IF(E8=5,'Basic Input'!$E$98,IF(E8=6,'Basic Input'!$E$99,IF(E8=7,'Basic Input'!$E$100,IF(E8=8,'Basic Input'!$E$101,IF(E8=9,'Basic Input'!$E$102,IF(E8=10,'Basic Input'!$E$103,IF(E8=B13,'Basic Input'!$E$104,IF(E8=11,'Basic Input'!$E$105,IF(E8=B14,'Basic Input'!$E$106,IF(E8=12,'Basic Input'!$E$107,IF(E8=0,'Basic Input'!$E$108)))))))))))))))</f>
        <v>5413.3247999999994</v>
      </c>
      <c r="G8" s="258"/>
      <c r="H8" s="5"/>
      <c r="I8" s="5"/>
    </row>
    <row r="9" spans="2:18" x14ac:dyDescent="0.35">
      <c r="B9" s="112" t="s">
        <v>3</v>
      </c>
      <c r="C9" s="110">
        <v>2</v>
      </c>
      <c r="D9" s="102">
        <f>C9*52/'Basic Input'!$C$93</f>
        <v>5.5466666666666664E-2</v>
      </c>
      <c r="E9" s="103">
        <v>5</v>
      </c>
      <c r="F9" s="104">
        <f>D9*(IF(E9=2,'Basic Input'!$C$95,IF(E9=3,'Basic Input'!$E$96,IF(E9=4,'Basic Input'!$E$97,IF(E9=5,'Basic Input'!$E$98,IF(E9=6,'Basic Input'!$E$99,IF(E9=7,'Basic Input'!$E$100,IF(E9=8,'Basic Input'!$E$101,IF(E9=9,'Basic Input'!$E$102,IF(E9=10,'Basic Input'!$E$103,IF(E9=B14,'Basic Input'!$E$104,IF(E9=11,'Basic Input'!$E$105,IF(E9=B15,'Basic Input'!$E$106,IF(E9=12,'Basic Input'!$E$107,IF(E9=0,'Basic Input'!$E$108)))))))))))))))</f>
        <v>1804.4415999999999</v>
      </c>
      <c r="G9" s="258"/>
      <c r="H9" s="5"/>
      <c r="I9" s="5"/>
    </row>
    <row r="10" spans="2:18" x14ac:dyDescent="0.35">
      <c r="B10" s="112" t="s">
        <v>113</v>
      </c>
      <c r="C10" s="110"/>
      <c r="D10" s="102">
        <f>C10*52/'Basic Input'!$C$93</f>
        <v>0</v>
      </c>
      <c r="E10" s="103"/>
      <c r="F10" s="104">
        <f>D10*(IF(E10=2,'Basic Input'!$C$95,IF(E10=3,'Basic Input'!$E$96,IF(E10=4,'Basic Input'!$E$97,IF(E10=5,'Basic Input'!$E$98,IF(E10=6,'Basic Input'!$E$99,IF(E10=7,'Basic Input'!$E$100,IF(E10=8,'Basic Input'!$E$101,IF(E10=9,'Basic Input'!$E$102,IF(E10=10,'Basic Input'!$E$103,IF(E10=B15,'Basic Input'!$E$104,IF(E10=11,'Basic Input'!$E$105,IF(E10=B16,'Basic Input'!$E$106,IF(E10=12,'Basic Input'!$E$107,IF(E10=0,'Basic Input'!$E$108)))))))))))))))</f>
        <v>0</v>
      </c>
      <c r="G10" s="258"/>
      <c r="H10" s="5"/>
      <c r="I10" s="5"/>
    </row>
    <row r="11" spans="2:18" x14ac:dyDescent="0.35">
      <c r="B11" s="112" t="s">
        <v>114</v>
      </c>
      <c r="C11" s="110"/>
      <c r="D11" s="102">
        <f>C11*52/'Basic Input'!$C$93</f>
        <v>0</v>
      </c>
      <c r="E11" s="103"/>
      <c r="F11" s="104">
        <f>D11*(IF(E11=2,'Basic Input'!$C$95,IF(E11=3,'Basic Input'!$E$96,IF(E11=4,'Basic Input'!$E$97,IF(E11=5,'Basic Input'!$E$98,IF(E11=6,'Basic Input'!$E$99,IF(E11=7,'Basic Input'!$E$100,IF(E11=8,'Basic Input'!$E$101,IF(E11=9,'Basic Input'!$E$102,IF(E11=10,'Basic Input'!$E$103,IF(E11=B16,'Basic Input'!$E$104,IF(E11=11,'Basic Input'!$E$105,IF(E11=B17,'Basic Input'!$E$106,IF(E11=12,'Basic Input'!$E$107,IF(E11=0,'Basic Input'!$E$108)))))))))))))))</f>
        <v>0</v>
      </c>
      <c r="G11" s="258"/>
      <c r="H11" s="5"/>
      <c r="I11" s="5"/>
    </row>
    <row r="12" spans="2:18" x14ac:dyDescent="0.35">
      <c r="B12" s="112" t="s">
        <v>115</v>
      </c>
      <c r="C12" s="110">
        <v>4</v>
      </c>
      <c r="D12" s="102">
        <f>C12*52/'Basic Input'!$C$93</f>
        <v>0.11093333333333333</v>
      </c>
      <c r="E12" s="103">
        <v>5</v>
      </c>
      <c r="F12" s="104">
        <f>D12*(IF(E12=2,'Basic Input'!$C$95,IF(E12=3,'Basic Input'!$E$96,IF(E12=4,'Basic Input'!$E$97,IF(E12=5,'Basic Input'!$E$98,IF(E12=6,'Basic Input'!$E$99,IF(E12=7,'Basic Input'!$E$100,IF(E12=8,'Basic Input'!$E$101,IF(E12=9,'Basic Input'!$E$102,IF(E12=10,'Basic Input'!$E$103,IF(E12=B17,'Basic Input'!$E$104,IF(E12=11,'Basic Input'!$E$105,IF(E12=B18,'Basic Input'!$E$106,IF(E12=12,'Basic Input'!$E$107,IF(E12=0,'Basic Input'!$E$108)))))))))))))))</f>
        <v>3608.8831999999998</v>
      </c>
      <c r="G12" s="258"/>
      <c r="H12" s="5"/>
      <c r="I12" s="5"/>
    </row>
    <row r="13" spans="2:18" x14ac:dyDescent="0.35">
      <c r="B13" s="112" t="s">
        <v>116</v>
      </c>
      <c r="C13" s="110">
        <v>1</v>
      </c>
      <c r="D13" s="102">
        <f>C13*52/'Basic Input'!$C$93</f>
        <v>2.7733333333333332E-2</v>
      </c>
      <c r="E13" s="103">
        <v>9</v>
      </c>
      <c r="F13" s="104">
        <f>D13*(IF(E13=2,'Basic Input'!$C$95,IF(E13=3,'Basic Input'!$E$96,IF(E13=4,'Basic Input'!$E$97,IF(E13=5,'Basic Input'!$E$98,IF(E13=6,'Basic Input'!$E$99,IF(E13=7,'Basic Input'!$E$100,IF(E13=8,'Basic Input'!$E$101,IF(E13=9,'Basic Input'!$E$102,IF(E13=10,'Basic Input'!$E$103,IF(E13=B18,'Basic Input'!$E$104,IF(E13=11,'Basic Input'!$E$105,IF(E13=B19,'Basic Input'!$E$106,IF(E13=12,'Basic Input'!$E$107,IF(E13=0,'Basic Input'!$E$108)))))))))))))))</f>
        <v>1320.5503999999999</v>
      </c>
      <c r="G13" s="258"/>
      <c r="H13" s="5"/>
      <c r="I13" s="5"/>
    </row>
    <row r="14" spans="2:18" ht="15" thickBot="1" x14ac:dyDescent="0.4">
      <c r="B14" s="63" t="s">
        <v>191</v>
      </c>
      <c r="C14" s="110">
        <v>6</v>
      </c>
      <c r="D14" s="102">
        <f>C14*52/'Basic Input'!$C$93</f>
        <v>0.16639999999999999</v>
      </c>
      <c r="E14" s="103">
        <v>9</v>
      </c>
      <c r="F14" s="104">
        <f>D14*(IF(E14=2,'Basic Input'!$C$95,IF(E14=3,'Basic Input'!$E$96,IF(E14=4,'Basic Input'!$E$97,IF(E14=5,'Basic Input'!$E$98,IF(E14=6,'Basic Input'!$E$99,IF(E14=7,'Basic Input'!$E$100,IF(E14=8,'Basic Input'!$E$101,IF(E14=9,'Basic Input'!$E$102,IF(E14=10,'Basic Input'!$E$103,IF(E14=B19,'Basic Input'!$E$104,IF(E14=11,'Basic Input'!$E$105,IF(E14=B20,'Basic Input'!$E$106,IF(E14=12,'Basic Input'!$E$107,IF(E14=0,'Basic Input'!$E$108)))))))))))))))</f>
        <v>7923.3023999999996</v>
      </c>
      <c r="G14" s="258"/>
      <c r="H14" s="5"/>
      <c r="I14" s="5"/>
    </row>
    <row r="15" spans="2:18" ht="15" thickBot="1" x14ac:dyDescent="0.4">
      <c r="B15" s="51" t="s">
        <v>41</v>
      </c>
      <c r="C15" s="50">
        <f>SUM(C7:C14)</f>
        <v>21</v>
      </c>
      <c r="D15" s="261"/>
      <c r="E15" s="47"/>
      <c r="F15" s="48">
        <f>SUM(F7:F14)</f>
        <v>22711.603199999998</v>
      </c>
      <c r="G15" s="145"/>
      <c r="H15" s="5"/>
      <c r="I15" s="5"/>
    </row>
    <row r="16" spans="2:18" x14ac:dyDescent="0.35">
      <c r="B16" s="5"/>
      <c r="C16" s="5"/>
      <c r="D16" s="5"/>
      <c r="E16" s="5"/>
      <c r="F16" s="5"/>
      <c r="G16" s="5"/>
      <c r="H16" s="5"/>
      <c r="I16" s="5"/>
    </row>
    <row r="17" spans="2:18" x14ac:dyDescent="0.35">
      <c r="B17" s="35" t="s">
        <v>56</v>
      </c>
      <c r="C17" s="36" t="s">
        <v>107</v>
      </c>
      <c r="D17" s="5"/>
      <c r="E17" s="5"/>
      <c r="F17" s="5"/>
      <c r="G17" s="5"/>
      <c r="H17" s="5"/>
      <c r="I17" s="5"/>
    </row>
    <row r="18" spans="2:18" x14ac:dyDescent="0.35">
      <c r="B18" s="61" t="s">
        <v>192</v>
      </c>
      <c r="C18" s="106">
        <v>3000</v>
      </c>
      <c r="D18" s="5"/>
      <c r="E18" s="5"/>
      <c r="F18" s="5"/>
      <c r="G18" s="5"/>
      <c r="H18" s="5"/>
      <c r="I18" s="5"/>
    </row>
    <row r="19" spans="2:18" ht="15" thickBot="1" x14ac:dyDescent="0.4">
      <c r="B19" s="62"/>
      <c r="C19" s="107"/>
      <c r="D19" s="5"/>
      <c r="E19" s="5"/>
      <c r="F19" s="5"/>
      <c r="G19" s="5"/>
      <c r="H19" s="5"/>
      <c r="I19" s="5"/>
    </row>
    <row r="20" spans="2:18" ht="15" thickBot="1" x14ac:dyDescent="0.4">
      <c r="B20" s="237" t="s">
        <v>41</v>
      </c>
      <c r="C20" s="238">
        <f>SUM(C18:C19)</f>
        <v>3000</v>
      </c>
      <c r="D20" s="5"/>
      <c r="E20" s="5"/>
      <c r="F20" s="5"/>
      <c r="G20" s="5"/>
      <c r="H20" s="5"/>
      <c r="I20" s="5"/>
    </row>
    <row r="21" spans="2:18" x14ac:dyDescent="0.35">
      <c r="B21" s="5"/>
      <c r="C21" s="5"/>
      <c r="D21" s="5"/>
      <c r="E21" s="5"/>
      <c r="F21" s="5"/>
      <c r="G21" s="5"/>
      <c r="H21" s="5"/>
      <c r="I21" s="5"/>
    </row>
    <row r="24" spans="2:18" x14ac:dyDescent="0.35">
      <c r="B24" s="96" t="s">
        <v>130</v>
      </c>
      <c r="C24" s="97"/>
      <c r="D24" s="97"/>
      <c r="E24" s="97"/>
      <c r="F24" s="97"/>
      <c r="G24" s="97"/>
      <c r="H24" s="97"/>
      <c r="I24" s="97"/>
      <c r="J24" s="70"/>
      <c r="K24" s="70"/>
      <c r="L24" s="70"/>
      <c r="M24" s="70"/>
      <c r="N24" s="70"/>
      <c r="O24" s="70"/>
      <c r="P24" s="70"/>
      <c r="Q24" s="70"/>
      <c r="R24" s="70"/>
    </row>
    <row r="25" spans="2:18" x14ac:dyDescent="0.35">
      <c r="B25" s="5"/>
      <c r="C25" s="5"/>
      <c r="D25" s="5"/>
      <c r="E25" s="5"/>
      <c r="F25" s="5"/>
      <c r="G25" s="5"/>
      <c r="H25" s="5"/>
      <c r="I25" s="5"/>
    </row>
    <row r="26" spans="2:18" ht="26" x14ac:dyDescent="0.35">
      <c r="B26" s="35" t="s">
        <v>96</v>
      </c>
      <c r="C26" s="36" t="s">
        <v>95</v>
      </c>
      <c r="D26" s="37" t="s">
        <v>39</v>
      </c>
      <c r="E26" s="37" t="s">
        <v>207</v>
      </c>
      <c r="F26" s="37" t="s">
        <v>151</v>
      </c>
      <c r="G26" s="257"/>
      <c r="H26" s="5"/>
      <c r="I26" s="5"/>
    </row>
    <row r="27" spans="2:18" x14ac:dyDescent="0.35">
      <c r="B27" s="111"/>
      <c r="C27" s="109"/>
      <c r="D27" s="102">
        <f>C27*52/'Basic Input'!$C$93</f>
        <v>0</v>
      </c>
      <c r="E27" s="103"/>
      <c r="F27" s="104">
        <f>D27*(IF(E27=2,'Basic Input'!$C$95,IF(E27=3,'Basic Input'!$E$96,IF(E27=4,'Basic Input'!$E$97,IF(E27=5,'Basic Input'!$E$98,IF(E27=6,'Basic Input'!$E$99,IF(E27=7,'Basic Input'!$E$100,IF(E27=8,'Basic Input'!$E$101,IF(E27=9,'Basic Input'!$E$102,IF(E27=10,'Basic Input'!$E$103,IF(E27=B32,'Basic Input'!$E$104,IF(E27=11,'Basic Input'!$E$105,IF(E27=B33,'Basic Input'!$E$106,IF(E27=12,'Basic Input'!$E$107,IF(E27=0,'Basic Input'!$E$108)))))))))))))))</f>
        <v>0</v>
      </c>
      <c r="G27" s="258"/>
      <c r="H27" s="5"/>
      <c r="I27" s="5"/>
    </row>
    <row r="28" spans="2:18" x14ac:dyDescent="0.35">
      <c r="B28" s="112"/>
      <c r="C28" s="110"/>
      <c r="D28" s="102">
        <f>C28*52/'Basic Input'!$C$93</f>
        <v>0</v>
      </c>
      <c r="E28" s="103"/>
      <c r="F28" s="104">
        <f>D28*(IF(E28=2,'Basic Input'!$C$95,IF(E28=3,'Basic Input'!$E$96,IF(E28=4,'Basic Input'!$E$97,IF(E28=5,'Basic Input'!$E$98,IF(E28=6,'Basic Input'!$E$99,IF(E28=7,'Basic Input'!$E$100,IF(E28=8,'Basic Input'!$E$101,IF(E28=9,'Basic Input'!$E$102,IF(E28=10,'Basic Input'!$E$103,IF(E28=B33,'Basic Input'!$E$104,IF(E28=11,'Basic Input'!$E$105,IF(E28=B34,'Basic Input'!$E$106,IF(E28=12,'Basic Input'!$E$107,IF(E28=0,'Basic Input'!$E$108)))))))))))))))</f>
        <v>0</v>
      </c>
      <c r="G28" s="258"/>
      <c r="H28" s="5"/>
      <c r="I28" s="5"/>
    </row>
    <row r="29" spans="2:18" x14ac:dyDescent="0.35">
      <c r="B29" s="112"/>
      <c r="C29" s="110"/>
      <c r="D29" s="102">
        <f>C29*52/'Basic Input'!$C$93</f>
        <v>0</v>
      </c>
      <c r="E29" s="103"/>
      <c r="F29" s="104">
        <f>D29*(IF(E29=2,'Basic Input'!$C$95,IF(E29=3,'Basic Input'!$E$96,IF(E29=4,'Basic Input'!$E$97,IF(E29=5,'Basic Input'!$E$98,IF(E29=6,'Basic Input'!$E$99,IF(E29=7,'Basic Input'!$E$100,IF(E29=8,'Basic Input'!$E$101,IF(E29=9,'Basic Input'!$E$102,IF(E29=10,'Basic Input'!$E$103,IF(E29=B34,'Basic Input'!$E$104,IF(E29=11,'Basic Input'!$E$105,IF(E29=B35,'Basic Input'!$E$106,IF(E29=12,'Basic Input'!$E$107,IF(E29=0,'Basic Input'!$E$108)))))))))))))))</f>
        <v>0</v>
      </c>
      <c r="G29" s="258"/>
      <c r="H29" s="5"/>
      <c r="I29" s="5"/>
    </row>
    <row r="30" spans="2:18" x14ac:dyDescent="0.35">
      <c r="B30" s="112"/>
      <c r="C30" s="110"/>
      <c r="D30" s="102">
        <f>C30*52/'Basic Input'!$C$93</f>
        <v>0</v>
      </c>
      <c r="E30" s="103"/>
      <c r="F30" s="104">
        <f>D30*(IF(E30=2,'Basic Input'!$C$95,IF(E30=3,'Basic Input'!$E$96,IF(E30=4,'Basic Input'!$E$97,IF(E30=5,'Basic Input'!$E$98,IF(E30=6,'Basic Input'!$E$99,IF(E30=7,'Basic Input'!$E$100,IF(E30=8,'Basic Input'!$E$101,IF(E30=9,'Basic Input'!$E$102,IF(E30=10,'Basic Input'!$E$103,IF(E30=B35,'Basic Input'!$E$104,IF(E30=11,'Basic Input'!$E$105,IF(E30=B36,'Basic Input'!$E$106,IF(E30=12,'Basic Input'!$E$107,IF(E30=0,'Basic Input'!$E$108)))))))))))))))</f>
        <v>0</v>
      </c>
      <c r="G30" s="258"/>
      <c r="H30" s="5"/>
      <c r="I30" s="5"/>
    </row>
    <row r="31" spans="2:18" x14ac:dyDescent="0.35">
      <c r="B31" s="112"/>
      <c r="C31" s="110"/>
      <c r="D31" s="102">
        <f>C31*52/'Basic Input'!$C$93</f>
        <v>0</v>
      </c>
      <c r="E31" s="103"/>
      <c r="F31" s="104">
        <f>D31*(IF(E31=2,'Basic Input'!$C$95,IF(E31=3,'Basic Input'!$E$96,IF(E31=4,'Basic Input'!$E$97,IF(E31=5,'Basic Input'!$E$98,IF(E31=6,'Basic Input'!$E$99,IF(E31=7,'Basic Input'!$E$100,IF(E31=8,'Basic Input'!$E$101,IF(E31=9,'Basic Input'!$E$102,IF(E31=10,'Basic Input'!$E$103,IF(E31=B36,'Basic Input'!$E$104,IF(E31=11,'Basic Input'!$E$105,IF(E31=B37,'Basic Input'!$E$106,IF(E31=12,'Basic Input'!$E$107,IF(E31=0,'Basic Input'!$E$108)))))))))))))))</f>
        <v>0</v>
      </c>
      <c r="G31" s="258"/>
      <c r="H31" s="5"/>
      <c r="I31" s="5"/>
    </row>
    <row r="32" spans="2:18" x14ac:dyDescent="0.35">
      <c r="B32" s="112"/>
      <c r="C32" s="110"/>
      <c r="D32" s="102">
        <f>C32*52/'Basic Input'!$C$93</f>
        <v>0</v>
      </c>
      <c r="E32" s="103"/>
      <c r="F32" s="104">
        <f>D32*(IF(E32=2,'Basic Input'!$C$95,IF(E32=3,'Basic Input'!$E$96,IF(E32=4,'Basic Input'!$E$97,IF(E32=5,'Basic Input'!$E$98,IF(E32=6,'Basic Input'!$E$99,IF(E32=7,'Basic Input'!$E$100,IF(E32=8,'Basic Input'!$E$101,IF(E32=9,'Basic Input'!$E$102,IF(E32=10,'Basic Input'!$E$103,IF(E32=B37,'Basic Input'!$E$104,IF(E32=11,'Basic Input'!$E$105,IF(E32=B38,'Basic Input'!$E$106,IF(E32=12,'Basic Input'!$E$107,IF(E32=0,'Basic Input'!$E$108)))))))))))))))</f>
        <v>0</v>
      </c>
      <c r="G32" s="258"/>
      <c r="H32" s="5"/>
      <c r="I32" s="5"/>
    </row>
    <row r="33" spans="2:18" x14ac:dyDescent="0.35">
      <c r="B33" s="112"/>
      <c r="C33" s="110"/>
      <c r="D33" s="102">
        <f>C33*52/'Basic Input'!$C$93</f>
        <v>0</v>
      </c>
      <c r="E33" s="103"/>
      <c r="F33" s="104">
        <f>D33*(IF(E33=2,'Basic Input'!$C$95,IF(E33=3,'Basic Input'!$E$96,IF(E33=4,'Basic Input'!$E$97,IF(E33=5,'Basic Input'!$E$98,IF(E33=6,'Basic Input'!$E$99,IF(E33=7,'Basic Input'!$E$100,IF(E33=8,'Basic Input'!$E$101,IF(E33=9,'Basic Input'!$E$102,IF(E33=10,'Basic Input'!$E$103,IF(E33=B38,'Basic Input'!$E$104,IF(E33=11,'Basic Input'!$E$105,IF(E33=B39,'Basic Input'!$E$106,IF(E33=12,'Basic Input'!$E$107,IF(E33=0,'Basic Input'!$E$108)))))))))))))))</f>
        <v>0</v>
      </c>
      <c r="G33" s="258"/>
      <c r="H33" s="5"/>
      <c r="I33" s="5"/>
    </row>
    <row r="34" spans="2:18" ht="15" thickBot="1" x14ac:dyDescent="0.4">
      <c r="B34" s="63"/>
      <c r="C34" s="110"/>
      <c r="D34" s="102">
        <f>C34*52/'Basic Input'!$C$93</f>
        <v>0</v>
      </c>
      <c r="E34" s="103"/>
      <c r="F34" s="104">
        <f>D34*(IF(E34=2,'Basic Input'!$C$95,IF(E34=3,'Basic Input'!$E$96,IF(E34=4,'Basic Input'!$E$97,IF(E34=5,'Basic Input'!$E$98,IF(E34=6,'Basic Input'!$E$99,IF(E34=7,'Basic Input'!$E$100,IF(E34=8,'Basic Input'!$E$101,IF(E34=9,'Basic Input'!$E$102,IF(E34=10,'Basic Input'!$E$103,IF(E34=B39,'Basic Input'!$E$104,IF(E34=11,'Basic Input'!$E$105,IF(E34=B40,'Basic Input'!$E$106,IF(E34=12,'Basic Input'!$E$107,IF(E34=0,'Basic Input'!$E$108)))))))))))))))</f>
        <v>0</v>
      </c>
      <c r="G34" s="258"/>
      <c r="H34" s="5"/>
      <c r="I34" s="5"/>
    </row>
    <row r="35" spans="2:18" ht="15" thickBot="1" x14ac:dyDescent="0.4">
      <c r="B35" s="244" t="s">
        <v>41</v>
      </c>
      <c r="C35" s="248">
        <f>SUM(C27:C34)</f>
        <v>0</v>
      </c>
      <c r="D35" s="261"/>
      <c r="E35" s="47"/>
      <c r="F35" s="48">
        <f>SUM(F27:F34,J27)</f>
        <v>0</v>
      </c>
      <c r="G35" s="145"/>
      <c r="H35" s="5"/>
      <c r="I35" s="5"/>
    </row>
    <row r="36" spans="2:18" x14ac:dyDescent="0.35">
      <c r="B36" s="5"/>
      <c r="C36" s="5"/>
      <c r="D36" s="5"/>
      <c r="E36" s="5"/>
      <c r="F36" s="5"/>
      <c r="G36" s="5"/>
      <c r="H36" s="5"/>
      <c r="I36" s="5"/>
    </row>
    <row r="37" spans="2:18" x14ac:dyDescent="0.35">
      <c r="B37" s="35" t="s">
        <v>56</v>
      </c>
      <c r="C37" s="36" t="s">
        <v>107</v>
      </c>
      <c r="D37" s="5"/>
      <c r="E37" s="5"/>
      <c r="F37" s="5"/>
      <c r="G37" s="5"/>
      <c r="H37" s="5"/>
      <c r="I37" s="5"/>
    </row>
    <row r="38" spans="2:18" x14ac:dyDescent="0.35">
      <c r="B38" s="60" t="s">
        <v>117</v>
      </c>
      <c r="C38" s="137">
        <f>'Basic Input'!C78*'Basic Input'!C79*52</f>
        <v>5200</v>
      </c>
      <c r="D38" s="5"/>
      <c r="E38" s="5"/>
      <c r="F38" s="5"/>
      <c r="G38" s="5"/>
      <c r="H38" s="5"/>
      <c r="I38" s="5"/>
    </row>
    <row r="39" spans="2:18" x14ac:dyDescent="0.35">
      <c r="B39" s="61" t="s">
        <v>118</v>
      </c>
      <c r="C39" s="108">
        <f>'Basic Input'!C66*'Basic Input'!C73*52</f>
        <v>156000</v>
      </c>
      <c r="D39" s="5"/>
      <c r="E39" s="5"/>
      <c r="F39" s="5"/>
      <c r="G39" s="5"/>
      <c r="H39" s="5"/>
      <c r="I39" s="5"/>
    </row>
    <row r="40" spans="2:18" ht="15" thickBot="1" x14ac:dyDescent="0.4">
      <c r="B40" s="62"/>
      <c r="C40" s="107"/>
      <c r="D40" s="5"/>
      <c r="E40" s="5"/>
      <c r="F40" s="5"/>
      <c r="G40" s="5"/>
      <c r="H40" s="5"/>
      <c r="I40" s="5"/>
    </row>
    <row r="41" spans="2:18" ht="15" thickBot="1" x14ac:dyDescent="0.4">
      <c r="B41" s="237" t="s">
        <v>41</v>
      </c>
      <c r="C41" s="238">
        <f>SUM(C38:C40)</f>
        <v>161200</v>
      </c>
      <c r="D41" s="5"/>
      <c r="E41" s="5"/>
      <c r="F41" s="5"/>
      <c r="G41" s="5"/>
      <c r="H41" s="5"/>
      <c r="I41" s="5"/>
    </row>
    <row r="42" spans="2:18" x14ac:dyDescent="0.35">
      <c r="B42" s="5"/>
      <c r="C42" s="5"/>
      <c r="D42" s="5"/>
      <c r="E42" s="5"/>
      <c r="F42" s="5"/>
      <c r="G42" s="5"/>
      <c r="H42" s="5"/>
      <c r="I42" s="5"/>
    </row>
    <row r="44" spans="2:18" x14ac:dyDescent="0.35">
      <c r="B44" s="96" t="s">
        <v>131</v>
      </c>
      <c r="C44" s="97"/>
      <c r="D44" s="97"/>
      <c r="E44" s="97"/>
      <c r="F44" s="97"/>
      <c r="G44" s="97"/>
      <c r="H44" s="97"/>
      <c r="I44" s="97"/>
      <c r="J44" s="70"/>
      <c r="K44" s="70"/>
      <c r="L44" s="70"/>
      <c r="M44" s="70"/>
      <c r="N44" s="70"/>
      <c r="O44" s="70"/>
      <c r="P44" s="70"/>
      <c r="Q44" s="70"/>
      <c r="R44" s="70"/>
    </row>
    <row r="45" spans="2:18" x14ac:dyDescent="0.35">
      <c r="B45" s="5"/>
      <c r="C45" s="5"/>
      <c r="D45" s="5"/>
      <c r="E45" s="5"/>
      <c r="F45" s="5"/>
      <c r="G45" s="5"/>
      <c r="H45" s="5"/>
      <c r="I45" s="5"/>
    </row>
    <row r="46" spans="2:18" ht="26" x14ac:dyDescent="0.35">
      <c r="B46" s="35" t="s">
        <v>96</v>
      </c>
      <c r="C46" s="36" t="s">
        <v>95</v>
      </c>
      <c r="D46" s="37" t="s">
        <v>39</v>
      </c>
      <c r="E46" s="37" t="s">
        <v>207</v>
      </c>
      <c r="F46" s="37" t="s">
        <v>151</v>
      </c>
      <c r="G46" s="257"/>
      <c r="H46" s="5"/>
      <c r="I46" s="5"/>
    </row>
    <row r="47" spans="2:18" x14ac:dyDescent="0.35">
      <c r="B47" s="111" t="s">
        <v>189</v>
      </c>
      <c r="C47" s="109">
        <v>2</v>
      </c>
      <c r="D47" s="102">
        <f>C47*52/'Basic Input'!$C$93</f>
        <v>5.5466666666666664E-2</v>
      </c>
      <c r="E47" s="103">
        <v>9</v>
      </c>
      <c r="F47" s="104">
        <f>D47*(IF(E47=2,'Basic Input'!$C$95,IF(E47=3,'Basic Input'!$E$96,IF(E47=4,'Basic Input'!$E$97,IF(E47=5,'Basic Input'!$E$98,IF(E47=6,'Basic Input'!$E$99,IF(E47=7,'Basic Input'!$E$100,IF(E47=8,'Basic Input'!$E$101,IF(E47=9,'Basic Input'!$E$102,IF(E47=10,'Basic Input'!$E$103,IF(E47=B52,'Basic Input'!$E$104,IF(E47=11,'Basic Input'!$E$105,IF(E47=B53,'Basic Input'!$E$106,IF(E47=12,'Basic Input'!$E$107,IF(E47=0,'Basic Input'!$E$108)))))))))))))))</f>
        <v>2641.1007999999997</v>
      </c>
      <c r="G47" s="258"/>
      <c r="H47" s="5"/>
      <c r="I47" s="5"/>
    </row>
    <row r="48" spans="2:18" x14ac:dyDescent="0.35">
      <c r="B48" s="112"/>
      <c r="C48" s="110"/>
      <c r="D48" s="102">
        <f>C48*52/'Basic Input'!$C$93</f>
        <v>0</v>
      </c>
      <c r="E48" s="103"/>
      <c r="F48" s="104">
        <f>D48*(IF(E48=2,'Basic Input'!$C$95,IF(E48=3,'Basic Input'!$E$96,IF(E48=4,'Basic Input'!$E$97,IF(E48=5,'Basic Input'!$E$98,IF(E48=6,'Basic Input'!$E$99,IF(E48=7,'Basic Input'!$E$100,IF(E48=8,'Basic Input'!$E$101,IF(E48=9,'Basic Input'!$E$102,IF(E48=10,'Basic Input'!$E$103,IF(E48=B53,'Basic Input'!$E$104,IF(E48=11,'Basic Input'!$E$105,IF(E48=B54,'Basic Input'!$E$106,IF(E48=12,'Basic Input'!$E$107,IF(E48=0,'Basic Input'!$E$108)))))))))))))))</f>
        <v>0</v>
      </c>
      <c r="G48" s="258"/>
      <c r="H48" s="5"/>
      <c r="I48" s="5"/>
    </row>
    <row r="49" spans="2:18" x14ac:dyDescent="0.35">
      <c r="B49" s="112"/>
      <c r="C49" s="110"/>
      <c r="D49" s="102">
        <f>C49*52/'Basic Input'!$C$93</f>
        <v>0</v>
      </c>
      <c r="E49" s="103"/>
      <c r="F49" s="104">
        <f>D49*(IF(E49=2,'Basic Input'!$C$95,IF(E49=3,'Basic Input'!$E$96,IF(E49=4,'Basic Input'!$E$97,IF(E49=5,'Basic Input'!$E$98,IF(E49=6,'Basic Input'!$E$99,IF(E49=7,'Basic Input'!$E$100,IF(E49=8,'Basic Input'!$E$101,IF(E49=9,'Basic Input'!$E$102,IF(E49=10,'Basic Input'!$E$103,IF(E49=B54,'Basic Input'!$E$104,IF(E49=11,'Basic Input'!$E$105,IF(E49=B55,'Basic Input'!$E$106,IF(E49=12,'Basic Input'!$E$107,IF(E49=0,'Basic Input'!$E$108)))))))))))))))</f>
        <v>0</v>
      </c>
      <c r="G49" s="258"/>
      <c r="H49" s="5"/>
      <c r="I49" s="5"/>
    </row>
    <row r="50" spans="2:18" x14ac:dyDescent="0.35">
      <c r="B50" s="112"/>
      <c r="C50" s="110"/>
      <c r="D50" s="102">
        <f>C50*52/'Basic Input'!$C$93</f>
        <v>0</v>
      </c>
      <c r="E50" s="103"/>
      <c r="F50" s="104">
        <f>D50*(IF(E50=2,'Basic Input'!$C$95,IF(E50=3,'Basic Input'!$E$96,IF(E50=4,'Basic Input'!$E$97,IF(E50=5,'Basic Input'!$E$98,IF(E50=6,'Basic Input'!$E$99,IF(E50=7,'Basic Input'!$E$100,IF(E50=8,'Basic Input'!$E$101,IF(E50=9,'Basic Input'!$E$102,IF(E50=10,'Basic Input'!$E$103,IF(E50=B55,'Basic Input'!$E$104,IF(E50=11,'Basic Input'!$E$105,IF(E50=B56,'Basic Input'!$E$106,IF(E50=12,'Basic Input'!$E$107,IF(E50=0,'Basic Input'!$E$108)))))))))))))))</f>
        <v>0</v>
      </c>
      <c r="G50" s="258"/>
      <c r="H50" s="5"/>
      <c r="I50" s="5"/>
    </row>
    <row r="51" spans="2:18" ht="15" thickBot="1" x14ac:dyDescent="0.4">
      <c r="B51" s="63"/>
      <c r="C51" s="110"/>
      <c r="D51" s="102">
        <f>C51*52/'Basic Input'!$C$93</f>
        <v>0</v>
      </c>
      <c r="E51" s="103"/>
      <c r="F51" s="104">
        <f>D51*(IF(E51=2,'Basic Input'!$C$95,IF(E51=3,'Basic Input'!$E$96,IF(E51=4,'Basic Input'!$E$97,IF(E51=5,'Basic Input'!$E$98,IF(E51=6,'Basic Input'!$E$99,IF(E51=7,'Basic Input'!$E$100,IF(E51=8,'Basic Input'!$E$101,IF(E51=9,'Basic Input'!$E$102,IF(E51=10,'Basic Input'!$E$103,IF(E51=B56,'Basic Input'!$E$104,IF(E51=11,'Basic Input'!$E$105,IF(E51=B57,'Basic Input'!$E$106,IF(E51=12,'Basic Input'!$E$107,IF(E51=0,'Basic Input'!$E$108)))))))))))))))</f>
        <v>0</v>
      </c>
      <c r="G51" s="258"/>
      <c r="H51" s="5"/>
      <c r="I51" s="5"/>
    </row>
    <row r="52" spans="2:18" ht="15" thickBot="1" x14ac:dyDescent="0.4">
      <c r="B52" s="244" t="s">
        <v>41</v>
      </c>
      <c r="C52" s="248">
        <f>SUM(C47:C51)</f>
        <v>2</v>
      </c>
      <c r="D52" s="261"/>
      <c r="E52" s="47"/>
      <c r="F52" s="48">
        <f>SUM(F47:F51)</f>
        <v>2641.1007999999997</v>
      </c>
      <c r="G52" s="145"/>
      <c r="H52" s="5"/>
      <c r="I52" s="5"/>
    </row>
    <row r="53" spans="2:18" x14ac:dyDescent="0.35">
      <c r="B53" s="5"/>
      <c r="C53" s="5"/>
      <c r="D53" s="5"/>
      <c r="E53" s="5"/>
      <c r="F53" s="5"/>
      <c r="G53" s="5"/>
      <c r="H53" s="5"/>
      <c r="I53" s="5"/>
    </row>
    <row r="54" spans="2:18" x14ac:dyDescent="0.35">
      <c r="B54" s="35" t="s">
        <v>56</v>
      </c>
      <c r="C54" s="36" t="s">
        <v>107</v>
      </c>
      <c r="D54" s="5"/>
      <c r="E54" s="5"/>
      <c r="F54" s="5"/>
      <c r="G54" s="5"/>
      <c r="H54" s="5"/>
      <c r="I54" s="5"/>
    </row>
    <row r="55" spans="2:18" x14ac:dyDescent="0.35">
      <c r="B55" s="61"/>
      <c r="C55" s="106"/>
      <c r="D55" s="5"/>
      <c r="E55" s="5"/>
      <c r="F55" s="5"/>
      <c r="G55" s="5"/>
      <c r="H55" s="5"/>
      <c r="I55" s="5"/>
    </row>
    <row r="56" spans="2:18" ht="15" thickBot="1" x14ac:dyDescent="0.4">
      <c r="B56" s="62"/>
      <c r="C56" s="107"/>
      <c r="D56" s="5"/>
      <c r="E56" s="5"/>
      <c r="F56" s="5"/>
      <c r="G56" s="5"/>
      <c r="H56" s="5"/>
      <c r="I56" s="5"/>
    </row>
    <row r="57" spans="2:18" ht="15" thickBot="1" x14ac:dyDescent="0.4">
      <c r="B57" s="237" t="s">
        <v>41</v>
      </c>
      <c r="C57" s="238">
        <f>SUM(C55:C56)</f>
        <v>0</v>
      </c>
      <c r="D57" s="5"/>
      <c r="E57" s="5"/>
      <c r="F57" s="5"/>
      <c r="G57" s="5"/>
      <c r="H57" s="5"/>
      <c r="I57" s="5"/>
    </row>
    <row r="58" spans="2:18" x14ac:dyDescent="0.35">
      <c r="B58" s="5"/>
      <c r="C58" s="5"/>
      <c r="D58" s="5"/>
      <c r="E58" s="5"/>
      <c r="F58" s="5"/>
      <c r="G58" s="5"/>
      <c r="H58" s="5"/>
      <c r="I58" s="5"/>
    </row>
    <row r="60" spans="2:18" x14ac:dyDescent="0.35">
      <c r="B60" s="96" t="s">
        <v>136</v>
      </c>
      <c r="C60" s="97"/>
      <c r="D60" s="97"/>
      <c r="E60" s="97"/>
      <c r="F60" s="97"/>
      <c r="G60" s="97"/>
      <c r="H60" s="97"/>
      <c r="I60" s="97"/>
      <c r="J60" s="70"/>
      <c r="K60" s="70"/>
      <c r="L60" s="70"/>
      <c r="M60" s="70"/>
      <c r="N60" s="70"/>
      <c r="O60" s="70"/>
      <c r="P60" s="70"/>
      <c r="Q60" s="70"/>
      <c r="R60" s="70"/>
    </row>
    <row r="61" spans="2:18" x14ac:dyDescent="0.35">
      <c r="B61" s="5"/>
      <c r="C61" s="5"/>
      <c r="D61" s="5"/>
      <c r="E61" s="5"/>
      <c r="F61" s="5"/>
      <c r="G61" s="5"/>
      <c r="H61" s="5"/>
      <c r="I61" s="5"/>
    </row>
    <row r="62" spans="2:18" ht="26" x14ac:dyDescent="0.35">
      <c r="B62" s="35" t="s">
        <v>96</v>
      </c>
      <c r="C62" s="36" t="s">
        <v>95</v>
      </c>
      <c r="D62" s="37" t="s">
        <v>39</v>
      </c>
      <c r="E62" s="37" t="s">
        <v>207</v>
      </c>
      <c r="F62" s="37" t="s">
        <v>151</v>
      </c>
      <c r="G62" s="257"/>
      <c r="H62" s="5"/>
      <c r="I62" s="5"/>
    </row>
    <row r="63" spans="2:18" x14ac:dyDescent="0.35">
      <c r="B63" s="111" t="s">
        <v>156</v>
      </c>
      <c r="C63" s="109">
        <v>2</v>
      </c>
      <c r="D63" s="102">
        <f>C63*52/'Basic Input'!$C$93</f>
        <v>5.5466666666666664E-2</v>
      </c>
      <c r="E63" s="103">
        <v>9</v>
      </c>
      <c r="F63" s="104">
        <f>D63*(IF(E63=2,'Basic Input'!$C$95,IF(E63=3,'Basic Input'!$E$96,IF(E63=4,'Basic Input'!$E$97,IF(E63=5,'Basic Input'!$E$98,IF(E63=6,'Basic Input'!$E$99,IF(E63=7,'Basic Input'!$E$100,IF(E63=8,'Basic Input'!$E$101,IF(E63=9,'Basic Input'!$E$102,IF(E63=10,'Basic Input'!$E$103,IF(E63=B68,'Basic Input'!$E$104,IF(E63=11,'Basic Input'!$E$105,IF(E63=B69,'Basic Input'!$E$106,IF(E63=12,'Basic Input'!$E$107,IF(E63=0,'Basic Input'!$E$108)))))))))))))))</f>
        <v>2641.1007999999997</v>
      </c>
      <c r="G63" s="258"/>
      <c r="H63" s="5"/>
      <c r="I63" s="5"/>
    </row>
    <row r="64" spans="2:18" x14ac:dyDescent="0.35">
      <c r="B64" s="112" t="s">
        <v>157</v>
      </c>
      <c r="C64" s="110">
        <v>2</v>
      </c>
      <c r="D64" s="102">
        <f>C64*52/'Basic Input'!$C$93</f>
        <v>5.5466666666666664E-2</v>
      </c>
      <c r="E64" s="103">
        <v>9</v>
      </c>
      <c r="F64" s="104">
        <f>D64*(IF(E64=2,'Basic Input'!$C$95,IF(E64=3,'Basic Input'!$E$96,IF(E64=4,'Basic Input'!$E$97,IF(E64=5,'Basic Input'!$E$98,IF(E64=6,'Basic Input'!$E$99,IF(E64=7,'Basic Input'!$E$100,IF(E64=8,'Basic Input'!$E$101,IF(E64=9,'Basic Input'!$E$102,IF(E64=10,'Basic Input'!$E$103,IF(E64=B69,'Basic Input'!$E$104,IF(E64=11,'Basic Input'!$E$105,IF(E64=B70,'Basic Input'!$E$106,IF(E64=12,'Basic Input'!$E$107,IF(E64=0,'Basic Input'!$E$108)))))))))))))))</f>
        <v>2641.1007999999997</v>
      </c>
      <c r="G64" s="258"/>
      <c r="H64" s="5"/>
      <c r="I64" s="5"/>
    </row>
    <row r="65" spans="2:18" x14ac:dyDescent="0.35">
      <c r="B65" s="112"/>
      <c r="C65" s="110"/>
      <c r="D65" s="102">
        <f>C65*52/'Basic Input'!$C$93</f>
        <v>0</v>
      </c>
      <c r="E65" s="103"/>
      <c r="F65" s="104">
        <f>D65*(IF(E65=2,'Basic Input'!$C$95,IF(E65=3,'Basic Input'!$E$96,IF(E65=4,'Basic Input'!$E$97,IF(E65=5,'Basic Input'!$E$98,IF(E65=6,'Basic Input'!$E$99,IF(E65=7,'Basic Input'!$E$100,IF(E65=8,'Basic Input'!$E$101,IF(E65=9,'Basic Input'!$E$102,IF(E65=10,'Basic Input'!$E$103,IF(E65=B70,'Basic Input'!$E$104,IF(E65=11,'Basic Input'!$E$105,IF(E65=B71,'Basic Input'!$E$106,IF(E65=12,'Basic Input'!$E$107,IF(E65=0,'Basic Input'!$E$108)))))))))))))))</f>
        <v>0</v>
      </c>
      <c r="G65" s="258"/>
      <c r="H65" s="5"/>
      <c r="I65" s="5"/>
    </row>
    <row r="66" spans="2:18" x14ac:dyDescent="0.35">
      <c r="B66" s="112" t="s">
        <v>158</v>
      </c>
      <c r="C66" s="110">
        <v>6</v>
      </c>
      <c r="D66" s="102">
        <f>C66*52/'Basic Input'!$C$93</f>
        <v>0.16639999999999999</v>
      </c>
      <c r="E66" s="103">
        <v>5</v>
      </c>
      <c r="F66" s="104">
        <f>D66*(IF(E66=2,'Basic Input'!$C$95,IF(E66=3,'Basic Input'!$E$96,IF(E66=4,'Basic Input'!$E$97,IF(E66=5,'Basic Input'!$E$98,IF(E66=6,'Basic Input'!$E$99,IF(E66=7,'Basic Input'!$E$100,IF(E66=8,'Basic Input'!$E$101,IF(E66=9,'Basic Input'!$E$102,IF(E66=10,'Basic Input'!$E$103,IF(E66=B71,'Basic Input'!$E$104,IF(E66=11,'Basic Input'!$E$105,IF(E66=B72,'Basic Input'!$E$106,IF(E66=12,'Basic Input'!$E$107,IF(E66=0,'Basic Input'!$E$108)))))))))))))))</f>
        <v>5413.3247999999994</v>
      </c>
      <c r="G66" s="258"/>
      <c r="H66" s="5"/>
      <c r="I66" s="5"/>
    </row>
    <row r="67" spans="2:18" ht="15" thickBot="1" x14ac:dyDescent="0.4">
      <c r="B67" s="63"/>
      <c r="C67" s="110"/>
      <c r="D67" s="102">
        <f>C67*52/'Basic Input'!$C$93</f>
        <v>0</v>
      </c>
      <c r="E67" s="103"/>
      <c r="F67" s="104">
        <f>D67*(IF(E67=2,'Basic Input'!$C$95,IF(E67=3,'Basic Input'!$E$96,IF(E67=4,'Basic Input'!$E$97,IF(E67=5,'Basic Input'!$E$98,IF(E67=6,'Basic Input'!$E$99,IF(E67=7,'Basic Input'!$E$100,IF(E67=8,'Basic Input'!$E$101,IF(E67=9,'Basic Input'!$E$102,IF(E67=10,'Basic Input'!$E$103,IF(E67=B72,'Basic Input'!$E$104,IF(E67=11,'Basic Input'!$E$105,IF(E67=B73,'Basic Input'!$E$106,IF(E67=12,'Basic Input'!$E$107,IF(E67=0,'Basic Input'!$E$108)))))))))))))))</f>
        <v>0</v>
      </c>
      <c r="G67" s="258"/>
      <c r="H67" s="5"/>
      <c r="I67" s="5"/>
    </row>
    <row r="68" spans="2:18" ht="15" thickBot="1" x14ac:dyDescent="0.4">
      <c r="B68" s="244" t="s">
        <v>41</v>
      </c>
      <c r="C68" s="248">
        <f>SUM(C63:C67)</f>
        <v>10</v>
      </c>
      <c r="D68" s="261"/>
      <c r="E68" s="47"/>
      <c r="F68" s="48">
        <f>SUM(F63:F67)</f>
        <v>10695.526399999999</v>
      </c>
      <c r="G68" s="145"/>
      <c r="H68" s="5"/>
      <c r="I68" s="5"/>
    </row>
    <row r="69" spans="2:18" x14ac:dyDescent="0.35">
      <c r="B69" s="5"/>
      <c r="C69" s="5"/>
      <c r="D69" s="5"/>
      <c r="E69" s="5"/>
      <c r="F69" s="5"/>
      <c r="G69" s="5"/>
      <c r="H69" s="5"/>
      <c r="I69" s="5"/>
    </row>
    <row r="70" spans="2:18" x14ac:dyDescent="0.35">
      <c r="B70" s="35" t="s">
        <v>56</v>
      </c>
      <c r="C70" s="36" t="s">
        <v>107</v>
      </c>
      <c r="D70" s="5"/>
      <c r="E70" s="5"/>
      <c r="F70" s="5"/>
      <c r="G70" s="5"/>
      <c r="H70" s="5"/>
      <c r="I70" s="5"/>
    </row>
    <row r="71" spans="2:18" x14ac:dyDescent="0.35">
      <c r="B71" s="61"/>
      <c r="C71" s="106"/>
      <c r="D71" s="5"/>
      <c r="E71" s="5"/>
      <c r="F71" s="5"/>
      <c r="G71" s="5"/>
      <c r="H71" s="5"/>
      <c r="I71" s="5"/>
    </row>
    <row r="72" spans="2:18" ht="15" thickBot="1" x14ac:dyDescent="0.4">
      <c r="B72" s="62"/>
      <c r="C72" s="107"/>
      <c r="D72" s="5"/>
      <c r="E72" s="5"/>
      <c r="F72" s="5"/>
      <c r="G72" s="5"/>
      <c r="H72" s="5"/>
      <c r="I72" s="5"/>
    </row>
    <row r="73" spans="2:18" ht="15" thickBot="1" x14ac:dyDescent="0.4">
      <c r="B73" s="237" t="s">
        <v>41</v>
      </c>
      <c r="C73" s="238">
        <f>SUM(C71:C72)</f>
        <v>0</v>
      </c>
      <c r="D73" s="5"/>
      <c r="E73" s="5"/>
      <c r="F73" s="5"/>
      <c r="G73" s="5"/>
      <c r="H73" s="5"/>
      <c r="I73" s="5"/>
    </row>
    <row r="76" spans="2:18" x14ac:dyDescent="0.35">
      <c r="B76" s="96" t="s">
        <v>137</v>
      </c>
      <c r="C76" s="97"/>
      <c r="D76" s="97"/>
      <c r="E76" s="97"/>
      <c r="F76" s="97"/>
      <c r="G76" s="97"/>
      <c r="H76" s="97"/>
      <c r="I76" s="97"/>
      <c r="J76" s="70"/>
      <c r="K76" s="70"/>
      <c r="L76" s="70"/>
      <c r="M76" s="70"/>
      <c r="N76" s="70"/>
      <c r="O76" s="70"/>
      <c r="P76" s="70"/>
      <c r="Q76" s="70"/>
      <c r="R76" s="70"/>
    </row>
    <row r="77" spans="2:18" x14ac:dyDescent="0.35">
      <c r="B77" s="5"/>
      <c r="C77" s="5"/>
      <c r="D77" s="5"/>
      <c r="E77" s="5"/>
      <c r="F77" s="5"/>
      <c r="G77" s="5"/>
      <c r="H77" s="5"/>
      <c r="I77" s="5"/>
    </row>
    <row r="78" spans="2:18" ht="26" x14ac:dyDescent="0.35">
      <c r="B78" s="35" t="s">
        <v>96</v>
      </c>
      <c r="C78" s="36" t="s">
        <v>95</v>
      </c>
      <c r="D78" s="37" t="s">
        <v>39</v>
      </c>
      <c r="E78" s="37" t="s">
        <v>207</v>
      </c>
      <c r="F78" s="37" t="s">
        <v>151</v>
      </c>
      <c r="G78" s="257"/>
      <c r="H78" s="5"/>
      <c r="I78" s="5"/>
    </row>
    <row r="79" spans="2:18" x14ac:dyDescent="0.35">
      <c r="B79" s="111" t="s">
        <v>159</v>
      </c>
      <c r="C79" s="109">
        <v>0</v>
      </c>
      <c r="D79" s="102">
        <f>C79*52/'Basic Input'!$C$93</f>
        <v>0</v>
      </c>
      <c r="E79" s="103">
        <v>9</v>
      </c>
      <c r="F79" s="104">
        <f>D79*(IF(E79=2,'Basic Input'!$C$95,IF(E79=3,'Basic Input'!$E$96,IF(E79=4,'Basic Input'!$E$97,IF(E79=5,'Basic Input'!$E$98,IF(E79=6,'Basic Input'!$E$99,IF(E79=7,'Basic Input'!$E$100,IF(E79=8,'Basic Input'!$E$101,IF(E79=9,'Basic Input'!$E$102,IF(E79=10,'Basic Input'!$E$103,IF(E79=B84,'Basic Input'!$E$104,IF(E79=11,'Basic Input'!$E$105,IF(E79=B85,'Basic Input'!$E$106,IF(E79=12,'Basic Input'!$E$107,IF(E79=0,'Basic Input'!$E$108)))))))))))))))</f>
        <v>0</v>
      </c>
      <c r="G79" s="258"/>
      <c r="H79" s="5"/>
      <c r="I79" s="5"/>
    </row>
    <row r="80" spans="2:18" x14ac:dyDescent="0.35">
      <c r="B80" s="112"/>
      <c r="C80" s="110"/>
      <c r="D80" s="102">
        <f>C80*52/'Basic Input'!$C$93</f>
        <v>0</v>
      </c>
      <c r="E80" s="103"/>
      <c r="F80" s="104">
        <f>D80*(IF(E80=2,'Basic Input'!$C$95,IF(E80=3,'Basic Input'!$E$96,IF(E80=4,'Basic Input'!$E$97,IF(E80=5,'Basic Input'!$E$98,IF(E80=6,'Basic Input'!$E$99,IF(E80=7,'Basic Input'!$E$100,IF(E80=8,'Basic Input'!$E$101,IF(E80=9,'Basic Input'!$E$102,IF(E80=10,'Basic Input'!$E$103,IF(E80=B85,'Basic Input'!$E$104,IF(E80=11,'Basic Input'!$E$105,IF(E80=B86,'Basic Input'!$E$106,IF(E80=12,'Basic Input'!$E$107,IF(E80=0,'Basic Input'!$E$108)))))))))))))))</f>
        <v>0</v>
      </c>
      <c r="G80" s="258"/>
      <c r="H80" s="5"/>
      <c r="I80" s="5"/>
    </row>
    <row r="81" spans="2:18" x14ac:dyDescent="0.35">
      <c r="B81" s="112"/>
      <c r="C81" s="110"/>
      <c r="D81" s="102">
        <f>C81*52/'Basic Input'!$C$93</f>
        <v>0</v>
      </c>
      <c r="E81" s="103"/>
      <c r="F81" s="104">
        <f>D81*(IF(E81=2,'Basic Input'!$C$95,IF(E81=3,'Basic Input'!$E$96,IF(E81=4,'Basic Input'!$E$97,IF(E81=5,'Basic Input'!$E$98,IF(E81=6,'Basic Input'!$E$99,IF(E81=7,'Basic Input'!$E$100,IF(E81=8,'Basic Input'!$E$101,IF(E81=9,'Basic Input'!$E$102,IF(E81=10,'Basic Input'!$E$103,IF(E81=B86,'Basic Input'!$E$104,IF(E81=11,'Basic Input'!$E$105,IF(E81=B87,'Basic Input'!$E$106,IF(E81=12,'Basic Input'!$E$107,IF(E81=0,'Basic Input'!$E$108)))))))))))))))</f>
        <v>0</v>
      </c>
      <c r="G81" s="258"/>
      <c r="H81" s="5"/>
      <c r="I81" s="5"/>
    </row>
    <row r="82" spans="2:18" x14ac:dyDescent="0.35">
      <c r="B82" s="112"/>
      <c r="C82" s="110"/>
      <c r="D82" s="102">
        <f>C82*52/'Basic Input'!$C$93</f>
        <v>0</v>
      </c>
      <c r="E82" s="103"/>
      <c r="F82" s="104">
        <f>D82*(IF(E82=2,'Basic Input'!$C$95,IF(E82=3,'Basic Input'!$E$96,IF(E82=4,'Basic Input'!$E$97,IF(E82=5,'Basic Input'!$E$98,IF(E82=6,'Basic Input'!$E$99,IF(E82=7,'Basic Input'!$E$100,IF(E82=8,'Basic Input'!$E$101,IF(E82=9,'Basic Input'!$E$102,IF(E82=10,'Basic Input'!$E$103,IF(E82=B87,'Basic Input'!$E$104,IF(E82=11,'Basic Input'!$E$105,IF(E82=B88,'Basic Input'!$E$106,IF(E82=12,'Basic Input'!$E$107,IF(E82=0,'Basic Input'!$E$108)))))))))))))))</f>
        <v>0</v>
      </c>
      <c r="G82" s="258"/>
      <c r="H82" s="5"/>
      <c r="I82" s="5"/>
    </row>
    <row r="83" spans="2:18" ht="15" thickBot="1" x14ac:dyDescent="0.4">
      <c r="B83" s="63"/>
      <c r="C83" s="110"/>
      <c r="D83" s="102">
        <f>C83*52/'Basic Input'!$C$93</f>
        <v>0</v>
      </c>
      <c r="E83" s="103"/>
      <c r="F83" s="104">
        <f>D83*(IF(E83=2,'Basic Input'!$C$95,IF(E83=3,'Basic Input'!$E$96,IF(E83=4,'Basic Input'!$E$97,IF(E83=5,'Basic Input'!$E$98,IF(E83=6,'Basic Input'!$E$99,IF(E83=7,'Basic Input'!$E$100,IF(E83=8,'Basic Input'!$E$101,IF(E83=9,'Basic Input'!$E$102,IF(E83=10,'Basic Input'!$E$103,IF(E83=B88,'Basic Input'!$E$104,IF(E83=11,'Basic Input'!$E$105,IF(E83=B89,'Basic Input'!$E$106,IF(E83=12,'Basic Input'!$E$107,IF(E83=0,'Basic Input'!$E$108)))))))))))))))</f>
        <v>0</v>
      </c>
      <c r="G83" s="258"/>
      <c r="H83" s="5"/>
      <c r="I83" s="5"/>
    </row>
    <row r="84" spans="2:18" ht="15" thickBot="1" x14ac:dyDescent="0.4">
      <c r="B84" s="244" t="s">
        <v>41</v>
      </c>
      <c r="C84" s="248">
        <f>SUM(C79:C83)</f>
        <v>0</v>
      </c>
      <c r="D84" s="261"/>
      <c r="E84" s="47"/>
      <c r="F84" s="48">
        <f>SUM(F79:F83)</f>
        <v>0</v>
      </c>
      <c r="G84" s="145"/>
      <c r="H84" s="5"/>
      <c r="I84" s="5"/>
    </row>
    <row r="85" spans="2:18" x14ac:dyDescent="0.35">
      <c r="B85" s="5"/>
      <c r="C85" s="5"/>
      <c r="D85" s="5"/>
      <c r="E85" s="5"/>
      <c r="F85" s="5"/>
      <c r="G85" s="5"/>
      <c r="H85" s="5"/>
      <c r="I85" s="5"/>
    </row>
    <row r="86" spans="2:18" x14ac:dyDescent="0.35">
      <c r="B86" s="35" t="s">
        <v>56</v>
      </c>
      <c r="C86" s="36" t="s">
        <v>107</v>
      </c>
      <c r="D86" s="5"/>
      <c r="E86" s="5"/>
      <c r="F86" s="5"/>
      <c r="G86" s="5"/>
      <c r="H86" s="5"/>
      <c r="I86" s="5"/>
    </row>
    <row r="87" spans="2:18" x14ac:dyDescent="0.35">
      <c r="B87" s="61"/>
      <c r="C87" s="106"/>
      <c r="D87" s="5"/>
      <c r="E87" s="5"/>
      <c r="F87" s="5"/>
      <c r="G87" s="5"/>
      <c r="H87" s="5"/>
      <c r="I87" s="5"/>
    </row>
    <row r="88" spans="2:18" ht="15" thickBot="1" x14ac:dyDescent="0.4">
      <c r="B88" s="62"/>
      <c r="C88" s="107"/>
      <c r="D88" s="5"/>
      <c r="E88" s="5"/>
      <c r="F88" s="5"/>
      <c r="G88" s="5"/>
      <c r="H88" s="5"/>
      <c r="I88" s="5"/>
    </row>
    <row r="89" spans="2:18" ht="15" thickBot="1" x14ac:dyDescent="0.4">
      <c r="B89" s="237" t="s">
        <v>41</v>
      </c>
      <c r="C89" s="238">
        <f>SUM(C87:C88)</f>
        <v>0</v>
      </c>
      <c r="D89" s="5"/>
      <c r="E89" s="5"/>
      <c r="F89" s="5"/>
      <c r="G89" s="5"/>
      <c r="H89" s="5"/>
      <c r="I89" s="5"/>
    </row>
    <row r="92" spans="2:18" x14ac:dyDescent="0.35">
      <c r="B92" s="96" t="s">
        <v>138</v>
      </c>
      <c r="C92" s="97"/>
      <c r="D92" s="97"/>
      <c r="E92" s="97"/>
      <c r="F92" s="97"/>
      <c r="G92" s="97"/>
      <c r="H92" s="97"/>
      <c r="I92" s="97"/>
      <c r="J92" s="70"/>
      <c r="K92" s="70"/>
      <c r="L92" s="70"/>
      <c r="M92" s="70"/>
      <c r="N92" s="70"/>
      <c r="O92" s="70"/>
      <c r="P92" s="70"/>
      <c r="Q92" s="70"/>
      <c r="R92" s="70"/>
    </row>
    <row r="93" spans="2:18" x14ac:dyDescent="0.35">
      <c r="B93" s="5"/>
      <c r="C93" s="5"/>
      <c r="D93" s="5"/>
      <c r="E93" s="5"/>
      <c r="F93" s="5"/>
      <c r="G93" s="5"/>
      <c r="H93" s="5"/>
      <c r="I93" s="5"/>
    </row>
    <row r="94" spans="2:18" ht="26" x14ac:dyDescent="0.35">
      <c r="B94" s="35" t="s">
        <v>96</v>
      </c>
      <c r="C94" s="36" t="s">
        <v>95</v>
      </c>
      <c r="D94" s="37" t="s">
        <v>39</v>
      </c>
      <c r="E94" s="37" t="s">
        <v>207</v>
      </c>
      <c r="F94" s="37" t="s">
        <v>151</v>
      </c>
      <c r="G94" s="257"/>
      <c r="H94" s="5"/>
      <c r="I94" s="5"/>
    </row>
    <row r="95" spans="2:18" x14ac:dyDescent="0.35">
      <c r="B95" s="111" t="s">
        <v>190</v>
      </c>
      <c r="C95" s="109">
        <v>2</v>
      </c>
      <c r="D95" s="102">
        <f>C95*52/'Basic Input'!$C$93</f>
        <v>5.5466666666666664E-2</v>
      </c>
      <c r="E95" s="103">
        <v>9</v>
      </c>
      <c r="F95" s="104">
        <f>D95*(IF(E95=2,'Basic Input'!$C$95,IF(E95=3,'Basic Input'!$E$96,IF(E95=4,'Basic Input'!$E$97,IF(E95=5,'Basic Input'!$E$98,IF(E95=6,'Basic Input'!$E$99,IF(E95=7,'Basic Input'!$E$100,IF(E95=8,'Basic Input'!$E$101,IF(E95=9,'Basic Input'!$E$102,IF(E95=10,'Basic Input'!$E$103,IF(E95=B100,'Basic Input'!$E$104,IF(E95=11,'Basic Input'!$E$105,IF(E95=B101,'Basic Input'!$E$106,IF(E95=12,'Basic Input'!$E$107,IF(E95=0,'Basic Input'!$E$108)))))))))))))))</f>
        <v>2641.1007999999997</v>
      </c>
      <c r="G95" s="258"/>
      <c r="H95" s="5"/>
      <c r="I95" s="5"/>
    </row>
    <row r="96" spans="2:18" x14ac:dyDescent="0.35">
      <c r="B96" s="112"/>
      <c r="C96" s="110"/>
      <c r="D96" s="102">
        <f>C96*52/'Basic Input'!$C$93</f>
        <v>0</v>
      </c>
      <c r="E96" s="103"/>
      <c r="F96" s="104">
        <f>D96*(IF(E96=2,'Basic Input'!$C$95,IF(E96=3,'Basic Input'!$E$96,IF(E96=4,'Basic Input'!$E$97,IF(E96=5,'Basic Input'!$E$98,IF(E96=6,'Basic Input'!$E$99,IF(E96=7,'Basic Input'!$E$100,IF(E96=8,'Basic Input'!$E$101,IF(E96=9,'Basic Input'!$E$102,IF(E96=10,'Basic Input'!$E$103,IF(E96=B101,'Basic Input'!$E$104,IF(E96=11,'Basic Input'!$E$105,IF(E96=B102,'Basic Input'!$E$106,IF(E96=12,'Basic Input'!$E$107,IF(E96=0,'Basic Input'!$E$108)))))))))))))))</f>
        <v>0</v>
      </c>
      <c r="G96" s="258"/>
      <c r="H96" s="5"/>
      <c r="I96" s="5"/>
    </row>
    <row r="97" spans="2:18" x14ac:dyDescent="0.35">
      <c r="B97" s="112"/>
      <c r="C97" s="110"/>
      <c r="D97" s="102">
        <f>C97*52/'Basic Input'!$C$93</f>
        <v>0</v>
      </c>
      <c r="E97" s="103"/>
      <c r="F97" s="104">
        <f>D97*(IF(E97=2,'Basic Input'!$C$95,IF(E97=3,'Basic Input'!$E$96,IF(E97=4,'Basic Input'!$E$97,IF(E97=5,'Basic Input'!$E$98,IF(E97=6,'Basic Input'!$E$99,IF(E97=7,'Basic Input'!$E$100,IF(E97=8,'Basic Input'!$E$101,IF(E97=9,'Basic Input'!$E$102,IF(E97=10,'Basic Input'!$E$103,IF(E97=B102,'Basic Input'!$E$104,IF(E97=11,'Basic Input'!$E$105,IF(E97=B103,'Basic Input'!$E$106,IF(E97=12,'Basic Input'!$E$107,IF(E97=0,'Basic Input'!$E$108)))))))))))))))</f>
        <v>0</v>
      </c>
      <c r="G97" s="258"/>
      <c r="H97" s="5"/>
      <c r="I97" s="5"/>
    </row>
    <row r="98" spans="2:18" x14ac:dyDescent="0.35">
      <c r="B98" s="112"/>
      <c r="C98" s="110"/>
      <c r="D98" s="102">
        <f>C98*52/'Basic Input'!$C$93</f>
        <v>0</v>
      </c>
      <c r="E98" s="103"/>
      <c r="F98" s="104">
        <f>D98*(IF(E98=2,'Basic Input'!$C$95,IF(E98=3,'Basic Input'!$E$96,IF(E98=4,'Basic Input'!$E$97,IF(E98=5,'Basic Input'!$E$98,IF(E98=6,'Basic Input'!$E$99,IF(E98=7,'Basic Input'!$E$100,IF(E98=8,'Basic Input'!$E$101,IF(E98=9,'Basic Input'!$E$102,IF(E98=10,'Basic Input'!$E$103,IF(E98=B103,'Basic Input'!$E$104,IF(E98=11,'Basic Input'!$E$105,IF(E98=B104,'Basic Input'!$E$106,IF(E98=12,'Basic Input'!$E$107,IF(E98=0,'Basic Input'!$E$108)))))))))))))))</f>
        <v>0</v>
      </c>
      <c r="G98" s="258"/>
      <c r="H98" s="5"/>
      <c r="I98" s="5"/>
    </row>
    <row r="99" spans="2:18" ht="15" thickBot="1" x14ac:dyDescent="0.4">
      <c r="B99" s="63"/>
      <c r="C99" s="110"/>
      <c r="D99" s="102">
        <f>C99*52/'Basic Input'!$C$93</f>
        <v>0</v>
      </c>
      <c r="E99" s="103"/>
      <c r="F99" s="104">
        <f>D99*(IF(E99=2,'Basic Input'!$C$95,IF(E99=3,'Basic Input'!$E$96,IF(E99=4,'Basic Input'!$E$97,IF(E99=5,'Basic Input'!$E$98,IF(E99=6,'Basic Input'!$E$99,IF(E99=7,'Basic Input'!$E$100,IF(E99=8,'Basic Input'!$E$101,IF(E99=9,'Basic Input'!$E$102,IF(E99=10,'Basic Input'!$E$103,IF(E99=B104,'Basic Input'!$E$104,IF(E99=11,'Basic Input'!$E$105,IF(E99=B105,'Basic Input'!$E$106,IF(E99=12,'Basic Input'!$E$107,IF(E99=0,'Basic Input'!$E$108)))))))))))))))</f>
        <v>0</v>
      </c>
      <c r="G99" s="258"/>
      <c r="H99" s="5"/>
      <c r="I99" s="5"/>
    </row>
    <row r="100" spans="2:18" ht="15" thickBot="1" x14ac:dyDescent="0.4">
      <c r="B100" s="244" t="s">
        <v>41</v>
      </c>
      <c r="C100" s="248">
        <f>SUM(C95:C99)</f>
        <v>2</v>
      </c>
      <c r="D100" s="261"/>
      <c r="E100" s="47"/>
      <c r="F100" s="52">
        <f>SUM(F95:F99)</f>
        <v>2641.1007999999997</v>
      </c>
      <c r="G100" s="145"/>
      <c r="H100" s="5"/>
      <c r="I100" s="5"/>
    </row>
    <row r="101" spans="2:18" x14ac:dyDescent="0.35">
      <c r="B101" s="5"/>
      <c r="C101" s="5"/>
      <c r="D101" s="5"/>
      <c r="E101" s="5"/>
      <c r="F101" s="5"/>
      <c r="G101" s="5"/>
      <c r="H101" s="5"/>
      <c r="I101" s="5"/>
    </row>
    <row r="102" spans="2:18" x14ac:dyDescent="0.35">
      <c r="B102" s="35" t="s">
        <v>56</v>
      </c>
      <c r="C102" s="36" t="s">
        <v>107</v>
      </c>
      <c r="D102" s="5"/>
      <c r="E102" s="5"/>
      <c r="F102" s="5"/>
      <c r="G102" s="5"/>
      <c r="H102" s="32"/>
      <c r="I102" s="32" t="s">
        <v>64</v>
      </c>
      <c r="J102" s="32" t="s">
        <v>66</v>
      </c>
      <c r="K102" s="32" t="s">
        <v>67</v>
      </c>
      <c r="L102" s="32" t="s">
        <v>68</v>
      </c>
      <c r="M102" s="32" t="s">
        <v>69</v>
      </c>
      <c r="N102" s="32" t="s">
        <v>70</v>
      </c>
      <c r="O102" s="32" t="s">
        <v>71</v>
      </c>
      <c r="P102" s="32" t="s">
        <v>72</v>
      </c>
      <c r="Q102" s="32" t="s">
        <v>73</v>
      </c>
      <c r="R102" s="32" t="s">
        <v>74</v>
      </c>
    </row>
    <row r="103" spans="2:18" x14ac:dyDescent="0.35">
      <c r="B103" s="61" t="s">
        <v>141</v>
      </c>
      <c r="C103" s="106"/>
      <c r="D103" s="5"/>
      <c r="E103" s="5"/>
      <c r="F103" s="5"/>
      <c r="G103" s="5"/>
      <c r="H103" s="32" t="s">
        <v>153</v>
      </c>
      <c r="I103" s="34">
        <f>'Basic Input'!H64</f>
        <v>36040000</v>
      </c>
      <c r="J103" s="34">
        <f>'Basic Input'!I64</f>
        <v>37080000</v>
      </c>
      <c r="K103" s="34">
        <f>'Basic Input'!J64</f>
        <v>38120000</v>
      </c>
      <c r="L103" s="34">
        <f>'Basic Input'!K64</f>
        <v>39160000</v>
      </c>
      <c r="M103" s="34">
        <f>'Basic Input'!L64</f>
        <v>40200000</v>
      </c>
      <c r="N103" s="34">
        <f>'Basic Input'!M64</f>
        <v>41240000</v>
      </c>
      <c r="O103" s="34">
        <f>'Basic Input'!N64</f>
        <v>42280000</v>
      </c>
      <c r="P103" s="34">
        <f>'Basic Input'!O64</f>
        <v>43320000</v>
      </c>
      <c r="Q103" s="34">
        <f>'Basic Input'!P64</f>
        <v>44360000</v>
      </c>
      <c r="R103" s="34">
        <f>'Basic Input'!Q64</f>
        <v>45400000</v>
      </c>
    </row>
    <row r="104" spans="2:18" ht="15" thickBot="1" x14ac:dyDescent="0.4">
      <c r="B104" s="62"/>
      <c r="C104" s="107"/>
      <c r="D104" s="5"/>
      <c r="E104" s="5"/>
      <c r="F104" s="5"/>
      <c r="G104" s="5"/>
      <c r="H104" s="270" t="s">
        <v>161</v>
      </c>
      <c r="I104" s="271">
        <f>'Basic Input'!H65</f>
        <v>72080</v>
      </c>
      <c r="J104" s="271">
        <f>'Basic Input'!I65</f>
        <v>74160</v>
      </c>
      <c r="K104" s="271">
        <f>'Basic Input'!J65</f>
        <v>76240</v>
      </c>
      <c r="L104" s="271">
        <f>'Basic Input'!K65</f>
        <v>78320</v>
      </c>
      <c r="M104" s="271">
        <f>'Basic Input'!L65</f>
        <v>80400</v>
      </c>
      <c r="N104" s="271">
        <f>'Basic Input'!M65</f>
        <v>82480</v>
      </c>
      <c r="O104" s="271">
        <f>'Basic Input'!N65</f>
        <v>84560</v>
      </c>
      <c r="P104" s="271">
        <f>'Basic Input'!O65</f>
        <v>86640</v>
      </c>
      <c r="Q104" s="271">
        <f>'Basic Input'!P65</f>
        <v>88720</v>
      </c>
      <c r="R104" s="271">
        <f>'Basic Input'!Q65</f>
        <v>90800</v>
      </c>
    </row>
    <row r="105" spans="2:18" ht="15" thickBot="1" x14ac:dyDescent="0.4">
      <c r="B105" s="237" t="s">
        <v>41</v>
      </c>
      <c r="C105" s="238">
        <f>SUM(C103:C104)</f>
        <v>0</v>
      </c>
      <c r="D105" s="5"/>
      <c r="E105" s="5"/>
      <c r="F105" s="5"/>
      <c r="G105" s="5"/>
      <c r="H105" s="272" t="s">
        <v>187</v>
      </c>
      <c r="I105" s="273">
        <f>I104*'Basic Input'!$C$75</f>
        <v>50456</v>
      </c>
      <c r="J105" s="273">
        <f>J104*'Basic Input'!$C$75</f>
        <v>51912</v>
      </c>
      <c r="K105" s="273">
        <f>K104*'Basic Input'!$C$75</f>
        <v>53368</v>
      </c>
      <c r="L105" s="273">
        <f>L104*'Basic Input'!$C$75</f>
        <v>54824</v>
      </c>
      <c r="M105" s="273">
        <f>M104*'Basic Input'!$C$75</f>
        <v>56280</v>
      </c>
      <c r="N105" s="273">
        <f>N104*'Basic Input'!$C$75</f>
        <v>57735.999999999993</v>
      </c>
      <c r="O105" s="273">
        <f>O104*'Basic Input'!$C$75</f>
        <v>59191.999999999993</v>
      </c>
      <c r="P105" s="273">
        <f>P104*'Basic Input'!$C$75</f>
        <v>60647.999999999993</v>
      </c>
      <c r="Q105" s="273">
        <f>Q104*'Basic Input'!$C$75</f>
        <v>62103.999999999993</v>
      </c>
      <c r="R105" s="274">
        <f>R104*'Basic Input'!$C$75</f>
        <v>63559.999999999993</v>
      </c>
    </row>
    <row r="108" spans="2:18" x14ac:dyDescent="0.35">
      <c r="B108" s="96" t="s">
        <v>139</v>
      </c>
      <c r="C108" s="97"/>
      <c r="D108" s="97"/>
      <c r="E108" s="97"/>
      <c r="F108" s="97"/>
      <c r="G108" s="97"/>
      <c r="H108" s="97"/>
      <c r="I108" s="97"/>
      <c r="J108" s="70"/>
      <c r="K108" s="70"/>
      <c r="L108" s="70"/>
      <c r="M108" s="70"/>
      <c r="N108" s="70"/>
      <c r="O108" s="70"/>
      <c r="P108" s="70"/>
      <c r="Q108" s="70"/>
      <c r="R108" s="70"/>
    </row>
    <row r="109" spans="2:18" x14ac:dyDescent="0.35">
      <c r="B109" s="5"/>
      <c r="C109" s="5"/>
      <c r="D109" s="5"/>
      <c r="E109" s="5"/>
      <c r="F109" s="5"/>
      <c r="G109" s="5"/>
      <c r="H109" s="5"/>
      <c r="I109" s="5"/>
    </row>
    <row r="110" spans="2:18" ht="26" x14ac:dyDescent="0.35">
      <c r="B110" s="35" t="s">
        <v>96</v>
      </c>
      <c r="C110" s="36" t="s">
        <v>95</v>
      </c>
      <c r="D110" s="37" t="s">
        <v>39</v>
      </c>
      <c r="E110" s="37" t="s">
        <v>207</v>
      </c>
      <c r="F110" s="37" t="s">
        <v>151</v>
      </c>
      <c r="G110" s="257"/>
      <c r="H110" s="5"/>
      <c r="I110" s="5"/>
    </row>
    <row r="111" spans="2:18" x14ac:dyDescent="0.35">
      <c r="B111" s="111"/>
      <c r="C111" s="109">
        <v>0</v>
      </c>
      <c r="D111" s="102">
        <f>C111*52/'Basic Input'!$C$93</f>
        <v>0</v>
      </c>
      <c r="E111" s="103">
        <v>10</v>
      </c>
      <c r="F111" s="104">
        <f>D111*(IF(E111=2,'Basic Input'!$C$95,IF(E111=3,'Basic Input'!$E$96,IF(E111=4,'Basic Input'!$E$97,IF(E111=5,'Basic Input'!$E$98,IF(E111=6,'Basic Input'!$E$99,IF(E111=7,'Basic Input'!$E$100,IF(E111=8,'Basic Input'!$E$101,IF(E111=9,'Basic Input'!$E$102,IF(E111=10,'Basic Input'!$E$103,IF(E111=B116,'Basic Input'!$E$104,IF(E111=11,'Basic Input'!$E$105,IF(E111=B117,'Basic Input'!$E$106,IF(E111=12,'Basic Input'!$E$107,IF(E111=0,'Basic Input'!$E$108)))))))))))))))</f>
        <v>0</v>
      </c>
      <c r="G111" s="258"/>
      <c r="H111" s="5"/>
      <c r="I111" s="5"/>
    </row>
    <row r="112" spans="2:18" x14ac:dyDescent="0.35">
      <c r="B112" s="112"/>
      <c r="C112" s="110">
        <v>0</v>
      </c>
      <c r="D112" s="102">
        <f>C112*52/'Basic Input'!$C$93</f>
        <v>0</v>
      </c>
      <c r="E112" s="103">
        <v>5</v>
      </c>
      <c r="F112" s="104">
        <f>D112*(IF(E112=2,'Basic Input'!$C$95,IF(E112=3,'Basic Input'!$E$96,IF(E112=4,'Basic Input'!$E$97,IF(E112=5,'Basic Input'!$E$98,IF(E112=6,'Basic Input'!$E$99,IF(E112=7,'Basic Input'!$E$100,IF(E112=8,'Basic Input'!$E$101,IF(E112=9,'Basic Input'!$E$102,IF(E112=10,'Basic Input'!$E$103,IF(E112=B117,'Basic Input'!$E$104,IF(E112=11,'Basic Input'!$E$105,IF(E112=B118,'Basic Input'!$E$106,IF(E112=12,'Basic Input'!$E$107,IF(E112=0,'Basic Input'!$E$108)))))))))))))))</f>
        <v>0</v>
      </c>
      <c r="G112" s="258"/>
      <c r="H112" s="5"/>
      <c r="I112" s="5"/>
    </row>
    <row r="113" spans="2:18" x14ac:dyDescent="0.35">
      <c r="B113" s="112"/>
      <c r="C113" s="110"/>
      <c r="D113" s="102">
        <f>C113*52/'Basic Input'!$C$93</f>
        <v>0</v>
      </c>
      <c r="E113" s="103"/>
      <c r="F113" s="104">
        <f>D113*(IF(E113=2,'Basic Input'!$C$95,IF(E113=3,'Basic Input'!$E$96,IF(E113=4,'Basic Input'!$E$97,IF(E113=5,'Basic Input'!$E$98,IF(E113=6,'Basic Input'!$E$99,IF(E113=7,'Basic Input'!$E$100,IF(E113=8,'Basic Input'!$E$101,IF(E113=9,'Basic Input'!$E$102,IF(E113=10,'Basic Input'!$E$103,IF(E113=B118,'Basic Input'!$E$104,IF(E113=11,'Basic Input'!$E$105,IF(E113=B119,'Basic Input'!$E$106,IF(E113=12,'Basic Input'!$E$107,IF(E113=0,'Basic Input'!$E$108)))))))))))))))</f>
        <v>0</v>
      </c>
      <c r="G113" s="258"/>
      <c r="H113" s="5"/>
      <c r="I113" s="5"/>
    </row>
    <row r="114" spans="2:18" x14ac:dyDescent="0.35">
      <c r="B114" s="112"/>
      <c r="C114" s="110"/>
      <c r="D114" s="102">
        <f>C114*52/'Basic Input'!$C$93</f>
        <v>0</v>
      </c>
      <c r="E114" s="103"/>
      <c r="F114" s="104">
        <f>D114*(IF(E114=2,'Basic Input'!$C$95,IF(E114=3,'Basic Input'!$E$96,IF(E114=4,'Basic Input'!$E$97,IF(E114=5,'Basic Input'!$E$98,IF(E114=6,'Basic Input'!$E$99,IF(E114=7,'Basic Input'!$E$100,IF(E114=8,'Basic Input'!$E$101,IF(E114=9,'Basic Input'!$E$102,IF(E114=10,'Basic Input'!$E$103,IF(E114=B119,'Basic Input'!$E$104,IF(E114=11,'Basic Input'!$E$105,IF(E114=B120,'Basic Input'!$E$106,IF(E114=12,'Basic Input'!$E$107,IF(E114=0,'Basic Input'!$E$108)))))))))))))))</f>
        <v>0</v>
      </c>
      <c r="G114" s="258"/>
      <c r="H114" s="5"/>
      <c r="I114" s="5"/>
    </row>
    <row r="115" spans="2:18" ht="15" thickBot="1" x14ac:dyDescent="0.4">
      <c r="B115" s="63"/>
      <c r="C115" s="110"/>
      <c r="D115" s="102">
        <f>C115*52/'Basic Input'!$C$93</f>
        <v>0</v>
      </c>
      <c r="E115" s="103"/>
      <c r="F115" s="104">
        <f>D115*(IF(E115=2,'Basic Input'!$C$95,IF(E115=3,'Basic Input'!$E$96,IF(E115=4,'Basic Input'!$E$97,IF(E115=5,'Basic Input'!$E$98,IF(E115=6,'Basic Input'!$E$99,IF(E115=7,'Basic Input'!$E$100,IF(E115=8,'Basic Input'!$E$101,IF(E115=9,'Basic Input'!$E$102,IF(E115=10,'Basic Input'!$E$103,IF(E115=B120,'Basic Input'!$E$104,IF(E115=11,'Basic Input'!$E$105,IF(E115=B121,'Basic Input'!$E$106,IF(E115=12,'Basic Input'!$E$107,IF(E115=0,'Basic Input'!$E$108)))))))))))))))</f>
        <v>0</v>
      </c>
      <c r="G115" s="258"/>
      <c r="H115" s="5"/>
      <c r="I115" s="5"/>
    </row>
    <row r="116" spans="2:18" ht="15" thickBot="1" x14ac:dyDescent="0.4">
      <c r="B116" s="244" t="s">
        <v>41</v>
      </c>
      <c r="C116" s="248">
        <f>SUM(C111:C115)</f>
        <v>0</v>
      </c>
      <c r="D116" s="261"/>
      <c r="E116" s="47"/>
      <c r="F116" s="52">
        <f>SUM(F111:F115)</f>
        <v>0</v>
      </c>
      <c r="G116" s="145"/>
      <c r="H116" s="5"/>
      <c r="I116" s="5"/>
    </row>
    <row r="117" spans="2:18" x14ac:dyDescent="0.35">
      <c r="B117" s="5"/>
      <c r="C117" s="5"/>
      <c r="D117" s="5"/>
      <c r="E117" s="5"/>
      <c r="F117" s="5"/>
      <c r="G117" s="5"/>
      <c r="H117" s="5"/>
      <c r="I117" s="5"/>
    </row>
    <row r="118" spans="2:18" x14ac:dyDescent="0.35">
      <c r="B118" s="35" t="s">
        <v>56</v>
      </c>
      <c r="C118" s="36" t="s">
        <v>107</v>
      </c>
      <c r="D118" s="5"/>
      <c r="E118" s="5"/>
      <c r="F118" s="5"/>
      <c r="G118" s="5"/>
      <c r="H118" s="5"/>
      <c r="I118" s="5"/>
    </row>
    <row r="119" spans="2:18" x14ac:dyDescent="0.35">
      <c r="B119" s="61"/>
      <c r="C119" s="106"/>
      <c r="D119" s="5"/>
      <c r="E119" s="5"/>
      <c r="F119" s="5"/>
      <c r="G119" s="5"/>
      <c r="H119" s="5"/>
      <c r="I119" s="5"/>
    </row>
    <row r="120" spans="2:18" ht="15" thickBot="1" x14ac:dyDescent="0.4">
      <c r="B120" s="62"/>
      <c r="C120" s="107"/>
      <c r="D120" s="5"/>
      <c r="E120" s="5"/>
      <c r="F120" s="5"/>
      <c r="G120" s="5"/>
      <c r="H120" s="5"/>
      <c r="I120" s="5"/>
    </row>
    <row r="121" spans="2:18" ht="15" thickBot="1" x14ac:dyDescent="0.4">
      <c r="B121" s="237" t="s">
        <v>41</v>
      </c>
      <c r="C121" s="238">
        <f>SUM(C119:C120)</f>
        <v>0</v>
      </c>
      <c r="D121" s="5"/>
      <c r="E121" s="5"/>
      <c r="F121" s="5"/>
      <c r="G121" s="5"/>
      <c r="H121" s="5"/>
      <c r="I121" s="5"/>
    </row>
    <row r="125" spans="2:18" x14ac:dyDescent="0.35">
      <c r="B125" s="96" t="s">
        <v>140</v>
      </c>
      <c r="C125" s="97"/>
      <c r="D125" s="97"/>
      <c r="E125" s="97"/>
      <c r="F125" s="97"/>
      <c r="G125" s="97"/>
      <c r="H125" s="97"/>
      <c r="I125" s="97"/>
      <c r="J125" s="70"/>
      <c r="K125" s="70"/>
      <c r="L125" s="70"/>
      <c r="M125" s="70"/>
      <c r="N125" s="70"/>
      <c r="O125" s="70"/>
      <c r="P125" s="70"/>
      <c r="Q125" s="70"/>
      <c r="R125" s="70"/>
    </row>
    <row r="126" spans="2:18" x14ac:dyDescent="0.35">
      <c r="B126" s="5"/>
      <c r="C126" s="5"/>
      <c r="D126" s="5"/>
      <c r="E126" s="5"/>
      <c r="F126" s="5"/>
      <c r="G126" s="5"/>
      <c r="H126" s="5"/>
      <c r="I126" s="5"/>
    </row>
    <row r="127" spans="2:18" ht="26" x14ac:dyDescent="0.35">
      <c r="B127" s="35" t="s">
        <v>96</v>
      </c>
      <c r="C127" s="36" t="s">
        <v>95</v>
      </c>
      <c r="D127" s="37" t="s">
        <v>39</v>
      </c>
      <c r="E127" s="37" t="s">
        <v>207</v>
      </c>
      <c r="F127" s="37" t="s">
        <v>151</v>
      </c>
      <c r="G127" s="257"/>
      <c r="H127" s="5"/>
      <c r="I127" s="5"/>
    </row>
    <row r="128" spans="2:18" x14ac:dyDescent="0.35">
      <c r="B128" s="111" t="s">
        <v>160</v>
      </c>
      <c r="C128" s="109">
        <v>2</v>
      </c>
      <c r="D128" s="102">
        <f>C128*52/'Basic Input'!$C$93</f>
        <v>5.5466666666666664E-2</v>
      </c>
      <c r="E128" s="103">
        <v>9</v>
      </c>
      <c r="F128" s="104">
        <f>D128*(IF(E128=2,'Basic Input'!$C$95,IF(E128=3,'Basic Input'!$E$96,IF(E128=4,'Basic Input'!$E$97,IF(E128=5,'Basic Input'!$E$98,IF(E128=6,'Basic Input'!$E$99,IF(E128=7,'Basic Input'!$E$100,IF(E128=8,'Basic Input'!$E$101,IF(E128=9,'Basic Input'!$E$102,IF(E128=10,'Basic Input'!$E$103,IF(E128=B133,'Basic Input'!$E$104,IF(E128=11,'Basic Input'!$E$105,IF(E128=B134,'Basic Input'!$E$106,IF(E128=12,'Basic Input'!$E$107,IF(E128=0,'Basic Input'!$E$108)))))))))))))))</f>
        <v>2641.1007999999997</v>
      </c>
      <c r="G128" s="258"/>
      <c r="H128" s="5"/>
      <c r="I128" s="5"/>
    </row>
    <row r="129" spans="2:18" x14ac:dyDescent="0.35">
      <c r="B129" s="112"/>
      <c r="C129" s="110">
        <v>0</v>
      </c>
      <c r="D129" s="102">
        <f>C129*52/'Basic Input'!$C$93</f>
        <v>0</v>
      </c>
      <c r="E129" s="103">
        <v>5</v>
      </c>
      <c r="F129" s="104">
        <f>D129*(IF(E129=2,'Basic Input'!$C$95,IF(E129=3,'Basic Input'!$E$96,IF(E129=4,'Basic Input'!$E$97,IF(E129=5,'Basic Input'!$E$98,IF(E129=6,'Basic Input'!$E$99,IF(E129=7,'Basic Input'!$E$100,IF(E129=8,'Basic Input'!$E$101,IF(E129=9,'Basic Input'!$E$102,IF(E129=10,'Basic Input'!$E$103,IF(E129=B134,'Basic Input'!$E$104,IF(E129=11,'Basic Input'!$E$105,IF(E129=B135,'Basic Input'!$E$106,IF(E129=12,'Basic Input'!$E$107,IF(E129=0,'Basic Input'!$E$108)))))))))))))))</f>
        <v>0</v>
      </c>
      <c r="G129" s="258"/>
      <c r="H129" s="5"/>
      <c r="I129" s="5"/>
    </row>
    <row r="130" spans="2:18" x14ac:dyDescent="0.35">
      <c r="B130" s="112"/>
      <c r="C130" s="110"/>
      <c r="D130" s="102">
        <f>C130*52/'Basic Input'!$C$93</f>
        <v>0</v>
      </c>
      <c r="E130" s="103"/>
      <c r="F130" s="104">
        <f>D130*(IF(E130=2,'Basic Input'!$C$95,IF(E130=3,'Basic Input'!$E$96,IF(E130=4,'Basic Input'!$E$97,IF(E130=5,'Basic Input'!$E$98,IF(E130=6,'Basic Input'!$E$99,IF(E130=7,'Basic Input'!$E$100,IF(E130=8,'Basic Input'!$E$101,IF(E130=9,'Basic Input'!$E$102,IF(E130=10,'Basic Input'!$E$103,IF(E130=B135,'Basic Input'!$E$104,IF(E130=11,'Basic Input'!$E$105,IF(E130=B136,'Basic Input'!$E$106,IF(E130=12,'Basic Input'!$E$107,IF(E130=0,'Basic Input'!$E$108)))))))))))))))</f>
        <v>0</v>
      </c>
      <c r="G130" s="258"/>
      <c r="H130" s="5"/>
      <c r="I130" s="5"/>
    </row>
    <row r="131" spans="2:18" x14ac:dyDescent="0.35">
      <c r="B131" s="112"/>
      <c r="C131" s="110"/>
      <c r="D131" s="102">
        <f>C131*52/'Basic Input'!$C$93</f>
        <v>0</v>
      </c>
      <c r="E131" s="103"/>
      <c r="F131" s="104">
        <f>D131*(IF(E131=2,'Basic Input'!$C$95,IF(E131=3,'Basic Input'!$E$96,IF(E131=4,'Basic Input'!$E$97,IF(E131=5,'Basic Input'!$E$98,IF(E131=6,'Basic Input'!$E$99,IF(E131=7,'Basic Input'!$E$100,IF(E131=8,'Basic Input'!$E$101,IF(E131=9,'Basic Input'!$E$102,IF(E131=10,'Basic Input'!$E$103,IF(E131=B136,'Basic Input'!$E$104,IF(E131=11,'Basic Input'!$E$105,IF(E131=B137,'Basic Input'!$E$106,IF(E131=12,'Basic Input'!$E$107,IF(E131=0,'Basic Input'!$E$108)))))))))))))))</f>
        <v>0</v>
      </c>
      <c r="G131" s="258"/>
      <c r="H131" s="5"/>
      <c r="I131" s="5"/>
    </row>
    <row r="132" spans="2:18" ht="15" thickBot="1" x14ac:dyDescent="0.4">
      <c r="B132" s="63"/>
      <c r="C132" s="110"/>
      <c r="D132" s="102">
        <f>C132*52/'Basic Input'!$C$93</f>
        <v>0</v>
      </c>
      <c r="E132" s="103"/>
      <c r="F132" s="104">
        <f>D132*(IF(E132=2,'Basic Input'!$C$95,IF(E132=3,'Basic Input'!$E$96,IF(E132=4,'Basic Input'!$E$97,IF(E132=5,'Basic Input'!$E$98,IF(E132=6,'Basic Input'!$E$99,IF(E132=7,'Basic Input'!$E$100,IF(E132=8,'Basic Input'!$E$101,IF(E132=9,'Basic Input'!$E$102,IF(E132=10,'Basic Input'!$E$103,IF(E132=B137,'Basic Input'!$E$104,IF(E132=11,'Basic Input'!$E$105,IF(E132=B138,'Basic Input'!$E$106,IF(E132=12,'Basic Input'!$E$107,IF(E132=0,'Basic Input'!$E$108)))))))))))))))</f>
        <v>0</v>
      </c>
      <c r="G132" s="258"/>
      <c r="H132" s="5"/>
      <c r="I132" s="5"/>
    </row>
    <row r="133" spans="2:18" ht="15" thickBot="1" x14ac:dyDescent="0.4">
      <c r="B133" s="244" t="s">
        <v>41</v>
      </c>
      <c r="C133" s="248">
        <f>SUM(C128:C132)</f>
        <v>2</v>
      </c>
      <c r="D133" s="261"/>
      <c r="E133" s="47"/>
      <c r="F133" s="48">
        <f>SUM(F128:F132)</f>
        <v>2641.1007999999997</v>
      </c>
      <c r="G133" s="145"/>
      <c r="H133" s="5"/>
      <c r="I133" s="5"/>
    </row>
    <row r="134" spans="2:18" x14ac:dyDescent="0.35">
      <c r="B134" s="5"/>
      <c r="C134" s="5"/>
      <c r="D134" s="5"/>
      <c r="E134" s="5"/>
      <c r="F134" s="5"/>
      <c r="G134" s="5"/>
      <c r="H134" s="5"/>
      <c r="I134" s="5"/>
    </row>
    <row r="135" spans="2:18" x14ac:dyDescent="0.35">
      <c r="B135" s="35" t="s">
        <v>56</v>
      </c>
      <c r="C135" s="36" t="s">
        <v>107</v>
      </c>
      <c r="D135" s="5"/>
      <c r="E135" s="5"/>
      <c r="F135" s="5"/>
      <c r="G135" s="5"/>
      <c r="H135" s="32"/>
      <c r="I135" s="32" t="s">
        <v>64</v>
      </c>
      <c r="J135" s="32" t="s">
        <v>66</v>
      </c>
      <c r="K135" s="32" t="s">
        <v>67</v>
      </c>
      <c r="L135" s="32" t="s">
        <v>68</v>
      </c>
      <c r="M135" s="32" t="s">
        <v>69</v>
      </c>
      <c r="N135" s="32" t="s">
        <v>70</v>
      </c>
      <c r="O135" s="32" t="s">
        <v>71</v>
      </c>
      <c r="P135" s="32" t="s">
        <v>72</v>
      </c>
      <c r="Q135" s="32" t="s">
        <v>73</v>
      </c>
      <c r="R135" s="32" t="s">
        <v>74</v>
      </c>
    </row>
    <row r="136" spans="2:18" x14ac:dyDescent="0.35">
      <c r="B136" s="61"/>
      <c r="C136" s="106"/>
      <c r="D136" s="5"/>
      <c r="E136" s="5"/>
      <c r="F136" s="5"/>
      <c r="G136" s="5"/>
      <c r="H136" s="32" t="s">
        <v>153</v>
      </c>
      <c r="I136" s="34">
        <f>'Basic Input'!H64</f>
        <v>36040000</v>
      </c>
      <c r="J136" s="34">
        <f>'Basic Input'!I64</f>
        <v>37080000</v>
      </c>
      <c r="K136" s="34">
        <f>'Basic Input'!J64</f>
        <v>38120000</v>
      </c>
      <c r="L136" s="34">
        <f>'Basic Input'!K64</f>
        <v>39160000</v>
      </c>
      <c r="M136" s="34">
        <f>'Basic Input'!L64</f>
        <v>40200000</v>
      </c>
      <c r="N136" s="34">
        <f>'Basic Input'!M64</f>
        <v>41240000</v>
      </c>
      <c r="O136" s="34">
        <f>'Basic Input'!N64</f>
        <v>42280000</v>
      </c>
      <c r="P136" s="34">
        <f>'Basic Input'!O64</f>
        <v>43320000</v>
      </c>
      <c r="Q136" s="34">
        <f>'Basic Input'!P64</f>
        <v>44360000</v>
      </c>
      <c r="R136" s="34">
        <f>'Basic Input'!Q64</f>
        <v>45400000</v>
      </c>
    </row>
    <row r="137" spans="2:18" ht="15" thickBot="1" x14ac:dyDescent="0.4">
      <c r="B137" s="62"/>
      <c r="C137" s="107"/>
      <c r="D137" s="5"/>
      <c r="E137" s="5"/>
      <c r="F137" s="5"/>
      <c r="G137" s="5"/>
      <c r="H137" s="270" t="s">
        <v>161</v>
      </c>
      <c r="I137" s="275">
        <f>'Basic Input'!H65</f>
        <v>72080</v>
      </c>
      <c r="J137" s="275">
        <f>'Basic Input'!I65</f>
        <v>74160</v>
      </c>
      <c r="K137" s="275">
        <f>'Basic Input'!J65</f>
        <v>76240</v>
      </c>
      <c r="L137" s="275">
        <f>'Basic Input'!K65</f>
        <v>78320</v>
      </c>
      <c r="M137" s="275">
        <f>'Basic Input'!L65</f>
        <v>80400</v>
      </c>
      <c r="N137" s="275">
        <f>'Basic Input'!M65</f>
        <v>82480</v>
      </c>
      <c r="O137" s="275">
        <f>'Basic Input'!N65</f>
        <v>84560</v>
      </c>
      <c r="P137" s="275">
        <f>'Basic Input'!O65</f>
        <v>86640</v>
      </c>
      <c r="Q137" s="275">
        <f>'Basic Input'!P65</f>
        <v>88720</v>
      </c>
      <c r="R137" s="275">
        <f>'Basic Input'!Q65</f>
        <v>90800</v>
      </c>
    </row>
    <row r="138" spans="2:18" ht="15" thickBot="1" x14ac:dyDescent="0.4">
      <c r="B138" s="237" t="s">
        <v>41</v>
      </c>
      <c r="C138" s="238">
        <f>SUM(C136:C137)</f>
        <v>0</v>
      </c>
      <c r="D138" s="5"/>
      <c r="E138" s="5"/>
      <c r="F138" s="5"/>
      <c r="G138" s="5"/>
      <c r="H138" s="272" t="s">
        <v>188</v>
      </c>
      <c r="I138" s="273">
        <f>I137*'Basic Input'!$C$74</f>
        <v>205428</v>
      </c>
      <c r="J138" s="273">
        <f>J137*'Basic Input'!$C$74</f>
        <v>211356</v>
      </c>
      <c r="K138" s="273">
        <f>K137*'Basic Input'!$C$74</f>
        <v>217284</v>
      </c>
      <c r="L138" s="273">
        <f>L137*'Basic Input'!$C$74</f>
        <v>223212</v>
      </c>
      <c r="M138" s="273">
        <f>M137*'Basic Input'!$C$74</f>
        <v>229140</v>
      </c>
      <c r="N138" s="273">
        <f>N137*'Basic Input'!$C$74</f>
        <v>235068</v>
      </c>
      <c r="O138" s="273">
        <f>O137*'Basic Input'!$C$74</f>
        <v>240996</v>
      </c>
      <c r="P138" s="273">
        <f>P137*'Basic Input'!$C$74</f>
        <v>246924</v>
      </c>
      <c r="Q138" s="273">
        <f>Q137*'Basic Input'!$C$74</f>
        <v>252852</v>
      </c>
      <c r="R138" s="274">
        <f>R137*'Basic Input'!$C$74</f>
        <v>258780</v>
      </c>
    </row>
    <row r="142" spans="2:18" x14ac:dyDescent="0.35">
      <c r="B142" s="45" t="s">
        <v>150</v>
      </c>
      <c r="C142" s="46"/>
      <c r="D142" s="46"/>
      <c r="E142" s="46"/>
      <c r="F142" s="46"/>
      <c r="G142" s="46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</row>
    <row r="144" spans="2:18" x14ac:dyDescent="0.35">
      <c r="B144" s="35" t="s">
        <v>162</v>
      </c>
      <c r="C144" s="36" t="s">
        <v>40</v>
      </c>
      <c r="D144" s="36" t="s">
        <v>56</v>
      </c>
      <c r="E144" s="36" t="s">
        <v>141</v>
      </c>
      <c r="H144" s="35" t="s">
        <v>173</v>
      </c>
      <c r="I144" s="276" t="s">
        <v>40</v>
      </c>
      <c r="J144" s="36" t="s">
        <v>56</v>
      </c>
      <c r="M144" s="35" t="s">
        <v>174</v>
      </c>
      <c r="N144" s="36" t="s">
        <v>40</v>
      </c>
      <c r="O144" s="36" t="s">
        <v>56</v>
      </c>
    </row>
    <row r="145" spans="2:16" x14ac:dyDescent="0.35">
      <c r="B145" s="61" t="s">
        <v>144</v>
      </c>
      <c r="C145" s="66">
        <f>F15</f>
        <v>22711.603199999998</v>
      </c>
      <c r="D145" s="151">
        <f>C20</f>
        <v>3000</v>
      </c>
      <c r="E145" s="111"/>
      <c r="H145" s="61" t="s">
        <v>144</v>
      </c>
      <c r="I145" s="277">
        <f>(C145/52)/'Basic Input'!$C$67</f>
        <v>109.19039999999998</v>
      </c>
      <c r="J145" s="66">
        <f>(D145/52)/'Basic Input'!$C$67</f>
        <v>14.423076923076923</v>
      </c>
      <c r="M145" s="61" t="s">
        <v>144</v>
      </c>
      <c r="N145" s="151"/>
      <c r="O145" s="129"/>
    </row>
    <row r="146" spans="2:16" x14ac:dyDescent="0.35">
      <c r="B146" s="62" t="s">
        <v>145</v>
      </c>
      <c r="C146" s="67">
        <f>F35</f>
        <v>0</v>
      </c>
      <c r="D146" s="154">
        <f>C41</f>
        <v>161200</v>
      </c>
      <c r="E146" s="112"/>
      <c r="H146" s="62" t="s">
        <v>145</v>
      </c>
      <c r="I146" s="277">
        <f>(C146/52)/'Basic Input'!$C$67</f>
        <v>0</v>
      </c>
      <c r="J146" s="66">
        <f>(D146/52)/'Basic Input'!$C$67</f>
        <v>775</v>
      </c>
      <c r="M146" s="62" t="s">
        <v>145</v>
      </c>
      <c r="N146" s="151"/>
      <c r="O146" s="130"/>
    </row>
    <row r="147" spans="2:16" x14ac:dyDescent="0.35">
      <c r="B147" s="62" t="s">
        <v>146</v>
      </c>
      <c r="C147" s="67">
        <f>F52</f>
        <v>2641.1007999999997</v>
      </c>
      <c r="D147" s="154">
        <f>C57</f>
        <v>0</v>
      </c>
      <c r="E147" s="112"/>
      <c r="H147" s="62" t="s">
        <v>146</v>
      </c>
      <c r="I147" s="277">
        <f>(C147/52)/'Basic Input'!$C$67</f>
        <v>12.697599999999998</v>
      </c>
      <c r="J147" s="66">
        <f>(D147/52)/'Basic Input'!$C$67</f>
        <v>0</v>
      </c>
      <c r="M147" s="62" t="s">
        <v>146</v>
      </c>
      <c r="N147" s="151"/>
      <c r="O147" s="130"/>
    </row>
    <row r="148" spans="2:16" x14ac:dyDescent="0.35">
      <c r="B148" s="62" t="s">
        <v>147</v>
      </c>
      <c r="C148" s="67">
        <f>F68</f>
        <v>10695.526399999999</v>
      </c>
      <c r="D148" s="154">
        <f>C73</f>
        <v>0</v>
      </c>
      <c r="E148" s="112"/>
      <c r="H148" s="62" t="s">
        <v>147</v>
      </c>
      <c r="I148" s="277">
        <f>(C148/52)/'Basic Input'!$C$67</f>
        <v>51.420799999999993</v>
      </c>
      <c r="J148" s="66">
        <f>(D148/52)/'Basic Input'!$C$67</f>
        <v>0</v>
      </c>
      <c r="M148" s="62" t="s">
        <v>147</v>
      </c>
      <c r="N148" s="151"/>
      <c r="O148" s="130"/>
    </row>
    <row r="149" spans="2:16" x14ac:dyDescent="0.35">
      <c r="B149" s="63" t="s">
        <v>148</v>
      </c>
      <c r="C149" s="67">
        <f>F84</f>
        <v>0</v>
      </c>
      <c r="D149" s="154">
        <f>C89</f>
        <v>0</v>
      </c>
      <c r="E149" s="112"/>
      <c r="H149" s="63" t="s">
        <v>148</v>
      </c>
      <c r="I149" s="277">
        <f>(C149/52)/'Basic Input'!$C$67</f>
        <v>0</v>
      </c>
      <c r="J149" s="66">
        <f>(D149/52)/'Basic Input'!$C$67</f>
        <v>0</v>
      </c>
      <c r="M149" s="63" t="s">
        <v>148</v>
      </c>
      <c r="N149" s="151"/>
      <c r="O149" s="152"/>
    </row>
    <row r="150" spans="2:16" x14ac:dyDescent="0.35">
      <c r="B150" s="63" t="s">
        <v>141</v>
      </c>
      <c r="C150" s="67">
        <f>F100</f>
        <v>2641.1007999999997</v>
      </c>
      <c r="D150" s="154">
        <f>C138</f>
        <v>0</v>
      </c>
      <c r="E150" s="67">
        <f>I105</f>
        <v>50456</v>
      </c>
      <c r="H150" s="63" t="s">
        <v>141</v>
      </c>
      <c r="I150" s="277">
        <f>(C150/52)/'Basic Input'!$C$67</f>
        <v>12.697599999999998</v>
      </c>
      <c r="J150" s="66">
        <f>I105/'Basic Input'!$H$66</f>
        <v>7</v>
      </c>
      <c r="M150" s="63" t="s">
        <v>141</v>
      </c>
      <c r="N150" s="151"/>
      <c r="O150" s="130">
        <f>(I105+C105)/'Basic Input'!$H$66</f>
        <v>7</v>
      </c>
    </row>
    <row r="151" spans="2:16" x14ac:dyDescent="0.35">
      <c r="B151" s="63" t="s">
        <v>149</v>
      </c>
      <c r="C151" s="67">
        <f>F116</f>
        <v>0</v>
      </c>
      <c r="D151" s="154">
        <f>C121</f>
        <v>0</v>
      </c>
      <c r="E151" s="112"/>
      <c r="H151" s="63" t="s">
        <v>149</v>
      </c>
      <c r="I151" s="277">
        <f>(C151/52)/'Basic Input'!$C$67</f>
        <v>0</v>
      </c>
      <c r="J151" s="66">
        <f>(D151/52)/'Basic Input'!$C$67</f>
        <v>0</v>
      </c>
      <c r="M151" s="63" t="s">
        <v>149</v>
      </c>
      <c r="N151" s="151">
        <f>(I151/52)/'Basic Input'!$C$67</f>
        <v>0</v>
      </c>
      <c r="O151" s="130">
        <f>D151/'Basic Input'!M66</f>
        <v>0</v>
      </c>
    </row>
    <row r="152" spans="2:16" ht="15" thickBot="1" x14ac:dyDescent="0.4">
      <c r="B152" s="63" t="s">
        <v>142</v>
      </c>
      <c r="C152" s="67">
        <f>F133</f>
        <v>2641.1007999999997</v>
      </c>
      <c r="D152" s="154">
        <f>C138</f>
        <v>0</v>
      </c>
      <c r="E152" s="128">
        <f>I138</f>
        <v>205428</v>
      </c>
      <c r="H152" s="63" t="s">
        <v>142</v>
      </c>
      <c r="I152" s="277">
        <f>(C152/52)/'Basic Input'!$C$67</f>
        <v>12.697599999999998</v>
      </c>
      <c r="J152" s="66">
        <f>I138/'Basic Input'!H66</f>
        <v>28.5</v>
      </c>
      <c r="M152" s="63" t="s">
        <v>142</v>
      </c>
      <c r="N152" s="151"/>
      <c r="O152" s="153">
        <f>(I138+HD138)/'Basic Input'!$H$66</f>
        <v>28.5</v>
      </c>
    </row>
    <row r="153" spans="2:16" ht="15" thickBot="1" x14ac:dyDescent="0.4">
      <c r="B153" s="244" t="s">
        <v>81</v>
      </c>
      <c r="C153" s="245">
        <f>SUM(C145:C152)</f>
        <v>41330.432000000001</v>
      </c>
      <c r="D153" s="68">
        <f>SUM(D145:D152)</f>
        <v>164200</v>
      </c>
      <c r="E153" s="260">
        <f>SUM(E150:E152)</f>
        <v>255884</v>
      </c>
      <c r="F153" s="247">
        <f>SUM(C153:E153)</f>
        <v>461414.43200000003</v>
      </c>
      <c r="G153" s="259"/>
      <c r="H153" s="65" t="s">
        <v>155</v>
      </c>
      <c r="I153" s="245">
        <f>SUM(I145:I152)</f>
        <v>198.70399999999995</v>
      </c>
      <c r="J153" s="68">
        <f>SUM(J145:J152)</f>
        <v>824.92307692307691</v>
      </c>
      <c r="K153" s="69">
        <f>SUM(I153:J153)</f>
        <v>1023.6270769230769</v>
      </c>
      <c r="M153" s="65" t="s">
        <v>155</v>
      </c>
      <c r="N153" s="68">
        <f>SUM(N145:N152)</f>
        <v>0</v>
      </c>
      <c r="O153" s="68">
        <f>SUM(O145:O152)</f>
        <v>35.5</v>
      </c>
      <c r="P153" s="69">
        <f>SUM(N153:O153)</f>
        <v>35.5</v>
      </c>
    </row>
    <row r="154" spans="2:16" x14ac:dyDescent="0.35">
      <c r="B154" s="149"/>
    </row>
    <row r="155" spans="2:16" x14ac:dyDescent="0.35">
      <c r="B155" s="149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2C2E5BD-F4A0-4DF6-A6E6-EF362CA37CA3}">
          <x14:formula1>
            <xm:f>'Basic Input'!$B$95:$B$108</xm:f>
          </x14:formula1>
          <xm:sqref>E7:E14 E27:E34 E47:E51 E63:E67 E79:E83 E95:E99 E111:E115 E128:E132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Titel</vt:lpstr>
      <vt:lpstr>Overview 1</vt:lpstr>
      <vt:lpstr>Overview 2</vt:lpstr>
      <vt:lpstr>Basic Input</vt:lpstr>
      <vt:lpstr>Total collection  </vt:lpstr>
      <vt:lpstr>Total meter (2)</vt:lpstr>
      <vt:lpstr>acquisition year </vt:lpstr>
      <vt:lpstr>retention years</vt:lpstr>
      <vt:lpstr>digitization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Duran Casablancas</dc:creator>
  <cp:lastModifiedBy>Duran Casablancas, Cristina</cp:lastModifiedBy>
  <dcterms:created xsi:type="dcterms:W3CDTF">2020-08-28T07:11:04Z</dcterms:created>
  <dcterms:modified xsi:type="dcterms:W3CDTF">2023-10-25T12:44:18Z</dcterms:modified>
</cp:coreProperties>
</file>