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xr:revisionPtr revIDLastSave="0" documentId="8_{959BBA89-F467-4D0A-8FA9-83CE1C890F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O36" i="1"/>
  <c r="D48" i="1"/>
  <c r="Q23" i="1"/>
  <c r="G23" i="1"/>
  <c r="U23" i="1" l="1"/>
  <c r="G29" i="1" l="1"/>
  <c r="T23" i="1" l="1"/>
  <c r="T24" i="1"/>
  <c r="T25" i="1"/>
  <c r="T26" i="1"/>
  <c r="T27" i="1"/>
  <c r="T28" i="1"/>
  <c r="T29" i="1"/>
  <c r="D47" i="1"/>
  <c r="D46" i="1"/>
  <c r="S24" i="1"/>
  <c r="S25" i="1"/>
  <c r="S26" i="1"/>
  <c r="S27" i="1"/>
  <c r="S28" i="1"/>
  <c r="S29" i="1"/>
  <c r="S23" i="1"/>
  <c r="R24" i="1"/>
  <c r="R25" i="1"/>
  <c r="R26" i="1"/>
  <c r="R27" i="1"/>
  <c r="R28" i="1"/>
  <c r="R29" i="1"/>
  <c r="R23" i="1"/>
  <c r="Q29" i="1"/>
  <c r="Q24" i="1"/>
  <c r="Q25" i="1"/>
  <c r="Q26" i="1"/>
  <c r="Q27" i="1"/>
  <c r="Q28" i="1"/>
  <c r="P24" i="1"/>
  <c r="P25" i="1"/>
  <c r="P26" i="1"/>
  <c r="P27" i="1"/>
  <c r="P28" i="1"/>
  <c r="P29" i="1"/>
  <c r="P23" i="1"/>
  <c r="O24" i="1"/>
  <c r="O25" i="1"/>
  <c r="O26" i="1"/>
  <c r="O27" i="1"/>
  <c r="O28" i="1"/>
  <c r="O29" i="1"/>
  <c r="O23" i="1"/>
  <c r="N24" i="1"/>
  <c r="N25" i="1"/>
  <c r="N26" i="1"/>
  <c r="N27" i="1"/>
  <c r="N28" i="1"/>
  <c r="N29" i="1"/>
  <c r="N23" i="1"/>
  <c r="AB28" i="1"/>
  <c r="AB27" i="1"/>
  <c r="K24" i="1"/>
  <c r="K25" i="1"/>
  <c r="K26" i="1"/>
  <c r="K27" i="1"/>
  <c r="K28" i="1"/>
  <c r="K29" i="1"/>
  <c r="K23" i="1"/>
  <c r="J24" i="1"/>
  <c r="J25" i="1"/>
  <c r="J26" i="1"/>
  <c r="J27" i="1"/>
  <c r="J28" i="1"/>
  <c r="J29" i="1"/>
  <c r="J23" i="1"/>
  <c r="M24" i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I24" i="1"/>
  <c r="I25" i="1"/>
  <c r="I26" i="1"/>
  <c r="I27" i="1"/>
  <c r="I28" i="1"/>
  <c r="I29" i="1"/>
  <c r="I23" i="1"/>
  <c r="H24" i="1"/>
  <c r="H25" i="1"/>
  <c r="H26" i="1"/>
  <c r="H27" i="1"/>
  <c r="H28" i="1"/>
  <c r="H29" i="1"/>
  <c r="AB26" i="1"/>
  <c r="V24" i="1"/>
  <c r="V25" i="1"/>
  <c r="V26" i="1"/>
  <c r="V27" i="1"/>
  <c r="V28" i="1"/>
  <c r="V29" i="1"/>
  <c r="V23" i="1"/>
  <c r="W24" i="1"/>
  <c r="W25" i="1"/>
  <c r="W26" i="1"/>
  <c r="W27" i="1"/>
  <c r="W28" i="1"/>
  <c r="W29" i="1"/>
  <c r="W23" i="1"/>
  <c r="O42" i="1"/>
  <c r="O37" i="1"/>
  <c r="O38" i="1"/>
  <c r="O39" i="1"/>
  <c r="O40" i="1"/>
  <c r="O41" i="1"/>
  <c r="N37" i="1"/>
  <c r="N38" i="1"/>
  <c r="N39" i="1"/>
  <c r="N40" i="1"/>
  <c r="N41" i="1"/>
  <c r="N42" i="1"/>
  <c r="N36" i="1"/>
  <c r="M37" i="1"/>
  <c r="M38" i="1"/>
  <c r="M39" i="1"/>
  <c r="M40" i="1"/>
  <c r="M41" i="1"/>
  <c r="M42" i="1"/>
  <c r="M36" i="1"/>
  <c r="L37" i="1"/>
  <c r="L38" i="1"/>
  <c r="L39" i="1"/>
  <c r="L40" i="1"/>
  <c r="L41" i="1"/>
  <c r="L42" i="1"/>
  <c r="L36" i="1"/>
  <c r="I39" i="1"/>
  <c r="I36" i="1"/>
  <c r="U24" i="1"/>
  <c r="U25" i="1"/>
  <c r="U26" i="1"/>
  <c r="U27" i="1"/>
  <c r="U28" i="1"/>
  <c r="U29" i="1"/>
  <c r="U10" i="1"/>
  <c r="U11" i="1"/>
  <c r="U12" i="1"/>
  <c r="U13" i="1"/>
  <c r="U14" i="1"/>
  <c r="U15" i="1"/>
  <c r="U9" i="1"/>
  <c r="AB23" i="1"/>
  <c r="F24" i="1"/>
  <c r="F25" i="1"/>
  <c r="F26" i="1"/>
  <c r="F27" i="1"/>
  <c r="F28" i="1"/>
  <c r="F29" i="1"/>
  <c r="F23" i="1"/>
  <c r="D24" i="1"/>
  <c r="E24" i="1" s="1"/>
  <c r="G24" i="1" s="1"/>
  <c r="D25" i="1"/>
  <c r="E25" i="1" s="1"/>
  <c r="G25" i="1" s="1"/>
  <c r="D26" i="1"/>
  <c r="E26" i="1" s="1"/>
  <c r="G26" i="1" s="1"/>
  <c r="D27" i="1"/>
  <c r="E27" i="1" s="1"/>
  <c r="G27" i="1" s="1"/>
  <c r="D28" i="1"/>
  <c r="E28" i="1" s="1"/>
  <c r="G28" i="1" s="1"/>
  <c r="D29" i="1"/>
  <c r="E29" i="1" s="1"/>
  <c r="D23" i="1"/>
  <c r="AB24" i="1" s="1"/>
  <c r="E23" i="1" l="1"/>
  <c r="C24" i="1" l="1"/>
  <c r="C25" i="1"/>
  <c r="C26" i="1"/>
  <c r="C27" i="1"/>
  <c r="C28" i="1"/>
  <c r="C29" i="1"/>
  <c r="C23" i="1"/>
  <c r="AE9" i="1"/>
  <c r="AG15" i="1" s="1"/>
  <c r="AD9" i="1"/>
  <c r="AC10" i="1"/>
  <c r="AC11" i="1"/>
  <c r="AC12" i="1"/>
  <c r="AC13" i="1"/>
  <c r="AC14" i="1"/>
  <c r="AC15" i="1"/>
  <c r="AC9" i="1"/>
  <c r="AB10" i="1"/>
  <c r="AB11" i="1"/>
  <c r="AB12" i="1"/>
  <c r="AB13" i="1"/>
  <c r="AB14" i="1"/>
  <c r="AB15" i="1"/>
  <c r="AA10" i="1"/>
  <c r="AA11" i="1"/>
  <c r="AA12" i="1"/>
  <c r="AA13" i="1"/>
  <c r="AA14" i="1"/>
  <c r="AA15" i="1"/>
  <c r="AB9" i="1"/>
  <c r="AA9" i="1"/>
  <c r="AG13" i="1" l="1"/>
  <c r="AG12" i="1"/>
  <c r="AG11" i="1"/>
  <c r="AG10" i="1"/>
  <c r="AG14" i="1"/>
  <c r="AG9" i="1"/>
  <c r="B10" i="1" l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<sst xmlns="http://schemas.openxmlformats.org/spreadsheetml/2006/main" count="124" uniqueCount="106">
  <si>
    <t>V</t>
  </si>
  <si>
    <t>I1</t>
  </si>
  <si>
    <t>I2</t>
  </si>
  <si>
    <t>I3</t>
  </si>
  <si>
    <t>W1</t>
  </si>
  <si>
    <t>W2</t>
  </si>
  <si>
    <t>tecbp</t>
  </si>
  <si>
    <t>tsebp</t>
  </si>
  <si>
    <t>tecap</t>
  </si>
  <si>
    <t>tea</t>
  </si>
  <si>
    <t>tsa</t>
  </si>
  <si>
    <t>tiempo</t>
  </si>
  <si>
    <t>tebp</t>
  </si>
  <si>
    <t>n</t>
  </si>
  <si>
    <t>Patm.</t>
  </si>
  <si>
    <t>[kp/cm2]</t>
  </si>
  <si>
    <t>[V]</t>
  </si>
  <si>
    <t>[A]</t>
  </si>
  <si>
    <t>[kW]</t>
  </si>
  <si>
    <t>[°C]</t>
  </si>
  <si>
    <t>[s]</t>
  </si>
  <si>
    <t>[mmca]</t>
  </si>
  <si>
    <t>[rpm]</t>
  </si>
  <si>
    <t>[mmHg]</t>
  </si>
  <si>
    <t>Pd</t>
  </si>
  <si>
    <t>Compresor</t>
  </si>
  <si>
    <t>Temperatura</t>
  </si>
  <si>
    <t>NNNNNN</t>
  </si>
  <si>
    <t>Estanque de</t>
  </si>
  <si>
    <t>baja presión</t>
  </si>
  <si>
    <t>Agua de refrigeración</t>
  </si>
  <si>
    <t>10 l</t>
  </si>
  <si>
    <t>Motor Eléctrico</t>
  </si>
  <si>
    <t>Tensión</t>
  </si>
  <si>
    <t>Corrientes</t>
  </si>
  <si>
    <t>Potencia</t>
  </si>
  <si>
    <t>Presión</t>
  </si>
  <si>
    <t>Velocid</t>
  </si>
  <si>
    <t>DATOS MEDIDOS</t>
  </si>
  <si>
    <t>CBP</t>
  </si>
  <si>
    <t>CAP</t>
  </si>
  <si>
    <t>Área</t>
  </si>
  <si>
    <r>
      <t>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</si>
  <si>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DIAGRAMAS INDICADOS</t>
  </si>
  <si>
    <r>
      <t>L</t>
    </r>
    <r>
      <rPr>
        <vertAlign val="subscript"/>
        <sz val="11"/>
        <color theme="1"/>
        <rFont val="Calibri"/>
        <family val="2"/>
        <scheme val="minor"/>
      </rPr>
      <t>d</t>
    </r>
  </si>
  <si>
    <t>[mm]</t>
  </si>
  <si>
    <t>CBP y CAP</t>
  </si>
  <si>
    <t>tebp (K)</t>
  </si>
  <si>
    <t>tecbp (K)</t>
  </si>
  <si>
    <r>
      <rPr>
        <sz val="10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</t>
    </r>
    <r>
      <rPr>
        <sz val="10"/>
        <rFont val="Arial"/>
        <family val="2"/>
      </rPr>
      <t xml:space="preserve"> (cm</t>
    </r>
    <r>
      <rPr>
        <sz val="8"/>
        <rFont val="Arial"/>
        <family val="2"/>
      </rPr>
      <t>agua</t>
    </r>
    <r>
      <rPr>
        <sz val="10"/>
        <rFont val="Arial"/>
        <family val="2"/>
      </rPr>
      <t>)</t>
    </r>
  </si>
  <si>
    <r>
      <t>Patm (cm</t>
    </r>
    <r>
      <rPr>
        <sz val="8"/>
        <color theme="1"/>
        <rFont val="Calibri"/>
        <family val="2"/>
        <scheme val="minor"/>
      </rPr>
      <t>agua</t>
    </r>
    <r>
      <rPr>
        <sz val="11"/>
        <color theme="1"/>
        <rFont val="Calibri"/>
        <family val="2"/>
        <scheme val="minor"/>
      </rPr>
      <t>)</t>
    </r>
  </si>
  <si>
    <t>S</t>
  </si>
  <si>
    <t>α</t>
  </si>
  <si>
    <t>VALORES CALCULADOS</t>
  </si>
  <si>
    <t>Estanque de baja presión</t>
  </si>
  <si>
    <t>C</t>
  </si>
  <si>
    <r>
      <t>D</t>
    </r>
    <r>
      <rPr>
        <sz val="8"/>
        <color theme="1"/>
        <rFont val="Calibri"/>
        <family val="2"/>
        <scheme val="minor"/>
      </rPr>
      <t>CBP</t>
    </r>
    <r>
      <rPr>
        <sz val="11"/>
        <color theme="1"/>
        <rFont val="Calibri"/>
        <family val="2"/>
        <scheme val="minor"/>
      </rPr>
      <t xml:space="preserve"> (m)</t>
    </r>
  </si>
  <si>
    <r>
      <t>D</t>
    </r>
    <r>
      <rPr>
        <sz val="8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(m)</t>
    </r>
  </si>
  <si>
    <t>l (m)</t>
  </si>
  <si>
    <t>kp/cm2</t>
  </si>
  <si>
    <t>Espacio Muerto CBP</t>
  </si>
  <si>
    <t>Espacio Muerto CAP</t>
  </si>
  <si>
    <t>Pecbp</t>
  </si>
  <si>
    <t>Pscap</t>
  </si>
  <si>
    <t>Pscbp</t>
  </si>
  <si>
    <t>Pecap</t>
  </si>
  <si>
    <t>Mediciones Diagramas en (mm)</t>
  </si>
  <si>
    <t>Relación para ajuste</t>
  </si>
  <si>
    <t>K cbp</t>
  </si>
  <si>
    <t>K cap</t>
  </si>
  <si>
    <t>Patm</t>
  </si>
  <si>
    <t>Presiones Absolutas</t>
  </si>
  <si>
    <t>rcbp</t>
  </si>
  <si>
    <t>rcap</t>
  </si>
  <si>
    <t>1/k</t>
  </si>
  <si>
    <t>lcl</t>
  </si>
  <si>
    <t>ldiagrama</t>
  </si>
  <si>
    <t>area cbp (m)</t>
  </si>
  <si>
    <t>area cap (m)</t>
  </si>
  <si>
    <t>tprom</t>
  </si>
  <si>
    <t>densidad agua promedio</t>
  </si>
  <si>
    <t>v agua</t>
  </si>
  <si>
    <t>PMI CBP (kp/cm2)</t>
  </si>
  <si>
    <t>PMI CAP (kp/cm2)</t>
  </si>
  <si>
    <t>A DI CBP (m2)</t>
  </si>
  <si>
    <t>A DI CAP (m2)</t>
  </si>
  <si>
    <t>Ni CBP (kW)</t>
  </si>
  <si>
    <t>Ni CAP (kW)</t>
  </si>
  <si>
    <t>Ni (kW)</t>
  </si>
  <si>
    <t>I (A)</t>
  </si>
  <si>
    <t>N elec (kW)</t>
  </si>
  <si>
    <t>V agua (l/min)</t>
  </si>
  <si>
    <t>Q (kcal/min)</t>
  </si>
  <si>
    <t>Pi (kp/cm2)</t>
  </si>
  <si>
    <t>tscap</t>
  </si>
  <si>
    <t>pd (kp/cm2)</t>
  </si>
  <si>
    <t>Cl (m3)</t>
  </si>
  <si>
    <t>Dl (m3)</t>
  </si>
  <si>
    <t>V (m3/h)</t>
  </si>
  <si>
    <t>ȠVR</t>
  </si>
  <si>
    <t>ȠVC</t>
  </si>
  <si>
    <t>ȠVCI</t>
  </si>
  <si>
    <t>DP</t>
  </si>
  <si>
    <t>tabla</t>
  </si>
  <si>
    <t>valores</t>
  </si>
  <si>
    <t>(tablas cengel)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</si>
</sst>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ymbol"/>
      <family val="1"/>
      <charset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1"/>
      <charset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1" fillId="2" borderId="28" applyNumberFormat="0" applyAlignment="0" applyProtection="0"/>
    <xf numFmtId="0" fontId="12" fillId="3" borderId="29" applyNumberFormat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 applyBorder="1" applyAlignment="1"/>
    <xf numFmtId="0" fontId="0" fillId="0" borderId="21" xfId="0" applyBorder="1"/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0" fillId="0" borderId="27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1" xfId="0" applyFill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3" borderId="29" xfId="2" applyAlignment="1">
      <alignment horizontal="center" wrapText="1"/>
    </xf>
    <xf numFmtId="0" fontId="12" fillId="3" borderId="29" xfId="2" applyAlignment="1">
      <alignment horizontal="center"/>
    </xf>
    <xf numFmtId="0" fontId="12" fillId="3" borderId="29" xfId="2"/>
    <xf numFmtId="164" fontId="11" fillId="2" borderId="28" xfId="1" applyNumberFormat="1"/>
    <xf numFmtId="0" fontId="11" fillId="2" borderId="28" xfId="1"/>
    <xf numFmtId="9" fontId="11" fillId="2" borderId="28" xfId="1" applyNumberFormat="1"/>
    <xf numFmtId="165" fontId="11" fillId="2" borderId="28" xfId="1" applyNumberFormat="1"/>
    <xf numFmtId="0" fontId="12" fillId="3" borderId="29" xfId="2" applyAlignment="1">
      <alignment horizontal="center"/>
    </xf>
    <xf numFmtId="0" fontId="12" fillId="3" borderId="29" xfId="2" applyAlignment="1">
      <alignment horizontal="center" vertical="center"/>
    </xf>
    <xf numFmtId="164" fontId="11" fillId="2" borderId="28" xfId="1" applyNumberFormat="1" applyAlignment="1">
      <alignment horizontal="center"/>
    </xf>
    <xf numFmtId="0" fontId="11" fillId="2" borderId="28" xfId="1" applyAlignment="1">
      <alignment horizontal="center"/>
    </xf>
  </cellXfs>
  <cellStyles count="3">
    <cellStyle name="Cálculo" xfId="1" builtinId="22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Relaciones</a:t>
            </a:r>
            <a:r>
              <a:rPr lang="es-CL" baseline="0"/>
              <a:t> de compresión CBP CAP v/s presión de descarga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CBP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Hoja1!$V$23:$V$29</c:f>
              <c:numCache>
                <c:formatCode>General</c:formatCode>
                <c:ptCount val="7"/>
                <c:pt idx="0">
                  <c:v>2.7882560487130856</c:v>
                </c:pt>
                <c:pt idx="1">
                  <c:v>2.6089469895263617</c:v>
                </c:pt>
                <c:pt idx="2">
                  <c:v>2.3962596385261712</c:v>
                </c:pt>
                <c:pt idx="3">
                  <c:v>2.1850155276800964</c:v>
                </c:pt>
                <c:pt idx="4">
                  <c:v>1.926070797575739</c:v>
                </c:pt>
                <c:pt idx="5">
                  <c:v>1.6558929066360539</c:v>
                </c:pt>
                <c:pt idx="6">
                  <c:v>1.4027713281310121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7-4412-923B-A7B10743C819}"/>
            </c:ext>
          </c:extLst>
        </c:ser>
        <c:ser>
          <c:idx val="1"/>
          <c:order val="1"/>
          <c:tx>
            <c:v>r CAP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Hoja1!$W$23:$W$29</c:f>
              <c:numCache>
                <c:formatCode>General</c:formatCode>
                <c:ptCount val="7"/>
                <c:pt idx="0">
                  <c:v>3.3237702802965359</c:v>
                </c:pt>
                <c:pt idx="1">
                  <c:v>3.1547100661367904</c:v>
                </c:pt>
                <c:pt idx="2">
                  <c:v>2.8640129084836015</c:v>
                </c:pt>
                <c:pt idx="3">
                  <c:v>2.2769506886706181</c:v>
                </c:pt>
                <c:pt idx="4">
                  <c:v>2.0316132738999459</c:v>
                </c:pt>
                <c:pt idx="5">
                  <c:v>1.6717982649742003</c:v>
                </c:pt>
                <c:pt idx="6">
                  <c:v>1.2650389834130296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412-923B-A7B10743C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50399"/>
        <c:axId val="1111360239"/>
      </c:scatterChart>
      <c:valAx>
        <c:axId val="10982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</a:t>
                </a:r>
                <a:r>
                  <a:rPr lang="es-CL" baseline="0"/>
                  <a:t> (kp/cm2)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1360239"/>
        <c:crosses val="autoZero"/>
        <c:crossBetween val="midCat"/>
      </c:valAx>
      <c:valAx>
        <c:axId val="11113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relación de compresión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82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Intensidad electrica v/s 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Hoja1!$Q$23:$Q$29</c:f>
              <c:numCache>
                <c:formatCode>General</c:formatCode>
                <c:ptCount val="7"/>
                <c:pt idx="0">
                  <c:v>16.366666666666667</c:v>
                </c:pt>
                <c:pt idx="1">
                  <c:v>15.733333333333334</c:v>
                </c:pt>
                <c:pt idx="2">
                  <c:v>14.300000000000002</c:v>
                </c:pt>
                <c:pt idx="3">
                  <c:v>13.466666666666667</c:v>
                </c:pt>
                <c:pt idx="4">
                  <c:v>12.633333333333333</c:v>
                </c:pt>
                <c:pt idx="5">
                  <c:v>11.433333333333332</c:v>
                </c:pt>
                <c:pt idx="6">
                  <c:v>9.9333333333333336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F-4423-AFC5-3A752674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99647"/>
        <c:axId val="854491183"/>
      </c:scatterChart>
      <c:valAx>
        <c:axId val="96599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4491183"/>
        <c:crosses val="autoZero"/>
        <c:crossBetween val="midCat"/>
      </c:valAx>
      <c:valAx>
        <c:axId val="8544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599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Temperatura de refrigeracion v/s</a:t>
            </a:r>
            <a:r>
              <a:rPr lang="es-CL" baseline="0"/>
              <a:t> Pd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Hoja1!$C$9:$C$15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Hoja1!$K$9:$K$15</c:f>
              <c:numCache>
                <c:formatCode>General</c:formatCode>
                <c:ptCount val="7"/>
                <c:pt idx="0">
                  <c:v>18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B-414D-93AB-4146D896B2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Hoja1!$C$9:$C$15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Hoja1!$L$9:$L$15</c:f>
              <c:numCache>
                <c:formatCode>General</c:formatCode>
                <c:ptCount val="7"/>
                <c:pt idx="0">
                  <c:v>26.5</c:v>
                </c:pt>
                <c:pt idx="1">
                  <c:v>26.5</c:v>
                </c:pt>
                <c:pt idx="2">
                  <c:v>26.5</c:v>
                </c:pt>
                <c:pt idx="3">
                  <c:v>26.5</c:v>
                </c:pt>
                <c:pt idx="4">
                  <c:v>26.5</c:v>
                </c:pt>
                <c:pt idx="5">
                  <c:v>26.5</c:v>
                </c:pt>
                <c:pt idx="6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B-414D-93AB-4146D896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95071"/>
        <c:axId val="854513647"/>
      </c:scatterChart>
      <c:valAx>
        <c:axId val="9660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Pd[</a:t>
                </a:r>
                <a:r>
                  <a:rPr lang="es-CL" baseline="0"/>
                  <a:t> kp/cm2]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4513647"/>
        <c:crosses val="autoZero"/>
        <c:crossBetween val="midCat"/>
      </c:valAx>
      <c:valAx>
        <c:axId val="8545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60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Caudal agua v/S 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Hoja1!$S$23:$S$29</c:f>
              <c:numCache>
                <c:formatCode>General</c:formatCode>
                <c:ptCount val="7"/>
                <c:pt idx="0">
                  <c:v>7.6923076923076925</c:v>
                </c:pt>
                <c:pt idx="1">
                  <c:v>8</c:v>
                </c:pt>
                <c:pt idx="2">
                  <c:v>7.7922077922077921</c:v>
                </c:pt>
                <c:pt idx="3">
                  <c:v>7.8947368421052628</c:v>
                </c:pt>
                <c:pt idx="4">
                  <c:v>7.8947368421052628</c:v>
                </c:pt>
                <c:pt idx="5">
                  <c:v>8.1081081081081088</c:v>
                </c:pt>
                <c:pt idx="6">
                  <c:v>7.7922077922077921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4-44ED-9B8D-87BAC5E0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157455"/>
        <c:axId val="689373551"/>
      </c:scatterChart>
      <c:valAx>
        <c:axId val="8501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9373551"/>
        <c:crosses val="autoZero"/>
        <c:crossBetween val="midCat"/>
      </c:valAx>
      <c:valAx>
        <c:axId val="6893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Caudal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01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Calor</a:t>
            </a:r>
            <a:r>
              <a:rPr lang="es-CL" baseline="0"/>
              <a:t> de refrigeracion v/s Pd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Hoja1!$T$23:$T$29</c:f>
              <c:numCache>
                <c:formatCode>General</c:formatCode>
                <c:ptCount val="7"/>
                <c:pt idx="0">
                  <c:v>65.224814588872647</c:v>
                </c:pt>
                <c:pt idx="1">
                  <c:v>63.843583221108283</c:v>
                </c:pt>
                <c:pt idx="2">
                  <c:v>62.185308332248326</c:v>
                </c:pt>
                <c:pt idx="3">
                  <c:v>63.003536073462122</c:v>
                </c:pt>
                <c:pt idx="4">
                  <c:v>63.003536073462122</c:v>
                </c:pt>
                <c:pt idx="5">
                  <c:v>64.706334345717863</c:v>
                </c:pt>
                <c:pt idx="6">
                  <c:v>62.185308332248326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1-46F8-AD17-3CB8FA00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76495"/>
        <c:axId val="615048463"/>
      </c:scatterChart>
      <c:valAx>
        <c:axId val="85717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5048463"/>
        <c:crosses val="autoZero"/>
        <c:crossBetween val="midCat"/>
      </c:valAx>
      <c:valAx>
        <c:axId val="6150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717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r.</a:t>
            </a:r>
            <a:r>
              <a:rPr lang="es-CL" baseline="0"/>
              <a:t> compresion v/s Pd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Hoja1!$V$23:$V$29</c:f>
              <c:numCache>
                <c:formatCode>General</c:formatCode>
                <c:ptCount val="7"/>
                <c:pt idx="0">
                  <c:v>2.7882560487130856</c:v>
                </c:pt>
                <c:pt idx="1">
                  <c:v>2.6089469895263617</c:v>
                </c:pt>
                <c:pt idx="2">
                  <c:v>2.3962596385261712</c:v>
                </c:pt>
                <c:pt idx="3">
                  <c:v>2.1850155276800964</c:v>
                </c:pt>
                <c:pt idx="4">
                  <c:v>1.926070797575739</c:v>
                </c:pt>
                <c:pt idx="5">
                  <c:v>1.6558929066360539</c:v>
                </c:pt>
                <c:pt idx="6">
                  <c:v>1.4027713281310121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0-4E1D-A98C-520BB495A3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Hoja1!$W$23:$W$29</c:f>
              <c:numCache>
                <c:formatCode>General</c:formatCode>
                <c:ptCount val="7"/>
                <c:pt idx="0">
                  <c:v>3.3237702802965359</c:v>
                </c:pt>
                <c:pt idx="1">
                  <c:v>3.1547100661367904</c:v>
                </c:pt>
                <c:pt idx="2">
                  <c:v>2.8640129084836015</c:v>
                </c:pt>
                <c:pt idx="3">
                  <c:v>2.2769506886706181</c:v>
                </c:pt>
                <c:pt idx="4">
                  <c:v>2.0316132738999459</c:v>
                </c:pt>
                <c:pt idx="5">
                  <c:v>1.6717982649742003</c:v>
                </c:pt>
                <c:pt idx="6">
                  <c:v>1.2650389834130296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0-4E1D-A98C-520BB495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17407"/>
        <c:axId val="689367311"/>
      </c:scatterChart>
      <c:valAx>
        <c:axId val="9639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9367311"/>
        <c:crosses val="autoZero"/>
        <c:crossBetween val="midCat"/>
      </c:valAx>
      <c:valAx>
        <c:axId val="6893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39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Rendimientos v/s Presion de descargas</a:t>
            </a:r>
          </a:p>
        </c:rich>
      </c:tx>
      <c:layout>
        <c:manualLayout>
          <c:xMode val="edge"/>
          <c:yMode val="edge"/>
          <c:x val="0.372229002624671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Hoja1!$G$23:$G$29</c:f>
              <c:numCache>
                <c:formatCode>0%</c:formatCode>
                <c:ptCount val="7"/>
                <c:pt idx="0">
                  <c:v>0.83122628961465839</c:v>
                </c:pt>
                <c:pt idx="1">
                  <c:v>0.85479994754602129</c:v>
                </c:pt>
                <c:pt idx="2">
                  <c:v>0.84043328842851972</c:v>
                </c:pt>
                <c:pt idx="3">
                  <c:v>0.85370133196734754</c:v>
                </c:pt>
                <c:pt idx="4">
                  <c:v>0.86500568511249121</c:v>
                </c:pt>
                <c:pt idx="5">
                  <c:v>0.87540367434951272</c:v>
                </c:pt>
                <c:pt idx="6">
                  <c:v>0.87256490447533064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8-40D4-A0D6-3508218951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Hoja1!$H$23:$H$29</c:f>
              <c:numCache>
                <c:formatCode>0%</c:formatCode>
                <c:ptCount val="7"/>
                <c:pt idx="0">
                  <c:v>0.92174645295525981</c:v>
                </c:pt>
                <c:pt idx="1">
                  <c:v>0.92671933817513286</c:v>
                </c:pt>
                <c:pt idx="2">
                  <c:v>0.93545278564158685</c:v>
                </c:pt>
                <c:pt idx="3">
                  <c:v>0.95391463615845451</c:v>
                </c:pt>
                <c:pt idx="4">
                  <c:v>0.96202444474102422</c:v>
                </c:pt>
                <c:pt idx="5">
                  <c:v>0.97444873997825499</c:v>
                </c:pt>
                <c:pt idx="6">
                  <c:v>0.98946526203767182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8-40D4-A0D6-3508218951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Hoja1!$I$23:$I$29</c:f>
              <c:numCache>
                <c:formatCode>0%</c:formatCode>
                <c:ptCount val="7"/>
                <c:pt idx="0">
                  <c:v>0.88232915487262431</c:v>
                </c:pt>
                <c:pt idx="1">
                  <c:v>0.87785642062689573</c:v>
                </c:pt>
                <c:pt idx="2">
                  <c:v>0.8825075834175935</c:v>
                </c:pt>
                <c:pt idx="3">
                  <c:v>0.85705620703598873</c:v>
                </c:pt>
                <c:pt idx="4">
                  <c:v>0.86627672448567983</c:v>
                </c:pt>
                <c:pt idx="5">
                  <c:v>0.88628899835796393</c:v>
                </c:pt>
                <c:pt idx="6">
                  <c:v>0.88071654373024233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C8-40D4-A0D6-35082189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898495"/>
        <c:axId val="854497007"/>
      </c:scatterChart>
      <c:valAx>
        <c:axId val="95889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Presion de descarga [kp/cm2]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4497007"/>
        <c:crosses val="autoZero"/>
        <c:crossBetween val="midCat"/>
      </c:valAx>
      <c:valAx>
        <c:axId val="8544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Rendimientos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889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PMI (CBP Y CAP) v/s Presion de descargas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Hoja1!$J$23:$J$29</c:f>
              <c:numCache>
                <c:formatCode>General</c:formatCode>
                <c:ptCount val="7"/>
                <c:pt idx="0">
                  <c:v>1.3106060606060606</c:v>
                </c:pt>
                <c:pt idx="1">
                  <c:v>1.2391414141414139</c:v>
                </c:pt>
                <c:pt idx="2">
                  <c:v>1.2510101010101011</c:v>
                </c:pt>
                <c:pt idx="3">
                  <c:v>1.1926767676767678</c:v>
                </c:pt>
                <c:pt idx="4">
                  <c:v>1.2356060606060606</c:v>
                </c:pt>
                <c:pt idx="5">
                  <c:v>1.1984848484848485</c:v>
                </c:pt>
                <c:pt idx="6">
                  <c:v>1.1123737373737372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F-4F9A-BBDB-BE1DEABD29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Hoja1!$K$23:$K$29</c:f>
              <c:numCache>
                <c:formatCode>General</c:formatCode>
                <c:ptCount val="7"/>
                <c:pt idx="0">
                  <c:v>2.6212121212121211</c:v>
                </c:pt>
                <c:pt idx="1">
                  <c:v>2.4782828282828278</c:v>
                </c:pt>
                <c:pt idx="2">
                  <c:v>2.5020202020202023</c:v>
                </c:pt>
                <c:pt idx="3">
                  <c:v>2.3853535353535356</c:v>
                </c:pt>
                <c:pt idx="4">
                  <c:v>2.4712121212121212</c:v>
                </c:pt>
                <c:pt idx="5">
                  <c:v>2.396969696969697</c:v>
                </c:pt>
                <c:pt idx="6">
                  <c:v>2.2247474747474745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F-4F9A-BBDB-BE1DEABD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93087"/>
        <c:axId val="854506159"/>
      </c:scatterChart>
      <c:valAx>
        <c:axId val="9585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 [kp/cm2]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4506159"/>
        <c:crosses val="autoZero"/>
        <c:crossBetween val="midCat"/>
      </c:valAx>
      <c:valAx>
        <c:axId val="854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PMI [kp/cm2]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85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Capacidad v/s Presion de descargas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Hoja1!$F$23:$F$29</c:f>
              <c:numCache>
                <c:formatCode>General</c:formatCode>
                <c:ptCount val="7"/>
                <c:pt idx="0">
                  <c:v>73.478987491536543</c:v>
                </c:pt>
                <c:pt idx="1">
                  <c:v>75.472056126305233</c:v>
                </c:pt>
                <c:pt idx="2">
                  <c:v>74.51606157584051</c:v>
                </c:pt>
                <c:pt idx="3">
                  <c:v>76.024972354224388</c:v>
                </c:pt>
                <c:pt idx="4">
                  <c:v>77.092920772167332</c:v>
                </c:pt>
                <c:pt idx="5">
                  <c:v>78.298606675214202</c:v>
                </c:pt>
                <c:pt idx="6">
                  <c:v>78.322767982771964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3-4D83-BB5F-D27DAA0C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11455"/>
        <c:axId val="848817375"/>
      </c:scatterChart>
      <c:valAx>
        <c:axId val="8021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Pd[kp/cm2]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8817375"/>
        <c:crosses val="autoZero"/>
        <c:crossBetween val="midCat"/>
      </c:valAx>
      <c:valAx>
        <c:axId val="8488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</a:t>
                </a:r>
                <a:r>
                  <a:rPr lang="es-CL" baseline="0"/>
                  <a:t> [m3/h]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211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Temperaturas v/s  Presion de descargas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Hoja1!$C$9:$C$15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Hoja1!$E$9:$E$15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6-425E-A0DE-464D9BEE62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Hoja1!$C$9:$C$15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Hoja1!$F$9:$F$15</c:f>
              <c:numCache>
                <c:formatCode>General</c:formatCode>
                <c:ptCount val="7"/>
                <c:pt idx="0">
                  <c:v>48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56</c:v>
                </c:pt>
                <c:pt idx="5">
                  <c:v>56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6-425E-A0DE-464D9BEE62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Hoja1!$C$9:$C$15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Hoja1!$G$9:$G$15</c:f>
              <c:numCache>
                <c:formatCode>General</c:formatCode>
                <c:ptCount val="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6-425E-A0DE-464D9BEE62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Hoja1!$C$9:$C$15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Hoja1!$H$9:$H$15</c:f>
              <c:numCache>
                <c:formatCode>General</c:formatCode>
                <c:ptCount val="7"/>
                <c:pt idx="0">
                  <c:v>89</c:v>
                </c:pt>
                <c:pt idx="1">
                  <c:v>87</c:v>
                </c:pt>
                <c:pt idx="2">
                  <c:v>77</c:v>
                </c:pt>
                <c:pt idx="3">
                  <c:v>67</c:v>
                </c:pt>
                <c:pt idx="4">
                  <c:v>56</c:v>
                </c:pt>
                <c:pt idx="5">
                  <c:v>42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6-425E-A0DE-464D9BEE6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726191"/>
        <c:axId val="615050543"/>
      </c:scatterChart>
      <c:valAx>
        <c:axId val="95872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 [kp/cm2]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5050543"/>
        <c:crosses val="autoZero"/>
        <c:crossBetween val="midCat"/>
      </c:valAx>
      <c:valAx>
        <c:axId val="6150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872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Presiones absolutas v/s Presion de descarga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Hoja1!$L$36:$L$42</c:f>
              <c:numCache>
                <c:formatCode>General</c:formatCode>
                <c:ptCount val="7"/>
                <c:pt idx="0">
                  <c:v>0.6421950335327169</c:v>
                </c:pt>
                <c:pt idx="1">
                  <c:v>0.6355283668660503</c:v>
                </c:pt>
                <c:pt idx="2">
                  <c:v>0.66886170019938374</c:v>
                </c:pt>
                <c:pt idx="3">
                  <c:v>0.56441725575493917</c:v>
                </c:pt>
                <c:pt idx="4">
                  <c:v>0.74663947797716146</c:v>
                </c:pt>
                <c:pt idx="5">
                  <c:v>0.66886170019938374</c:v>
                </c:pt>
                <c:pt idx="6">
                  <c:v>0.71997281131049484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E-414E-9F44-F3C3F2D939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Hoja1!$M$36:$M$42</c:f>
              <c:numCache>
                <c:formatCode>General</c:formatCode>
                <c:ptCount val="7"/>
                <c:pt idx="0">
                  <c:v>3.3044172557549394</c:v>
                </c:pt>
                <c:pt idx="1">
                  <c:v>3.2777505890882721</c:v>
                </c:pt>
                <c:pt idx="2">
                  <c:v>3.0444172557549392</c:v>
                </c:pt>
                <c:pt idx="3">
                  <c:v>3.0421950335327166</c:v>
                </c:pt>
                <c:pt idx="4">
                  <c:v>3.0688617001993834</c:v>
                </c:pt>
                <c:pt idx="5">
                  <c:v>3.0444172557549392</c:v>
                </c:pt>
                <c:pt idx="6">
                  <c:v>2.8599728113104952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E-414E-9F44-F3C3F2D939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Hoja1!$N$36:$N$42</c:f>
              <c:numCache>
                <c:formatCode>General</c:formatCode>
                <c:ptCount val="7"/>
                <c:pt idx="0">
                  <c:v>2.7044172557549393</c:v>
                </c:pt>
                <c:pt idx="1">
                  <c:v>2.4421950335327169</c:v>
                </c:pt>
                <c:pt idx="2">
                  <c:v>2.5488617001993834</c:v>
                </c:pt>
                <c:pt idx="3">
                  <c:v>2.4955283668660506</c:v>
                </c:pt>
                <c:pt idx="4">
                  <c:v>2.1799728113104946</c:v>
                </c:pt>
                <c:pt idx="5">
                  <c:v>2.0244172557549391</c:v>
                </c:pt>
                <c:pt idx="6">
                  <c:v>2.1799728113104946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EE-414E-9F44-F3C3F2D9397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Hoja1!$O$36:$O$42</c:f>
              <c:numCache>
                <c:formatCode>General</c:formatCode>
                <c:ptCount val="7"/>
                <c:pt idx="0">
                  <c:v>8.9888617001993829</c:v>
                </c:pt>
                <c:pt idx="1">
                  <c:v>7.7044172557549384</c:v>
                </c:pt>
                <c:pt idx="2">
                  <c:v>7.2999728113104938</c:v>
                </c:pt>
                <c:pt idx="3">
                  <c:v>5.6821950335327172</c:v>
                </c:pt>
                <c:pt idx="4">
                  <c:v>4.4288617001993833</c:v>
                </c:pt>
                <c:pt idx="5">
                  <c:v>3.384417255754939</c:v>
                </c:pt>
                <c:pt idx="6">
                  <c:v>2.7577505890882721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EE-414E-9F44-F3C3F2D9397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EE-414E-9F44-F3C3F2D9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768591"/>
        <c:axId val="615050959"/>
      </c:scatterChart>
      <c:valAx>
        <c:axId val="9587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Pd[kp/cm2]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5050959"/>
        <c:crosses val="autoZero"/>
        <c:crossBetween val="midCat"/>
      </c:valAx>
      <c:valAx>
        <c:axId val="615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Pabs[kp/cm2]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87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PMI V/S 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Hoja1!$J$23:$J$29</c:f>
              <c:numCache>
                <c:formatCode>General</c:formatCode>
                <c:ptCount val="7"/>
                <c:pt idx="0">
                  <c:v>1.3106060606060606</c:v>
                </c:pt>
                <c:pt idx="1">
                  <c:v>1.2391414141414139</c:v>
                </c:pt>
                <c:pt idx="2">
                  <c:v>1.2510101010101011</c:v>
                </c:pt>
                <c:pt idx="3">
                  <c:v>1.1926767676767678</c:v>
                </c:pt>
                <c:pt idx="4">
                  <c:v>1.2356060606060606</c:v>
                </c:pt>
                <c:pt idx="5">
                  <c:v>1.1984848484848485</c:v>
                </c:pt>
                <c:pt idx="6">
                  <c:v>1.1123737373737372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3-483B-8093-1466A4EF56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Hoja1!$K$23:$K$29</c:f>
              <c:numCache>
                <c:formatCode>General</c:formatCode>
                <c:ptCount val="7"/>
                <c:pt idx="0">
                  <c:v>2.6212121212121211</c:v>
                </c:pt>
                <c:pt idx="1">
                  <c:v>2.4782828282828278</c:v>
                </c:pt>
                <c:pt idx="2">
                  <c:v>2.5020202020202023</c:v>
                </c:pt>
                <c:pt idx="3">
                  <c:v>2.3853535353535356</c:v>
                </c:pt>
                <c:pt idx="4">
                  <c:v>2.4712121212121212</c:v>
                </c:pt>
                <c:pt idx="5">
                  <c:v>2.396969696969697</c:v>
                </c:pt>
                <c:pt idx="6">
                  <c:v>2.2247474747474745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3-483B-8093-1466A4EF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512511"/>
        <c:axId val="698755183"/>
      </c:scatterChart>
      <c:valAx>
        <c:axId val="8475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8755183"/>
        <c:crosses val="autoZero"/>
        <c:crossBetween val="midCat"/>
      </c:valAx>
      <c:valAx>
        <c:axId val="6987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751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NI v/s 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Hoja1!$N$23:$N$29</c:f>
              <c:numCache>
                <c:formatCode>General</c:formatCode>
                <c:ptCount val="7"/>
                <c:pt idx="0">
                  <c:v>3.1559477980171713</c:v>
                </c:pt>
                <c:pt idx="1">
                  <c:v>2.9802748185945087</c:v>
                </c:pt>
                <c:pt idx="2">
                  <c:v>3.0214903361822687</c:v>
                </c:pt>
                <c:pt idx="3">
                  <c:v>2.89325570224814</c:v>
                </c:pt>
                <c:pt idx="4">
                  <c:v>2.9997793699643407</c:v>
                </c:pt>
                <c:pt idx="5">
                  <c:v>2.9200612617169135</c:v>
                </c:pt>
                <c:pt idx="6">
                  <c:v>2.7199114118087788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9-4073-AB3B-F49F34235E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Hoja1!$O$23:$O$29</c:f>
              <c:numCache>
                <c:formatCode>General</c:formatCode>
                <c:ptCount val="7"/>
                <c:pt idx="0">
                  <c:v>1.3213618601621502</c:v>
                </c:pt>
                <c:pt idx="1">
                  <c:v>1.2478094474714212</c:v>
                </c:pt>
                <c:pt idx="2">
                  <c:v>1.2650659474114785</c:v>
                </c:pt>
                <c:pt idx="3">
                  <c:v>1.2113754666820853</c:v>
                </c:pt>
                <c:pt idx="4">
                  <c:v>1.2559757961974238</c:v>
                </c:pt>
                <c:pt idx="5">
                  <c:v>1.2225986700394411</c:v>
                </c:pt>
                <c:pt idx="6">
                  <c:v>1.1387980513625573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9-4073-AB3B-F49F34235E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Hoja1!$P$23:$P$29</c:f>
              <c:numCache>
                <c:formatCode>General</c:formatCode>
                <c:ptCount val="7"/>
                <c:pt idx="0">
                  <c:v>4.4773096581793217</c:v>
                </c:pt>
                <c:pt idx="1">
                  <c:v>4.2280842660659301</c:v>
                </c:pt>
                <c:pt idx="2">
                  <c:v>4.2865562835937467</c:v>
                </c:pt>
                <c:pt idx="3">
                  <c:v>4.1046311689302257</c:v>
                </c:pt>
                <c:pt idx="4">
                  <c:v>4.2557551661617641</c:v>
                </c:pt>
                <c:pt idx="5">
                  <c:v>4.1426599317563548</c:v>
                </c:pt>
                <c:pt idx="6">
                  <c:v>3.8587094631713361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9-4073-AB3B-F49F3423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51791"/>
        <c:axId val="854619375"/>
      </c:scatterChart>
      <c:valAx>
        <c:axId val="7920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4619375"/>
        <c:crosses val="autoZero"/>
        <c:crossBetween val="midCat"/>
      </c:valAx>
      <c:valAx>
        <c:axId val="8546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9205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 electrica v/s 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Hoja1!$C$23:$C$29</c:f>
              <c:numCache>
                <c:formatCode>0.0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4.9000000000000004</c:v>
                </c:pt>
                <c:pt idx="3">
                  <c:v>3.9</c:v>
                </c:pt>
                <c:pt idx="4">
                  <c:v>2.8</c:v>
                </c:pt>
                <c:pt idx="5">
                  <c:v>1.8</c:v>
                </c:pt>
                <c:pt idx="6">
                  <c:v>1</c:v>
                </c:pt>
              </c:numCache>
            </c:numRef>
          </c:xVal>
          <c:yVal>
            <c:numRef>
              <c:f>Hoja1!$R$23:$R$29</c:f>
              <c:numCache>
                <c:formatCode>General</c:formatCode>
                <c:ptCount val="7"/>
                <c:pt idx="0">
                  <c:v>9.81</c:v>
                </c:pt>
                <c:pt idx="1">
                  <c:v>9.59</c:v>
                </c:pt>
                <c:pt idx="2">
                  <c:v>8.43</c:v>
                </c:pt>
                <c:pt idx="3">
                  <c:v>7.93</c:v>
                </c:pt>
                <c:pt idx="4">
                  <c:v>7.4</c:v>
                </c:pt>
                <c:pt idx="5">
                  <c:v>6.8100000000000005</c:v>
                </c:pt>
                <c:pt idx="6">
                  <c:v>5.7399999999999993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2-4BE3-A6F2-1D8EE2D6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184767"/>
        <c:axId val="689388527"/>
      </c:scatterChart>
      <c:valAx>
        <c:axId val="80418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9388527"/>
        <c:crosses val="autoZero"/>
        <c:crossBetween val="midCat"/>
      </c:valAx>
      <c:valAx>
        <c:axId val="6893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418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647627</xdr:colOff>
      <xdr:row>53</xdr:row>
      <xdr:rowOff>158027</xdr:rowOff>
    </xdr:from>
    <xdr:to>
      <xdr:col>43</xdr:col>
      <xdr:colOff>745907</xdr:colOff>
      <xdr:row>68</xdr:row>
      <xdr:rowOff>32182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5D1ACAC-8C68-4CDC-8505-889806BF2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169334</xdr:colOff>
      <xdr:row>21</xdr:row>
      <xdr:rowOff>279400</xdr:rowOff>
    </xdr:from>
    <xdr:to>
      <xdr:col>22</xdr:col>
      <xdr:colOff>412751</xdr:colOff>
      <xdr:row>34</xdr:row>
      <xdr:rowOff>122767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FB3370-F9C5-49B9-9F66-F4EBD54D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830791</xdr:colOff>
      <xdr:row>15</xdr:row>
      <xdr:rowOff>78319</xdr:rowOff>
    </xdr:from>
    <xdr:to>
      <xdr:col>19</xdr:col>
      <xdr:colOff>534458</xdr:colOff>
      <xdr:row>27</xdr:row>
      <xdr:rowOff>186269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95849A-42C9-424F-9C13-D1161F191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555624</xdr:colOff>
      <xdr:row>40</xdr:row>
      <xdr:rowOff>99483</xdr:rowOff>
    </xdr:from>
    <xdr:to>
      <xdr:col>29</xdr:col>
      <xdr:colOff>153457</xdr:colOff>
      <xdr:row>54</xdr:row>
      <xdr:rowOff>16933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7A011B-13C8-4568-8560-6F4A5F07A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566205</xdr:colOff>
      <xdr:row>13</xdr:row>
      <xdr:rowOff>57151</xdr:rowOff>
    </xdr:from>
    <xdr:to>
      <xdr:col>25</xdr:col>
      <xdr:colOff>534455</xdr:colOff>
      <xdr:row>25</xdr:row>
      <xdr:rowOff>165101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2A1B73-6674-4DFB-BB49-97E670754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545040</xdr:colOff>
      <xdr:row>7</xdr:row>
      <xdr:rowOff>25400</xdr:rowOff>
    </xdr:from>
    <xdr:to>
      <xdr:col>33</xdr:col>
      <xdr:colOff>513290</xdr:colOff>
      <xdr:row>20</xdr:row>
      <xdr:rowOff>69850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2C83B1B-683F-4E2D-AC68-D988945B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5292</xdr:colOff>
      <xdr:row>34</xdr:row>
      <xdr:rowOff>194732</xdr:rowOff>
    </xdr:from>
    <xdr:to>
      <xdr:col>21</xdr:col>
      <xdr:colOff>492125</xdr:colOff>
      <xdr:row>47</xdr:row>
      <xdr:rowOff>207432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8E94B4D-B0F3-49AD-B939-C314D24D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275168</xdr:colOff>
      <xdr:row>20</xdr:row>
      <xdr:rowOff>57149</xdr:rowOff>
    </xdr:from>
    <xdr:to>
      <xdr:col>28</xdr:col>
      <xdr:colOff>635001</xdr:colOff>
      <xdr:row>32</xdr:row>
      <xdr:rowOff>122766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52F32A2-2D42-4508-A971-6FE61B743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322791</xdr:colOff>
      <xdr:row>39</xdr:row>
      <xdr:rowOff>110067</xdr:rowOff>
    </xdr:from>
    <xdr:to>
      <xdr:col>31</xdr:col>
      <xdr:colOff>322791</xdr:colOff>
      <xdr:row>53</xdr:row>
      <xdr:rowOff>6351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90A2DBC-C1CC-47C8-B027-AB3CDA7C6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386290</xdr:colOff>
      <xdr:row>2</xdr:row>
      <xdr:rowOff>88900</xdr:rowOff>
    </xdr:from>
    <xdr:to>
      <xdr:col>26</xdr:col>
      <xdr:colOff>365123</xdr:colOff>
      <xdr:row>14</xdr:row>
      <xdr:rowOff>165100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3A1A2F5-1069-4F23-8B22-416589A2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216957</xdr:colOff>
      <xdr:row>18</xdr:row>
      <xdr:rowOff>35985</xdr:rowOff>
    </xdr:from>
    <xdr:to>
      <xdr:col>30</xdr:col>
      <xdr:colOff>216957</xdr:colOff>
      <xdr:row>30</xdr:row>
      <xdr:rowOff>101601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806A6A4-8BA5-4792-B587-668FAEFC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343957</xdr:colOff>
      <xdr:row>30</xdr:row>
      <xdr:rowOff>25401</xdr:rowOff>
    </xdr:from>
    <xdr:to>
      <xdr:col>26</xdr:col>
      <xdr:colOff>322790</xdr:colOff>
      <xdr:row>43</xdr:row>
      <xdr:rowOff>59268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C69592E-3BB7-4251-9AA3-79ABB5FB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142874</xdr:colOff>
      <xdr:row>3</xdr:row>
      <xdr:rowOff>120650</xdr:rowOff>
    </xdr:from>
    <xdr:to>
      <xdr:col>21</xdr:col>
      <xdr:colOff>111124</xdr:colOff>
      <xdr:row>16</xdr:row>
      <xdr:rowOff>27517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6758F41-1954-4953-ACCD-50F47D59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121708</xdr:colOff>
      <xdr:row>5</xdr:row>
      <xdr:rowOff>162984</xdr:rowOff>
    </xdr:from>
    <xdr:to>
      <xdr:col>24</xdr:col>
      <xdr:colOff>132291</xdr:colOff>
      <xdr:row>18</xdr:row>
      <xdr:rowOff>143934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1DB1982-8F69-45B7-BEC4-AACF69B67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49"/>
  <sheetViews>
    <sheetView tabSelected="1" zoomScale="90" zoomScaleNormal="76" workbookViewId="0">
      <selection activeCell="C23" activeCellId="2" sqref="V23:V29 W23:W29 C23:C29"/>
    </sheetView>
  </sheetViews>
  <sheetFormatPr baseColWidth="10" defaultRowHeight="15"/>
  <cols>
    <col min="2" max="2" width="4.140625" customWidth="1"/>
    <col min="3" max="3" width="10" customWidth="1"/>
    <col min="4" max="4" width="14.85546875" bestFit="1" customWidth="1"/>
    <col min="5" max="9" width="7.7109375" customWidth="1"/>
    <col min="10" max="10" width="9.5703125" customWidth="1"/>
    <col min="11" max="11" width="10" customWidth="1"/>
    <col min="12" max="13" width="13.140625" bestFit="1" customWidth="1"/>
    <col min="14" max="19" width="7.7109375" customWidth="1"/>
    <col min="20" max="20" width="10.7109375" customWidth="1"/>
    <col min="21" max="21" width="11.5703125" customWidth="1"/>
    <col min="23" max="23" width="17.140625" customWidth="1"/>
    <col min="24" max="24" width="17.42578125" customWidth="1"/>
    <col min="33" max="33" width="11.85546875" bestFit="1" customWidth="1"/>
  </cols>
  <sheetData>
    <row r="2" spans="2:33" ht="15.75" thickBot="1"/>
    <row r="3" spans="2:33" ht="19.5" thickBot="1">
      <c r="B3" s="36" t="s">
        <v>38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8"/>
      <c r="U3" s="16"/>
    </row>
    <row r="4" spans="2:33" ht="15.75" thickBot="1"/>
    <row r="5" spans="2:33" ht="20.25" thickTop="1" thickBot="1">
      <c r="C5" s="55" t="s">
        <v>25</v>
      </c>
      <c r="D5" s="55"/>
      <c r="E5" s="55"/>
      <c r="F5" s="55"/>
      <c r="G5" s="55"/>
      <c r="H5" s="55"/>
      <c r="I5" s="55" t="s">
        <v>28</v>
      </c>
      <c r="J5" s="55"/>
      <c r="K5" s="55" t="s">
        <v>30</v>
      </c>
      <c r="L5" s="55"/>
      <c r="M5" s="55"/>
      <c r="N5" s="55" t="s">
        <v>32</v>
      </c>
      <c r="O5" s="55"/>
      <c r="P5" s="55"/>
      <c r="Q5" s="55"/>
      <c r="R5" s="55"/>
      <c r="S5" s="55"/>
      <c r="W5" s="33" t="s">
        <v>43</v>
      </c>
      <c r="X5" s="34"/>
      <c r="Y5" s="35"/>
    </row>
    <row r="6" spans="2:33" ht="16.5" thickTop="1" thickBot="1">
      <c r="C6" s="50" t="s">
        <v>36</v>
      </c>
      <c r="D6" s="50" t="s">
        <v>37</v>
      </c>
      <c r="E6" s="55" t="s">
        <v>26</v>
      </c>
      <c r="F6" s="55"/>
      <c r="G6" s="55"/>
      <c r="H6" s="55"/>
      <c r="I6" s="55" t="s">
        <v>29</v>
      </c>
      <c r="J6" s="55"/>
      <c r="K6" s="55" t="s">
        <v>26</v>
      </c>
      <c r="L6" s="55"/>
      <c r="M6" s="49" t="s">
        <v>11</v>
      </c>
      <c r="N6" s="50" t="s">
        <v>33</v>
      </c>
      <c r="O6" s="55" t="s">
        <v>34</v>
      </c>
      <c r="P6" s="55"/>
      <c r="Q6" s="55"/>
      <c r="R6" s="55" t="s">
        <v>35</v>
      </c>
      <c r="S6" s="55"/>
      <c r="W6" s="22" t="s">
        <v>39</v>
      </c>
      <c r="X6" s="23" t="s">
        <v>40</v>
      </c>
      <c r="Y6" s="1" t="s">
        <v>46</v>
      </c>
    </row>
    <row r="7" spans="2:33" ht="19.5" thickTop="1" thickBot="1">
      <c r="B7" s="14"/>
      <c r="C7" s="49" t="s">
        <v>24</v>
      </c>
      <c r="D7" s="49" t="s">
        <v>13</v>
      </c>
      <c r="E7" s="49" t="s">
        <v>6</v>
      </c>
      <c r="F7" s="49" t="s">
        <v>7</v>
      </c>
      <c r="G7" s="49" t="s">
        <v>8</v>
      </c>
      <c r="H7" s="49" t="s">
        <v>94</v>
      </c>
      <c r="I7" s="49" t="s">
        <v>12</v>
      </c>
      <c r="J7" s="49" t="s">
        <v>102</v>
      </c>
      <c r="K7" s="49" t="s">
        <v>9</v>
      </c>
      <c r="L7" s="49" t="s">
        <v>10</v>
      </c>
      <c r="M7" s="49" t="s">
        <v>31</v>
      </c>
      <c r="N7" s="49" t="s">
        <v>0</v>
      </c>
      <c r="O7" s="49" t="s">
        <v>1</v>
      </c>
      <c r="P7" s="49" t="s">
        <v>2</v>
      </c>
      <c r="Q7" s="49" t="s">
        <v>3</v>
      </c>
      <c r="R7" s="49" t="s">
        <v>4</v>
      </c>
      <c r="S7" s="49" t="s">
        <v>5</v>
      </c>
      <c r="T7" s="55" t="s">
        <v>14</v>
      </c>
      <c r="U7" s="55"/>
      <c r="W7" s="8" t="s">
        <v>41</v>
      </c>
      <c r="X7" s="12" t="s">
        <v>41</v>
      </c>
      <c r="Y7" s="10" t="s">
        <v>44</v>
      </c>
      <c r="AA7" s="45" t="s">
        <v>54</v>
      </c>
      <c r="AB7" s="46"/>
      <c r="AC7" s="46"/>
      <c r="AD7" s="46"/>
      <c r="AE7" s="46"/>
      <c r="AF7" s="46"/>
      <c r="AG7" s="47"/>
    </row>
    <row r="8" spans="2:33" ht="18.75" thickTop="1" thickBot="1">
      <c r="B8" s="17"/>
      <c r="C8" s="49" t="s">
        <v>15</v>
      </c>
      <c r="D8" s="49" t="s">
        <v>22</v>
      </c>
      <c r="E8" s="49" t="s">
        <v>19</v>
      </c>
      <c r="F8" s="49" t="s">
        <v>19</v>
      </c>
      <c r="G8" s="49" t="s">
        <v>19</v>
      </c>
      <c r="H8" s="49" t="s">
        <v>19</v>
      </c>
      <c r="I8" s="49" t="s">
        <v>19</v>
      </c>
      <c r="J8" s="49" t="s">
        <v>21</v>
      </c>
      <c r="K8" s="49" t="s">
        <v>19</v>
      </c>
      <c r="L8" s="49" t="s">
        <v>19</v>
      </c>
      <c r="M8" s="49" t="s">
        <v>20</v>
      </c>
      <c r="N8" s="49" t="s">
        <v>16</v>
      </c>
      <c r="O8" s="49" t="s">
        <v>17</v>
      </c>
      <c r="P8" s="49" t="s">
        <v>17</v>
      </c>
      <c r="Q8" s="49" t="s">
        <v>17</v>
      </c>
      <c r="R8" s="49" t="s">
        <v>18</v>
      </c>
      <c r="S8" s="49" t="s">
        <v>18</v>
      </c>
      <c r="T8" s="49" t="s">
        <v>23</v>
      </c>
      <c r="U8" s="49" t="s">
        <v>59</v>
      </c>
      <c r="W8" s="19" t="s">
        <v>42</v>
      </c>
      <c r="X8" s="21" t="s">
        <v>42</v>
      </c>
      <c r="Y8" s="20" t="s">
        <v>45</v>
      </c>
      <c r="AA8" s="22" t="s">
        <v>48</v>
      </c>
      <c r="AB8" s="24" t="s">
        <v>47</v>
      </c>
      <c r="AC8" s="25" t="s">
        <v>49</v>
      </c>
      <c r="AD8" s="22" t="s">
        <v>50</v>
      </c>
      <c r="AE8" s="29" t="s">
        <v>51</v>
      </c>
      <c r="AF8" s="30" t="s">
        <v>52</v>
      </c>
      <c r="AG8" s="26" t="s">
        <v>0</v>
      </c>
    </row>
    <row r="9" spans="2:33" ht="16.5" thickTop="1" thickBot="1">
      <c r="B9" s="49">
        <v>1</v>
      </c>
      <c r="C9" s="57">
        <v>7</v>
      </c>
      <c r="D9" s="57">
        <v>499.3</v>
      </c>
      <c r="E9" s="58">
        <v>23</v>
      </c>
      <c r="F9" s="58">
        <v>48</v>
      </c>
      <c r="G9" s="58">
        <v>27</v>
      </c>
      <c r="H9" s="58">
        <v>89</v>
      </c>
      <c r="I9" s="58">
        <v>39</v>
      </c>
      <c r="J9" s="58">
        <v>514</v>
      </c>
      <c r="K9" s="58">
        <v>18</v>
      </c>
      <c r="L9" s="58">
        <v>26.5</v>
      </c>
      <c r="M9" s="58">
        <v>78</v>
      </c>
      <c r="N9" s="58">
        <v>375</v>
      </c>
      <c r="O9" s="58">
        <v>17.2</v>
      </c>
      <c r="P9" s="58">
        <v>15.9</v>
      </c>
      <c r="Q9" s="58">
        <v>16</v>
      </c>
      <c r="R9" s="58">
        <v>6.53</v>
      </c>
      <c r="S9" s="58">
        <v>3.28</v>
      </c>
      <c r="T9" s="58">
        <v>760.1</v>
      </c>
      <c r="U9" s="52">
        <f>T9/735.6</f>
        <v>1.0333061446438281</v>
      </c>
      <c r="V9" s="18"/>
      <c r="W9" s="5">
        <v>5.1900000000000004E-4</v>
      </c>
      <c r="X9" s="6">
        <v>5.5650000000000003E-4</v>
      </c>
      <c r="Y9" s="7">
        <v>66</v>
      </c>
      <c r="AA9" s="8">
        <f>E9+273</f>
        <v>296</v>
      </c>
      <c r="AB9" s="9">
        <f>I9+273</f>
        <v>312</v>
      </c>
      <c r="AC9" s="10">
        <f>J9/10</f>
        <v>51.4</v>
      </c>
      <c r="AD9" s="2">
        <f>T9*1.35951</f>
        <v>1033.3635509999999</v>
      </c>
      <c r="AE9" s="3">
        <f>PI()*((22/10)^2)/4</f>
        <v>3.8013271108436504</v>
      </c>
      <c r="AF9" s="4">
        <v>0.6</v>
      </c>
      <c r="AG9" s="27">
        <f>8.62*$AF$9*$AE$9*AA9*SQRT(AC9/(AB9*$AD$9))</f>
        <v>73.478987491536543</v>
      </c>
    </row>
    <row r="10" spans="2:33" ht="16.5" thickTop="1" thickBot="1">
      <c r="B10" s="49">
        <f t="shared" ref="B10:B15" si="0">+B9+1</f>
        <v>2</v>
      </c>
      <c r="C10" s="57">
        <v>6</v>
      </c>
      <c r="D10" s="57">
        <v>498.7</v>
      </c>
      <c r="E10" s="58">
        <v>23</v>
      </c>
      <c r="F10" s="58">
        <v>49</v>
      </c>
      <c r="G10" s="58">
        <v>27</v>
      </c>
      <c r="H10" s="58">
        <v>87</v>
      </c>
      <c r="I10" s="58">
        <v>40</v>
      </c>
      <c r="J10" s="58">
        <v>544</v>
      </c>
      <c r="K10" s="58">
        <v>18.5</v>
      </c>
      <c r="L10" s="58">
        <v>26.5</v>
      </c>
      <c r="M10" s="58">
        <v>75</v>
      </c>
      <c r="N10" s="58">
        <v>375</v>
      </c>
      <c r="O10" s="58">
        <v>16.5</v>
      </c>
      <c r="P10" s="58">
        <v>15.3</v>
      </c>
      <c r="Q10" s="58">
        <v>15.4</v>
      </c>
      <c r="R10" s="58">
        <v>6.53</v>
      </c>
      <c r="S10" s="58">
        <v>3.06</v>
      </c>
      <c r="T10" s="58">
        <v>760.1</v>
      </c>
      <c r="U10" s="52">
        <f t="shared" ref="U10:U15" si="1">T10/735.6</f>
        <v>1.0333061446438281</v>
      </c>
      <c r="V10" s="18"/>
      <c r="W10" s="8">
        <v>4.9069999999999995E-4</v>
      </c>
      <c r="X10" s="9">
        <v>5.1119999999999996E-4</v>
      </c>
      <c r="Y10" s="10">
        <v>66</v>
      </c>
      <c r="AA10" s="8">
        <f t="shared" ref="AA10:AA15" si="2">E10+273</f>
        <v>296</v>
      </c>
      <c r="AB10" s="9">
        <f t="shared" ref="AB10:AB15" si="3">I10+273</f>
        <v>313</v>
      </c>
      <c r="AC10" s="10">
        <f t="shared" ref="AC10:AC15" si="4">J10/10</f>
        <v>54.4</v>
      </c>
      <c r="AD10" s="11"/>
      <c r="AE10" s="11"/>
      <c r="AF10" s="11"/>
      <c r="AG10" s="27">
        <f t="shared" ref="AG10:AG15" si="5">8.62*$AF$9*$AE$9*AA10*SQRT(AC10/(AB10*$AD$9))</f>
        <v>75.472056126305233</v>
      </c>
    </row>
    <row r="11" spans="2:33" ht="16.5" thickTop="1" thickBot="1">
      <c r="B11" s="49">
        <f t="shared" si="0"/>
        <v>3</v>
      </c>
      <c r="C11" s="57">
        <v>4.9000000000000004</v>
      </c>
      <c r="D11" s="57">
        <v>500.8</v>
      </c>
      <c r="E11" s="58">
        <v>23</v>
      </c>
      <c r="F11" s="58">
        <v>49</v>
      </c>
      <c r="G11" s="58">
        <v>27</v>
      </c>
      <c r="H11" s="58">
        <v>77</v>
      </c>
      <c r="I11" s="58">
        <v>41</v>
      </c>
      <c r="J11" s="58">
        <v>532</v>
      </c>
      <c r="K11" s="58">
        <v>18.5</v>
      </c>
      <c r="L11" s="58">
        <v>26.5</v>
      </c>
      <c r="M11" s="58">
        <v>77</v>
      </c>
      <c r="N11" s="58">
        <v>376</v>
      </c>
      <c r="O11" s="58">
        <v>15.2</v>
      </c>
      <c r="P11" s="58">
        <v>13.9</v>
      </c>
      <c r="Q11" s="58">
        <v>13.8</v>
      </c>
      <c r="R11" s="58">
        <v>5.73</v>
      </c>
      <c r="S11" s="58">
        <v>2.7</v>
      </c>
      <c r="T11" s="58">
        <v>760.1</v>
      </c>
      <c r="U11" s="52">
        <f t="shared" si="1"/>
        <v>1.0333061446438281</v>
      </c>
      <c r="V11" s="18"/>
      <c r="W11" s="8">
        <v>4.9540000000000001E-4</v>
      </c>
      <c r="X11" s="9">
        <v>4.4700000000000002E-4</v>
      </c>
      <c r="Y11" s="10">
        <v>66</v>
      </c>
      <c r="AA11" s="8">
        <f t="shared" si="2"/>
        <v>296</v>
      </c>
      <c r="AB11" s="9">
        <f t="shared" si="3"/>
        <v>314</v>
      </c>
      <c r="AC11" s="10">
        <f t="shared" si="4"/>
        <v>53.2</v>
      </c>
      <c r="AD11" s="11"/>
      <c r="AE11" s="11"/>
      <c r="AF11" s="11"/>
      <c r="AG11" s="27">
        <f t="shared" si="5"/>
        <v>74.51606157584051</v>
      </c>
    </row>
    <row r="12" spans="2:33" ht="16.5" thickTop="1" thickBot="1">
      <c r="B12" s="49">
        <f t="shared" si="0"/>
        <v>4</v>
      </c>
      <c r="C12" s="57">
        <v>3.9</v>
      </c>
      <c r="D12" s="57">
        <v>503</v>
      </c>
      <c r="E12" s="58">
        <v>23</v>
      </c>
      <c r="F12" s="58">
        <v>50</v>
      </c>
      <c r="G12" s="58">
        <v>27</v>
      </c>
      <c r="H12" s="58">
        <v>67</v>
      </c>
      <c r="I12" s="58">
        <v>40</v>
      </c>
      <c r="J12" s="58">
        <v>552</v>
      </c>
      <c r="K12" s="58">
        <v>18.5</v>
      </c>
      <c r="L12" s="58">
        <v>26.5</v>
      </c>
      <c r="M12" s="58">
        <v>76</v>
      </c>
      <c r="N12" s="58">
        <v>376</v>
      </c>
      <c r="O12" s="58">
        <v>14.1</v>
      </c>
      <c r="P12" s="58">
        <v>13.2</v>
      </c>
      <c r="Q12" s="58">
        <v>13.1</v>
      </c>
      <c r="R12" s="58">
        <v>5.33</v>
      </c>
      <c r="S12" s="58">
        <v>2.6</v>
      </c>
      <c r="T12" s="58">
        <v>760.1</v>
      </c>
      <c r="U12" s="52">
        <f t="shared" si="1"/>
        <v>1.0333061446438281</v>
      </c>
      <c r="V12" s="18"/>
      <c r="W12" s="8">
        <v>4.7229999999999999E-4</v>
      </c>
      <c r="X12" s="9">
        <v>3.7090000000000002E-4</v>
      </c>
      <c r="Y12" s="10">
        <v>66</v>
      </c>
      <c r="AA12" s="8">
        <f t="shared" si="2"/>
        <v>296</v>
      </c>
      <c r="AB12" s="9">
        <f t="shared" si="3"/>
        <v>313</v>
      </c>
      <c r="AC12" s="10">
        <f t="shared" si="4"/>
        <v>55.2</v>
      </c>
      <c r="AD12" s="11"/>
      <c r="AE12" s="11"/>
      <c r="AF12" s="11"/>
      <c r="AG12" s="27">
        <f t="shared" si="5"/>
        <v>76.024972354224388</v>
      </c>
    </row>
    <row r="13" spans="2:33" ht="16.5" thickTop="1" thickBot="1">
      <c r="B13" s="49">
        <f t="shared" si="0"/>
        <v>5</v>
      </c>
      <c r="C13" s="57">
        <v>2.8</v>
      </c>
      <c r="D13" s="57">
        <v>503.4</v>
      </c>
      <c r="E13" s="58">
        <v>24</v>
      </c>
      <c r="F13" s="58">
        <v>56</v>
      </c>
      <c r="G13" s="58">
        <v>27</v>
      </c>
      <c r="H13" s="58">
        <v>56</v>
      </c>
      <c r="I13" s="58">
        <v>39</v>
      </c>
      <c r="J13" s="58">
        <v>562</v>
      </c>
      <c r="K13" s="58">
        <v>18.5</v>
      </c>
      <c r="L13" s="58">
        <v>26.5</v>
      </c>
      <c r="M13" s="58">
        <v>76</v>
      </c>
      <c r="N13" s="58">
        <v>376</v>
      </c>
      <c r="O13" s="58">
        <v>13.2</v>
      </c>
      <c r="P13" s="58">
        <v>12.6</v>
      </c>
      <c r="Q13" s="58">
        <v>12.1</v>
      </c>
      <c r="R13" s="58">
        <v>5</v>
      </c>
      <c r="S13" s="58">
        <v>2.4</v>
      </c>
      <c r="T13" s="58">
        <v>760.1</v>
      </c>
      <c r="U13" s="52">
        <f t="shared" si="1"/>
        <v>1.0333061446438281</v>
      </c>
      <c r="V13" s="18"/>
      <c r="W13" s="8">
        <v>4.8930000000000002E-4</v>
      </c>
      <c r="X13" s="9">
        <v>2.6640000000000002E-4</v>
      </c>
      <c r="Y13" s="10">
        <v>66</v>
      </c>
      <c r="AA13" s="8">
        <f t="shared" si="2"/>
        <v>297</v>
      </c>
      <c r="AB13" s="9">
        <f t="shared" si="3"/>
        <v>312</v>
      </c>
      <c r="AC13" s="10">
        <f t="shared" si="4"/>
        <v>56.2</v>
      </c>
      <c r="AD13" s="11"/>
      <c r="AE13" s="11"/>
      <c r="AF13" s="11"/>
      <c r="AG13" s="27">
        <f t="shared" si="5"/>
        <v>77.092920772167332</v>
      </c>
    </row>
    <row r="14" spans="2:33" ht="16.5" thickTop="1" thickBot="1">
      <c r="B14" s="49">
        <f t="shared" si="0"/>
        <v>6</v>
      </c>
      <c r="C14" s="57">
        <v>1.8</v>
      </c>
      <c r="D14" s="57">
        <v>505.2</v>
      </c>
      <c r="E14" s="58">
        <v>24</v>
      </c>
      <c r="F14" s="58">
        <v>56</v>
      </c>
      <c r="G14" s="58">
        <v>27</v>
      </c>
      <c r="H14" s="58">
        <v>42</v>
      </c>
      <c r="I14" s="58">
        <v>37</v>
      </c>
      <c r="J14" s="58">
        <v>576</v>
      </c>
      <c r="K14" s="58">
        <v>18.5</v>
      </c>
      <c r="L14" s="58">
        <v>26.5</v>
      </c>
      <c r="M14" s="58">
        <v>74</v>
      </c>
      <c r="N14" s="58">
        <v>376</v>
      </c>
      <c r="O14" s="58">
        <v>11.9</v>
      </c>
      <c r="P14" s="58">
        <v>11.4</v>
      </c>
      <c r="Q14" s="58">
        <v>11</v>
      </c>
      <c r="R14" s="58">
        <v>4.6900000000000004</v>
      </c>
      <c r="S14" s="58">
        <v>2.12</v>
      </c>
      <c r="T14" s="58">
        <v>760.1</v>
      </c>
      <c r="U14" s="52">
        <f t="shared" si="1"/>
        <v>1.0333061446438281</v>
      </c>
      <c r="V14" s="18"/>
      <c r="W14" s="8">
        <v>4.7459999999999999E-4</v>
      </c>
      <c r="X14" s="9">
        <v>1.4139999999999999E-4</v>
      </c>
      <c r="Y14" s="10">
        <v>66</v>
      </c>
      <c r="AA14" s="8">
        <f t="shared" si="2"/>
        <v>297</v>
      </c>
      <c r="AB14" s="9">
        <f t="shared" si="3"/>
        <v>310</v>
      </c>
      <c r="AC14" s="10">
        <f t="shared" si="4"/>
        <v>57.6</v>
      </c>
      <c r="AD14" s="11"/>
      <c r="AE14" s="11"/>
      <c r="AF14" s="11"/>
      <c r="AG14" s="27">
        <f t="shared" si="5"/>
        <v>78.298606675214202</v>
      </c>
    </row>
    <row r="15" spans="2:33" ht="16.5" thickTop="1" thickBot="1">
      <c r="B15" s="49">
        <f t="shared" si="0"/>
        <v>7</v>
      </c>
      <c r="C15" s="57">
        <v>1</v>
      </c>
      <c r="D15" s="57">
        <v>507</v>
      </c>
      <c r="E15" s="58">
        <v>23</v>
      </c>
      <c r="F15" s="58">
        <v>54</v>
      </c>
      <c r="G15" s="58">
        <v>27</v>
      </c>
      <c r="H15" s="58">
        <v>31</v>
      </c>
      <c r="I15" s="58">
        <v>39</v>
      </c>
      <c r="J15" s="58">
        <v>584</v>
      </c>
      <c r="K15" s="58">
        <v>18.5</v>
      </c>
      <c r="L15" s="58">
        <v>26.5</v>
      </c>
      <c r="M15" s="58">
        <v>77</v>
      </c>
      <c r="N15" s="58">
        <v>376</v>
      </c>
      <c r="O15" s="58">
        <v>10.4</v>
      </c>
      <c r="P15" s="58">
        <v>9.9</v>
      </c>
      <c r="Q15" s="58">
        <v>9.5</v>
      </c>
      <c r="R15" s="58">
        <v>4.0999999999999996</v>
      </c>
      <c r="S15" s="58">
        <v>1.64</v>
      </c>
      <c r="T15" s="58">
        <v>760.1</v>
      </c>
      <c r="U15" s="52">
        <f t="shared" si="1"/>
        <v>1.0333061446438281</v>
      </c>
      <c r="V15" s="18"/>
      <c r="W15" s="2">
        <v>4.4049999999999997E-4</v>
      </c>
      <c r="X15" s="3">
        <v>5.0699999999999999E-5</v>
      </c>
      <c r="Y15" s="4">
        <v>66</v>
      </c>
      <c r="AA15" s="2">
        <f t="shared" si="2"/>
        <v>296</v>
      </c>
      <c r="AB15" s="3">
        <f t="shared" si="3"/>
        <v>312</v>
      </c>
      <c r="AC15" s="4">
        <f t="shared" si="4"/>
        <v>58.4</v>
      </c>
      <c r="AD15" s="11"/>
      <c r="AE15" s="11"/>
      <c r="AF15" s="11"/>
      <c r="AG15" s="28">
        <f t="shared" si="5"/>
        <v>78.322767982771964</v>
      </c>
    </row>
    <row r="16" spans="2:33" ht="15.75" thickTop="1">
      <c r="B16" s="11"/>
      <c r="N16" s="14"/>
      <c r="O16" s="15"/>
      <c r="P16" s="15"/>
      <c r="Q16" s="14"/>
      <c r="T16" s="15"/>
    </row>
    <row r="17" spans="2:28">
      <c r="N17" s="14"/>
      <c r="O17" s="14"/>
      <c r="P17" s="14"/>
      <c r="Q17" s="14"/>
    </row>
    <row r="18" spans="2:28">
      <c r="N18" s="14"/>
      <c r="O18" s="14"/>
      <c r="P18" s="14"/>
      <c r="Q18" s="14"/>
    </row>
    <row r="19" spans="2:28" ht="15.75" thickBot="1"/>
    <row r="20" spans="2:28">
      <c r="C20" s="39" t="s">
        <v>53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1"/>
      <c r="AA20" s="13" t="s">
        <v>56</v>
      </c>
      <c r="AB20" s="13">
        <v>0.17</v>
      </c>
    </row>
    <row r="21" spans="2:28" ht="15.75" thickBot="1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4"/>
      <c r="AA21" s="13" t="s">
        <v>57</v>
      </c>
      <c r="AB21" s="13">
        <v>0.11</v>
      </c>
    </row>
    <row r="22" spans="2:28" ht="31.5" customHeight="1" thickTop="1" thickBot="1">
      <c r="C22" s="48" t="s">
        <v>95</v>
      </c>
      <c r="D22" s="48" t="s">
        <v>96</v>
      </c>
      <c r="E22" s="48" t="s">
        <v>97</v>
      </c>
      <c r="F22" s="48" t="s">
        <v>98</v>
      </c>
      <c r="G22" s="48" t="s">
        <v>99</v>
      </c>
      <c r="H22" s="48" t="s">
        <v>100</v>
      </c>
      <c r="I22" s="48" t="s">
        <v>101</v>
      </c>
      <c r="J22" s="48" t="s">
        <v>82</v>
      </c>
      <c r="K22" s="48" t="s">
        <v>83</v>
      </c>
      <c r="L22" s="48" t="s">
        <v>84</v>
      </c>
      <c r="M22" s="48" t="s">
        <v>85</v>
      </c>
      <c r="N22" s="48" t="s">
        <v>86</v>
      </c>
      <c r="O22" s="48" t="s">
        <v>87</v>
      </c>
      <c r="P22" s="48" t="s">
        <v>88</v>
      </c>
      <c r="Q22" s="48" t="s">
        <v>89</v>
      </c>
      <c r="R22" s="48" t="s">
        <v>90</v>
      </c>
      <c r="S22" s="48" t="s">
        <v>91</v>
      </c>
      <c r="T22" s="48" t="s">
        <v>92</v>
      </c>
      <c r="U22" s="48" t="s">
        <v>93</v>
      </c>
      <c r="V22" s="49" t="s">
        <v>72</v>
      </c>
      <c r="W22" s="49" t="s">
        <v>73</v>
      </c>
      <c r="AA22" s="13" t="s">
        <v>58</v>
      </c>
      <c r="AB22" s="13">
        <v>0.13</v>
      </c>
    </row>
    <row r="23" spans="2:28" ht="16.5" thickTop="1" thickBot="1">
      <c r="B23" s="50">
        <v>1</v>
      </c>
      <c r="C23" s="51">
        <f>C9</f>
        <v>7</v>
      </c>
      <c r="D23" s="52">
        <f t="shared" ref="D23:D29" si="6">0.25*PI()*$AB$20^2*$AB$22</f>
        <v>2.9507408998842139E-3</v>
      </c>
      <c r="E23" s="52">
        <f>D23*D9</f>
        <v>1.473304931312188</v>
      </c>
      <c r="F23" s="52">
        <f>AG9</f>
        <v>73.478987491536543</v>
      </c>
      <c r="G23" s="53">
        <f>((F23)/(60*E23))</f>
        <v>0.83122628961465839</v>
      </c>
      <c r="H23" s="53">
        <f>1-$AB$24*((W23^$AB$26)-1)</f>
        <v>0.92174645295525981</v>
      </c>
      <c r="I23" s="53">
        <f>R36/S36</f>
        <v>0.88232915487262431</v>
      </c>
      <c r="J23" s="52">
        <f>((W9*1000^2)/Y9)/$I$37</f>
        <v>1.3106060606060606</v>
      </c>
      <c r="K23" s="52">
        <f>((W9*1000^2)/Y9)/$I$38</f>
        <v>2.6212121212121211</v>
      </c>
      <c r="L23" s="54">
        <f>W9</f>
        <v>5.1900000000000004E-4</v>
      </c>
      <c r="M23" s="54">
        <f>X9</f>
        <v>5.5650000000000003E-4</v>
      </c>
      <c r="N23" s="52">
        <f>(J23*$AB$27*100^2*$AB$22*D9*9.80655)/(60*1000)</f>
        <v>3.1559477980171713</v>
      </c>
      <c r="O23" s="52">
        <f>(J23*$AB$28*100^2*$AB$22*D9*9.80665)/(60*1000)</f>
        <v>1.3213618601621502</v>
      </c>
      <c r="P23" s="52">
        <f>SUM(N23:O23)</f>
        <v>4.4773096581793217</v>
      </c>
      <c r="Q23" s="52">
        <f>SUM(O9:Q9)/3</f>
        <v>16.366666666666667</v>
      </c>
      <c r="R23" s="52">
        <f>SUM(R9:S9)</f>
        <v>9.81</v>
      </c>
      <c r="S23" s="52">
        <f>10*60/M9</f>
        <v>7.6923076923076925</v>
      </c>
      <c r="T23" s="52">
        <f>$D$48*S23*1*(L9-K9)/1000</f>
        <v>65.224814588872647</v>
      </c>
      <c r="U23" s="52">
        <f>SQRT((C9+U9)*U9)</f>
        <v>2.881122107975552</v>
      </c>
      <c r="V23" s="52">
        <f>U23/$U$9</f>
        <v>2.7882560487130856</v>
      </c>
      <c r="W23" s="52">
        <f>O36/N36</f>
        <v>3.3237702802965359</v>
      </c>
      <c r="AA23" s="32" t="s">
        <v>60</v>
      </c>
      <c r="AB23" s="13">
        <f>170/100^3</f>
        <v>1.7000000000000001E-4</v>
      </c>
    </row>
    <row r="24" spans="2:28" ht="16.5" thickTop="1" thickBot="1">
      <c r="B24" s="50">
        <v>2</v>
      </c>
      <c r="C24" s="51">
        <f t="shared" ref="C24:C29" si="7">C10</f>
        <v>6</v>
      </c>
      <c r="D24" s="52">
        <f t="shared" si="6"/>
        <v>2.9507408998842139E-3</v>
      </c>
      <c r="E24" s="52">
        <f t="shared" ref="E24:E29" si="8">D24*D10</f>
        <v>1.4715344867722575</v>
      </c>
      <c r="F24" s="52">
        <f t="shared" ref="F24:F29" si="9">AG10</f>
        <v>75.472056126305233</v>
      </c>
      <c r="G24" s="53">
        <f t="shared" ref="G24:G28" si="10">((F24)/(60*E24))</f>
        <v>0.85479994754602129</v>
      </c>
      <c r="H24" s="53">
        <f t="shared" ref="H24:H29" si="11">1-$AB$24*((W24^$AB$26)-1)</f>
        <v>0.92671933817513286</v>
      </c>
      <c r="I24" s="53">
        <f t="shared" ref="I24:I29" si="12">R37/S37</f>
        <v>0.87785642062689573</v>
      </c>
      <c r="J24" s="52">
        <f t="shared" ref="J24:J29" si="13">((W10*1000^2)/Y10)/$I$37</f>
        <v>1.2391414141414139</v>
      </c>
      <c r="K24" s="52">
        <f t="shared" ref="K24:K29" si="14">((W10*1000^2)/Y10)/$I$38</f>
        <v>2.4782828282828278</v>
      </c>
      <c r="L24" s="54">
        <f t="shared" ref="L24:L29" si="15">W10</f>
        <v>4.9069999999999995E-4</v>
      </c>
      <c r="M24" s="54">
        <f t="shared" ref="M24:M29" si="16">X10</f>
        <v>5.1119999999999996E-4</v>
      </c>
      <c r="N24" s="52">
        <f t="shared" ref="N24:N29" si="17">(J24*$AB$27*100^2*$AB$22*D10*9.80655)/(60*1000)</f>
        <v>2.9802748185945087</v>
      </c>
      <c r="O24" s="52">
        <f t="shared" ref="O24:O29" si="18">(J24*$AB$28*100^2*$AB$22*D10*9.80665)/(60*1000)</f>
        <v>1.2478094474714212</v>
      </c>
      <c r="P24" s="52">
        <f t="shared" ref="P24:P29" si="19">SUM(N24:O24)</f>
        <v>4.2280842660659301</v>
      </c>
      <c r="Q24" s="52">
        <f t="shared" ref="Q24:Q28" si="20">SUM(O10:Q10)/3</f>
        <v>15.733333333333334</v>
      </c>
      <c r="R24" s="52">
        <f t="shared" ref="R24:R29" si="21">SUM(R10:S10)</f>
        <v>9.59</v>
      </c>
      <c r="S24" s="52">
        <f t="shared" ref="S24:S29" si="22">10*60/M10</f>
        <v>8</v>
      </c>
      <c r="T24" s="52">
        <f t="shared" ref="T24:T29" si="23">$D$48*S24*1*(L10-K10)/1000</f>
        <v>63.843583221108283</v>
      </c>
      <c r="U24" s="52">
        <f t="shared" ref="U24:U29" si="24">SQRT((C10+U10)*U10)</f>
        <v>2.6958409553276064</v>
      </c>
      <c r="V24" s="52">
        <f t="shared" ref="V24:V29" si="25">U24/$U$9</f>
        <v>2.6089469895263617</v>
      </c>
      <c r="W24" s="52">
        <f t="shared" ref="W24:W29" si="26">O37/N37</f>
        <v>3.1547100661367904</v>
      </c>
      <c r="AA24" s="32" t="s">
        <v>55</v>
      </c>
      <c r="AB24" s="13">
        <f>AB23/D23</f>
        <v>5.7612649083039029E-2</v>
      </c>
    </row>
    <row r="25" spans="2:28" ht="16.5" thickTop="1" thickBot="1">
      <c r="B25" s="50">
        <v>3</v>
      </c>
      <c r="C25" s="51">
        <f t="shared" si="7"/>
        <v>4.9000000000000004</v>
      </c>
      <c r="D25" s="52">
        <f t="shared" si="6"/>
        <v>2.9507408998842139E-3</v>
      </c>
      <c r="E25" s="52">
        <f t="shared" si="8"/>
        <v>1.4777310426620143</v>
      </c>
      <c r="F25" s="52">
        <f t="shared" si="9"/>
        <v>74.51606157584051</v>
      </c>
      <c r="G25" s="53">
        <f t="shared" si="10"/>
        <v>0.84043328842851972</v>
      </c>
      <c r="H25" s="53">
        <f t="shared" si="11"/>
        <v>0.93545278564158685</v>
      </c>
      <c r="I25" s="53">
        <f t="shared" si="12"/>
        <v>0.8825075834175935</v>
      </c>
      <c r="J25" s="52">
        <f t="shared" si="13"/>
        <v>1.2510101010101011</v>
      </c>
      <c r="K25" s="52">
        <f t="shared" si="14"/>
        <v>2.5020202020202023</v>
      </c>
      <c r="L25" s="54">
        <f t="shared" si="15"/>
        <v>4.9540000000000001E-4</v>
      </c>
      <c r="M25" s="54">
        <f t="shared" si="16"/>
        <v>4.4700000000000002E-4</v>
      </c>
      <c r="N25" s="52">
        <f t="shared" si="17"/>
        <v>3.0214903361822687</v>
      </c>
      <c r="O25" s="52">
        <f t="shared" si="18"/>
        <v>1.2650659474114785</v>
      </c>
      <c r="P25" s="52">
        <f t="shared" si="19"/>
        <v>4.2865562835937467</v>
      </c>
      <c r="Q25" s="52">
        <f t="shared" si="20"/>
        <v>14.300000000000002</v>
      </c>
      <c r="R25" s="52">
        <f t="shared" si="21"/>
        <v>8.43</v>
      </c>
      <c r="S25" s="52">
        <f t="shared" si="22"/>
        <v>7.7922077922077921</v>
      </c>
      <c r="T25" s="52">
        <f t="shared" si="23"/>
        <v>62.185308332248326</v>
      </c>
      <c r="U25" s="52">
        <f t="shared" si="24"/>
        <v>2.4760698086510908</v>
      </c>
      <c r="V25" s="52">
        <f t="shared" si="25"/>
        <v>2.3962596385261712</v>
      </c>
      <c r="W25" s="52">
        <f t="shared" si="26"/>
        <v>2.8640129084836015</v>
      </c>
      <c r="AA25" s="32" t="s">
        <v>61</v>
      </c>
      <c r="AB25" s="13"/>
    </row>
    <row r="26" spans="2:28" ht="16.5" thickTop="1" thickBot="1">
      <c r="B26" s="50">
        <v>4</v>
      </c>
      <c r="C26" s="51">
        <f t="shared" si="7"/>
        <v>3.9</v>
      </c>
      <c r="D26" s="52">
        <f t="shared" si="6"/>
        <v>2.9507408998842139E-3</v>
      </c>
      <c r="E26" s="52">
        <f t="shared" si="8"/>
        <v>1.4842226726417596</v>
      </c>
      <c r="F26" s="52">
        <f t="shared" si="9"/>
        <v>76.024972354224388</v>
      </c>
      <c r="G26" s="53">
        <f t="shared" si="10"/>
        <v>0.85370133196734754</v>
      </c>
      <c r="H26" s="53">
        <f t="shared" si="11"/>
        <v>0.95391463615845451</v>
      </c>
      <c r="I26" s="53">
        <f t="shared" si="12"/>
        <v>0.85705620703598873</v>
      </c>
      <c r="J26" s="52">
        <f t="shared" si="13"/>
        <v>1.1926767676767678</v>
      </c>
      <c r="K26" s="52">
        <f t="shared" si="14"/>
        <v>2.3853535353535356</v>
      </c>
      <c r="L26" s="54">
        <f t="shared" si="15"/>
        <v>4.7229999999999999E-4</v>
      </c>
      <c r="M26" s="54">
        <f t="shared" si="16"/>
        <v>3.7090000000000002E-4</v>
      </c>
      <c r="N26" s="52">
        <f t="shared" si="17"/>
        <v>2.89325570224814</v>
      </c>
      <c r="O26" s="52">
        <f t="shared" si="18"/>
        <v>1.2113754666820853</v>
      </c>
      <c r="P26" s="52">
        <f t="shared" si="19"/>
        <v>4.1046311689302257</v>
      </c>
      <c r="Q26" s="52">
        <f t="shared" si="20"/>
        <v>13.466666666666667</v>
      </c>
      <c r="R26" s="52">
        <f t="shared" si="21"/>
        <v>7.93</v>
      </c>
      <c r="S26" s="52">
        <f t="shared" si="22"/>
        <v>7.8947368421052628</v>
      </c>
      <c r="T26" s="52">
        <f t="shared" si="23"/>
        <v>63.003536073462122</v>
      </c>
      <c r="U26" s="52">
        <f t="shared" si="24"/>
        <v>2.2577899708940201</v>
      </c>
      <c r="V26" s="52">
        <f t="shared" si="25"/>
        <v>2.1850155276800964</v>
      </c>
      <c r="W26" s="52">
        <f t="shared" si="26"/>
        <v>2.2769506886706181</v>
      </c>
      <c r="AA26" s="32" t="s">
        <v>74</v>
      </c>
      <c r="AB26" s="13">
        <f>1/1.4</f>
        <v>0.7142857142857143</v>
      </c>
    </row>
    <row r="27" spans="2:28" ht="16.5" thickTop="1" thickBot="1">
      <c r="B27" s="50">
        <v>5</v>
      </c>
      <c r="C27" s="51">
        <f t="shared" si="7"/>
        <v>2.8</v>
      </c>
      <c r="D27" s="52">
        <f t="shared" si="6"/>
        <v>2.9507408998842139E-3</v>
      </c>
      <c r="E27" s="52">
        <f t="shared" si="8"/>
        <v>1.4854029690017132</v>
      </c>
      <c r="F27" s="52">
        <f t="shared" si="9"/>
        <v>77.092920772167332</v>
      </c>
      <c r="G27" s="53">
        <f t="shared" si="10"/>
        <v>0.86500568511249121</v>
      </c>
      <c r="H27" s="53">
        <f t="shared" si="11"/>
        <v>0.96202444474102422</v>
      </c>
      <c r="I27" s="53">
        <f t="shared" si="12"/>
        <v>0.86627672448567983</v>
      </c>
      <c r="J27" s="52">
        <f t="shared" si="13"/>
        <v>1.2356060606060606</v>
      </c>
      <c r="K27" s="52">
        <f t="shared" si="14"/>
        <v>2.4712121212121212</v>
      </c>
      <c r="L27" s="54">
        <f t="shared" si="15"/>
        <v>4.8930000000000002E-4</v>
      </c>
      <c r="M27" s="54">
        <f t="shared" si="16"/>
        <v>2.6640000000000002E-4</v>
      </c>
      <c r="N27" s="52">
        <f t="shared" si="17"/>
        <v>2.9997793699643407</v>
      </c>
      <c r="O27" s="52">
        <f t="shared" si="18"/>
        <v>1.2559757961974238</v>
      </c>
      <c r="P27" s="52">
        <f t="shared" si="19"/>
        <v>4.2557551661617641</v>
      </c>
      <c r="Q27" s="52">
        <f t="shared" si="20"/>
        <v>12.633333333333333</v>
      </c>
      <c r="R27" s="52">
        <f t="shared" si="21"/>
        <v>7.4</v>
      </c>
      <c r="S27" s="52">
        <f t="shared" si="22"/>
        <v>7.8947368421052628</v>
      </c>
      <c r="T27" s="52">
        <f t="shared" si="23"/>
        <v>63.003536073462122</v>
      </c>
      <c r="U27" s="52">
        <f t="shared" si="24"/>
        <v>1.9902207901540498</v>
      </c>
      <c r="V27" s="52">
        <f t="shared" si="25"/>
        <v>1.926070797575739</v>
      </c>
      <c r="W27" s="52">
        <f t="shared" si="26"/>
        <v>2.0316132738999459</v>
      </c>
      <c r="AA27" s="32" t="s">
        <v>77</v>
      </c>
      <c r="AB27" s="13">
        <f>AB20^2*PI()/4</f>
        <v>2.2698006922186261E-2</v>
      </c>
    </row>
    <row r="28" spans="2:28" ht="16.5" thickTop="1" thickBot="1">
      <c r="B28" s="50">
        <v>6</v>
      </c>
      <c r="C28" s="51">
        <f t="shared" si="7"/>
        <v>1.8</v>
      </c>
      <c r="D28" s="52">
        <f t="shared" si="6"/>
        <v>2.9507408998842139E-3</v>
      </c>
      <c r="E28" s="52">
        <f t="shared" si="8"/>
        <v>1.4907143026215048</v>
      </c>
      <c r="F28" s="52">
        <f t="shared" si="9"/>
        <v>78.298606675214202</v>
      </c>
      <c r="G28" s="53">
        <f t="shared" si="10"/>
        <v>0.87540367434951272</v>
      </c>
      <c r="H28" s="53">
        <f t="shared" si="11"/>
        <v>0.97444873997825499</v>
      </c>
      <c r="I28" s="53">
        <f t="shared" si="12"/>
        <v>0.88628899835796393</v>
      </c>
      <c r="J28" s="52">
        <f t="shared" si="13"/>
        <v>1.1984848484848485</v>
      </c>
      <c r="K28" s="52">
        <f t="shared" si="14"/>
        <v>2.396969696969697</v>
      </c>
      <c r="L28" s="54">
        <f t="shared" si="15"/>
        <v>4.7459999999999999E-4</v>
      </c>
      <c r="M28" s="54">
        <f t="shared" si="16"/>
        <v>1.4139999999999999E-4</v>
      </c>
      <c r="N28" s="52">
        <f t="shared" si="17"/>
        <v>2.9200612617169135</v>
      </c>
      <c r="O28" s="52">
        <f t="shared" si="18"/>
        <v>1.2225986700394411</v>
      </c>
      <c r="P28" s="52">
        <f t="shared" si="19"/>
        <v>4.1426599317563548</v>
      </c>
      <c r="Q28" s="52">
        <f t="shared" si="20"/>
        <v>11.433333333333332</v>
      </c>
      <c r="R28" s="52">
        <f t="shared" si="21"/>
        <v>6.8100000000000005</v>
      </c>
      <c r="S28" s="52">
        <f t="shared" si="22"/>
        <v>8.1081081081081088</v>
      </c>
      <c r="T28" s="52">
        <f t="shared" si="23"/>
        <v>64.706334345717863</v>
      </c>
      <c r="U28" s="52">
        <f t="shared" si="24"/>
        <v>1.7110443152991632</v>
      </c>
      <c r="V28" s="52">
        <f t="shared" si="25"/>
        <v>1.6558929066360539</v>
      </c>
      <c r="W28" s="52">
        <f t="shared" si="26"/>
        <v>1.6717982649742003</v>
      </c>
      <c r="AA28" s="32" t="s">
        <v>78</v>
      </c>
      <c r="AB28" s="13">
        <f>AB21^2*PI()/4</f>
        <v>9.5033177771091243E-3</v>
      </c>
    </row>
    <row r="29" spans="2:28" ht="16.5" thickTop="1" thickBot="1">
      <c r="B29" s="50">
        <v>7</v>
      </c>
      <c r="C29" s="51">
        <f t="shared" si="7"/>
        <v>1</v>
      </c>
      <c r="D29" s="52">
        <f t="shared" si="6"/>
        <v>2.9507408998842139E-3</v>
      </c>
      <c r="E29" s="52">
        <f t="shared" si="8"/>
        <v>1.4960256362412965</v>
      </c>
      <c r="F29" s="52">
        <f t="shared" si="9"/>
        <v>78.322767982771964</v>
      </c>
      <c r="G29" s="53">
        <f>((F29)/(60*E29))</f>
        <v>0.87256490447533064</v>
      </c>
      <c r="H29" s="53">
        <f t="shared" si="11"/>
        <v>0.98946526203767182</v>
      </c>
      <c r="I29" s="53">
        <f t="shared" si="12"/>
        <v>0.88071654373024233</v>
      </c>
      <c r="J29" s="52">
        <f t="shared" si="13"/>
        <v>1.1123737373737372</v>
      </c>
      <c r="K29" s="52">
        <f t="shared" si="14"/>
        <v>2.2247474747474745</v>
      </c>
      <c r="L29" s="54">
        <f t="shared" si="15"/>
        <v>4.4049999999999997E-4</v>
      </c>
      <c r="M29" s="54">
        <f t="shared" si="16"/>
        <v>5.0699999999999999E-5</v>
      </c>
      <c r="N29" s="52">
        <f t="shared" si="17"/>
        <v>2.7199114118087788</v>
      </c>
      <c r="O29" s="52">
        <f t="shared" si="18"/>
        <v>1.1387980513625573</v>
      </c>
      <c r="P29" s="52">
        <f t="shared" si="19"/>
        <v>3.8587094631713361</v>
      </c>
      <c r="Q29" s="52">
        <f>SUM(O15:Q15)/3</f>
        <v>9.9333333333333336</v>
      </c>
      <c r="R29" s="52">
        <f t="shared" si="21"/>
        <v>5.7399999999999993</v>
      </c>
      <c r="S29" s="52">
        <f t="shared" si="22"/>
        <v>7.7922077922077921</v>
      </c>
      <c r="T29" s="52">
        <f t="shared" si="23"/>
        <v>62.185308332248326</v>
      </c>
      <c r="U29" s="52">
        <f t="shared" si="24"/>
        <v>1.4494922328879585</v>
      </c>
      <c r="V29" s="52">
        <f t="shared" si="25"/>
        <v>1.4027713281310121</v>
      </c>
      <c r="W29" s="52">
        <f t="shared" si="26"/>
        <v>1.2650389834130296</v>
      </c>
    </row>
    <row r="30" spans="2:28" ht="15.75" thickTop="1"/>
    <row r="32" spans="2:28" ht="15.75" thickBot="1"/>
    <row r="33" spans="2:19" ht="16.5" thickTop="1" thickBot="1">
      <c r="G33" s="50"/>
    </row>
    <row r="34" spans="2:19" ht="16.5" thickTop="1" thickBot="1">
      <c r="C34" s="55" t="s">
        <v>66</v>
      </c>
      <c r="D34" s="55"/>
      <c r="E34" s="55"/>
      <c r="F34" s="55"/>
      <c r="G34" s="31"/>
      <c r="H34" s="31"/>
      <c r="L34" s="56" t="s">
        <v>71</v>
      </c>
      <c r="M34" s="56"/>
      <c r="N34" s="56"/>
      <c r="O34" s="56"/>
      <c r="R34" s="55" t="s">
        <v>39</v>
      </c>
      <c r="S34" s="55"/>
    </row>
    <row r="35" spans="2:19" ht="16.5" thickTop="1" thickBot="1">
      <c r="C35" s="50" t="s">
        <v>62</v>
      </c>
      <c r="D35" s="50" t="s">
        <v>64</v>
      </c>
      <c r="E35" s="50" t="s">
        <v>65</v>
      </c>
      <c r="F35" s="50" t="s">
        <v>63</v>
      </c>
      <c r="L35" s="50" t="s">
        <v>62</v>
      </c>
      <c r="M35" s="50" t="s">
        <v>64</v>
      </c>
      <c r="N35" s="50" t="s">
        <v>65</v>
      </c>
      <c r="O35" s="50" t="s">
        <v>63</v>
      </c>
      <c r="R35" s="50" t="s">
        <v>75</v>
      </c>
      <c r="S35" s="50" t="s">
        <v>76</v>
      </c>
    </row>
    <row r="36" spans="2:19" ht="16.5" thickTop="1" thickBot="1">
      <c r="B36" s="50">
        <v>1</v>
      </c>
      <c r="C36" s="52">
        <v>-1.76</v>
      </c>
      <c r="D36" s="52">
        <v>10.220000000000001</v>
      </c>
      <c r="E36" s="52">
        <v>3.76</v>
      </c>
      <c r="F36" s="52">
        <v>17.899999999999999</v>
      </c>
      <c r="H36" s="50" t="s">
        <v>67</v>
      </c>
      <c r="I36" s="52">
        <f>66/49.5</f>
        <v>1.3333333333333333</v>
      </c>
      <c r="K36" s="50">
        <v>1</v>
      </c>
      <c r="L36" s="52">
        <f>C36*$I$36/$I$37+$I$39</f>
        <v>0.6421950335327169</v>
      </c>
      <c r="M36" s="52">
        <f>D36*$I$36/$I$37+$I$39</f>
        <v>3.3044172557549394</v>
      </c>
      <c r="N36" s="52">
        <f>E36*$I$36/$I$38+$I$39</f>
        <v>2.7044172557549393</v>
      </c>
      <c r="O36" s="52">
        <f>F36*$I$36/$I$38+$I$39</f>
        <v>8.9888617001993829</v>
      </c>
      <c r="Q36" s="50">
        <v>1</v>
      </c>
      <c r="R36" s="52">
        <v>43.64</v>
      </c>
      <c r="S36" s="52">
        <v>49.46</v>
      </c>
    </row>
    <row r="37" spans="2:19" ht="16.5" thickTop="1" thickBot="1">
      <c r="B37" s="50">
        <v>2</v>
      </c>
      <c r="C37" s="52">
        <v>-1.79</v>
      </c>
      <c r="D37" s="52">
        <v>10.1</v>
      </c>
      <c r="E37" s="52">
        <v>3.17</v>
      </c>
      <c r="F37" s="52">
        <v>15.01</v>
      </c>
      <c r="H37" s="50" t="s">
        <v>68</v>
      </c>
      <c r="I37" s="52">
        <v>6</v>
      </c>
      <c r="K37" s="50">
        <v>2</v>
      </c>
      <c r="L37" s="52">
        <f t="shared" ref="L37:L42" si="27">C37*$I$36/$I$37+$I$39</f>
        <v>0.6355283668660503</v>
      </c>
      <c r="M37" s="52">
        <f t="shared" ref="M37:M42" si="28">D37*$I$36/$I$37+$I$39</f>
        <v>3.2777505890882721</v>
      </c>
      <c r="N37" s="52">
        <f t="shared" ref="N37:N42" si="29">E37*$I$36/$I$38+$I$39</f>
        <v>2.4421950335327169</v>
      </c>
      <c r="O37" s="52">
        <f t="shared" ref="O37:O41" si="30">F37*$I$36/$I$38+$I$39</f>
        <v>7.7044172557549384</v>
      </c>
      <c r="Q37" s="50">
        <v>2</v>
      </c>
      <c r="R37" s="52">
        <v>43.41</v>
      </c>
      <c r="S37" s="52">
        <v>49.45</v>
      </c>
    </row>
    <row r="38" spans="2:19" ht="16.5" thickTop="1" thickBot="1">
      <c r="B38" s="50">
        <v>3</v>
      </c>
      <c r="C38" s="52">
        <v>-1.64</v>
      </c>
      <c r="D38" s="52">
        <v>9.0500000000000007</v>
      </c>
      <c r="E38" s="52">
        <v>3.41</v>
      </c>
      <c r="F38" s="52">
        <v>14.1</v>
      </c>
      <c r="H38" s="50" t="s">
        <v>69</v>
      </c>
      <c r="I38" s="52">
        <v>3</v>
      </c>
      <c r="K38" s="50">
        <v>3</v>
      </c>
      <c r="L38" s="52">
        <f t="shared" si="27"/>
        <v>0.66886170019938374</v>
      </c>
      <c r="M38" s="52">
        <f t="shared" si="28"/>
        <v>3.0444172557549392</v>
      </c>
      <c r="N38" s="52">
        <f t="shared" si="29"/>
        <v>2.5488617001993834</v>
      </c>
      <c r="O38" s="52">
        <f t="shared" si="30"/>
        <v>7.2999728113104938</v>
      </c>
      <c r="Q38" s="50">
        <v>3</v>
      </c>
      <c r="R38" s="52">
        <v>43.64</v>
      </c>
      <c r="S38" s="52">
        <v>49.45</v>
      </c>
    </row>
    <row r="39" spans="2:19" ht="16.5" thickTop="1" thickBot="1">
      <c r="B39" s="50">
        <v>4</v>
      </c>
      <c r="C39" s="52">
        <v>-2.11</v>
      </c>
      <c r="D39" s="52">
        <v>9.0399999999999991</v>
      </c>
      <c r="E39" s="52">
        <v>3.29</v>
      </c>
      <c r="F39" s="52">
        <v>10.46</v>
      </c>
      <c r="H39" s="50" t="s">
        <v>70</v>
      </c>
      <c r="I39" s="52">
        <f>U9</f>
        <v>1.0333061446438281</v>
      </c>
      <c r="K39" s="50">
        <v>4</v>
      </c>
      <c r="L39" s="52">
        <f t="shared" si="27"/>
        <v>0.56441725575493917</v>
      </c>
      <c r="M39" s="52">
        <f t="shared" si="28"/>
        <v>3.0421950335327166</v>
      </c>
      <c r="N39" s="52">
        <f t="shared" si="29"/>
        <v>2.4955283668660506</v>
      </c>
      <c r="O39" s="52">
        <f t="shared" si="30"/>
        <v>5.6821950335327172</v>
      </c>
      <c r="Q39" s="50">
        <v>4</v>
      </c>
      <c r="R39" s="52">
        <v>42.39</v>
      </c>
      <c r="S39" s="52">
        <v>49.46</v>
      </c>
    </row>
    <row r="40" spans="2:19" ht="16.5" thickTop="1" thickBot="1">
      <c r="B40" s="50">
        <v>5</v>
      </c>
      <c r="C40" s="52">
        <v>-1.29</v>
      </c>
      <c r="D40" s="52">
        <v>9.16</v>
      </c>
      <c r="E40" s="52">
        <v>2.58</v>
      </c>
      <c r="F40" s="52">
        <v>7.64</v>
      </c>
      <c r="K40" s="50">
        <v>5</v>
      </c>
      <c r="L40" s="52">
        <f t="shared" si="27"/>
        <v>0.74663947797716146</v>
      </c>
      <c r="M40" s="52">
        <f t="shared" si="28"/>
        <v>3.0688617001993834</v>
      </c>
      <c r="N40" s="52">
        <f t="shared" si="29"/>
        <v>2.1799728113104946</v>
      </c>
      <c r="O40" s="52">
        <f t="shared" si="30"/>
        <v>4.4288617001993833</v>
      </c>
      <c r="Q40" s="50">
        <v>5</v>
      </c>
      <c r="R40" s="52">
        <v>42.95</v>
      </c>
      <c r="S40" s="52">
        <v>49.58</v>
      </c>
    </row>
    <row r="41" spans="2:19" ht="16.5" thickTop="1" thickBot="1">
      <c r="B41" s="50">
        <v>6</v>
      </c>
      <c r="C41" s="52">
        <v>-1.64</v>
      </c>
      <c r="D41" s="52">
        <v>9.0500000000000007</v>
      </c>
      <c r="E41" s="52">
        <v>2.23</v>
      </c>
      <c r="F41" s="52">
        <v>5.29</v>
      </c>
      <c r="K41" s="50">
        <v>6</v>
      </c>
      <c r="L41" s="52">
        <f t="shared" si="27"/>
        <v>0.66886170019938374</v>
      </c>
      <c r="M41" s="52">
        <f t="shared" si="28"/>
        <v>3.0444172557549392</v>
      </c>
      <c r="N41" s="52">
        <f t="shared" si="29"/>
        <v>2.0244172557549391</v>
      </c>
      <c r="O41" s="52">
        <f t="shared" si="30"/>
        <v>3.384417255754939</v>
      </c>
      <c r="Q41" s="50">
        <v>6</v>
      </c>
      <c r="R41" s="52">
        <v>43.18</v>
      </c>
      <c r="S41" s="52">
        <v>48.72</v>
      </c>
    </row>
    <row r="42" spans="2:19" ht="16.5" thickTop="1" thickBot="1">
      <c r="B42" s="50">
        <v>7</v>
      </c>
      <c r="C42" s="52">
        <v>-1.41</v>
      </c>
      <c r="D42" s="52">
        <v>8.2200000000000006</v>
      </c>
      <c r="E42" s="52">
        <v>2.58</v>
      </c>
      <c r="F42" s="52">
        <v>3.88</v>
      </c>
      <c r="K42" s="50">
        <v>7</v>
      </c>
      <c r="L42" s="52">
        <f t="shared" si="27"/>
        <v>0.71997281131049484</v>
      </c>
      <c r="M42" s="52">
        <f t="shared" si="28"/>
        <v>2.8599728113104952</v>
      </c>
      <c r="N42" s="52">
        <f t="shared" si="29"/>
        <v>2.1799728113104946</v>
      </c>
      <c r="O42" s="52">
        <f>F42*$I$36/$I$38+$I$39</f>
        <v>2.7577505890882721</v>
      </c>
      <c r="Q42" s="50">
        <v>7</v>
      </c>
      <c r="R42" s="52">
        <v>41.79</v>
      </c>
      <c r="S42" s="52">
        <v>47.45</v>
      </c>
    </row>
    <row r="43" spans="2:19" ht="15.75" thickTop="1"/>
    <row r="44" spans="2:19" ht="15.75" thickBot="1"/>
    <row r="45" spans="2:19" ht="16.5" thickTop="1" thickBot="1">
      <c r="C45" s="50" t="s">
        <v>103</v>
      </c>
      <c r="D45" s="50" t="s">
        <v>104</v>
      </c>
      <c r="E45" t="s">
        <v>105</v>
      </c>
    </row>
    <row r="46" spans="2:19" ht="16.5" thickTop="1" thickBot="1">
      <c r="C46" s="50" t="s">
        <v>79</v>
      </c>
      <c r="D46" s="52">
        <f>AVERAGE(K9:L9)</f>
        <v>22.25</v>
      </c>
    </row>
    <row r="47" spans="2:19" ht="16.5" thickTop="1" thickBot="1">
      <c r="C47" s="50" t="s">
        <v>81</v>
      </c>
      <c r="D47" s="52">
        <f>((D46-20)/(25-20))*(0.001003-0.001002)+0.001002</f>
        <v>1.00245E-3</v>
      </c>
    </row>
    <row r="48" spans="2:19" ht="16.5" thickTop="1" thickBot="1">
      <c r="C48" s="50" t="s">
        <v>80</v>
      </c>
      <c r="D48" s="52">
        <f>1/D47</f>
        <v>997.5559878298169</v>
      </c>
    </row>
    <row r="49" ht="15.75" thickTop="1"/>
  </sheetData>
  <mergeCells count="17">
    <mergeCell ref="B3:T3"/>
    <mergeCell ref="C20:T21"/>
    <mergeCell ref="AA7:AG7"/>
    <mergeCell ref="T7:U7"/>
    <mergeCell ref="C34:F34"/>
    <mergeCell ref="L34:O34"/>
    <mergeCell ref="R34:S34"/>
    <mergeCell ref="W5:Y5"/>
    <mergeCell ref="N5:S5"/>
    <mergeCell ref="O6:Q6"/>
    <mergeCell ref="R6:S6"/>
    <mergeCell ref="C5:H5"/>
    <mergeCell ref="E6:H6"/>
    <mergeCell ref="I5:J5"/>
    <mergeCell ref="I6:J6"/>
    <mergeCell ref="K5:M5"/>
    <mergeCell ref="K6:L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9"/>
  <sheetViews>
    <sheetView workbookViewId="0">
      <selection activeCell="C9" sqref="C9"/>
    </sheetView>
  </sheetViews>
  <sheetFormatPr baseColWidth="10" defaultRowHeight="15"/>
  <sheetData>
    <row r="9" spans="3:3">
      <c r="C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Cristóbal Ramos Correa</cp:lastModifiedBy>
  <dcterms:created xsi:type="dcterms:W3CDTF">2020-04-21T00:02:15Z</dcterms:created>
  <dcterms:modified xsi:type="dcterms:W3CDTF">2020-11-14T01:37:35Z</dcterms:modified>
</cp:coreProperties>
</file>